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nnections.xml" ContentType="application/vnd.openxmlformats-officedocument.spreadsheetml.connections+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1\Q4-2021 - ut i januar 22\Publisert\"/>
    </mc:Choice>
  </mc:AlternateContent>
  <xr:revisionPtr revIDLastSave="0" documentId="8_{8ADA2965-67F4-4CD9-996B-EFE6BE8330B7}" xr6:coauthVersionLast="47" xr6:coauthVersionMax="47" xr10:uidLastSave="{00000000-0000-0000-0000-000000000000}"/>
  <bookViews>
    <workbookView xWindow="-120" yWindow="-120" windowWidth="29040" windowHeight="176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Danica Pensjonsforsikring" sheetId="18" r:id="rId9"/>
    <sheet name="DNB Bedriftspensjon" sheetId="27" r:id="rId10"/>
    <sheet name="DNB Livsforsikring" sheetId="13" r:id="rId11"/>
    <sheet name="Eika Forsikring AS" sheetId="19" r:id="rId12"/>
    <sheet name="Euro Accident" sheetId="77" r:id="rId13"/>
    <sheet name="Fremtind Livsforsikring" sheetId="16" r:id="rId14"/>
    <sheet name="Frende Livsforsikring" sheetId="20" r:id="rId15"/>
    <sheet name="Frende Skadeforsikring" sheetId="21" r:id="rId16"/>
    <sheet name="Gjensidige Forsikring" sheetId="22" r:id="rId17"/>
    <sheet name="Gjensidige Pensjon" sheetId="23" r:id="rId18"/>
    <sheet name="Handelsbanken Liv" sheetId="24" r:id="rId19"/>
    <sheet name="If Skadeforsikring NUF" sheetId="25" r:id="rId20"/>
    <sheet name="Insr" sheetId="41" r:id="rId21"/>
    <sheet name="KLP" sheetId="26" r:id="rId22"/>
    <sheet name="KLP Skadeforsikring AS" sheetId="51" r:id="rId23"/>
    <sheet name="Landkreditt Forsikring" sheetId="40" r:id="rId24"/>
    <sheet name="Nordea Liv " sheetId="29" r:id="rId25"/>
    <sheet name="Oslo Pensjonsforsikring" sheetId="34" r:id="rId26"/>
    <sheet name="Protector Forsikring" sheetId="72" r:id="rId27"/>
    <sheet name="SHB Liv" sheetId="35" r:id="rId28"/>
    <sheet name="Sparebank 1" sheetId="33" r:id="rId29"/>
    <sheet name="Storebrand Livsforsikring" sheetId="37" r:id="rId30"/>
    <sheet name="Telenor Forsikring" sheetId="38" r:id="rId31"/>
    <sheet name="Tryg Forsikring" sheetId="39" r:id="rId32"/>
    <sheet name="WaterCircles F" sheetId="74" r:id="rId33"/>
    <sheet name="Tabell 4" sheetId="65" r:id="rId34"/>
    <sheet name="Tabell 5.1" sheetId="66" r:id="rId35"/>
    <sheet name="Tabell 5.2" sheetId="67" r:id="rId36"/>
    <sheet name="Tabell 5.3" sheetId="68" r:id="rId37"/>
    <sheet name="Tabell 6" sheetId="62" r:id="rId38"/>
    <sheet name="Tabell 7a" sheetId="69" r:id="rId39"/>
    <sheet name="Tabell 7b" sheetId="70" r:id="rId40"/>
    <sheet name="Tabell 8" sheetId="71" r:id="rId41"/>
    <sheet name="Noter og kommentarer" sheetId="3" r:id="rId42"/>
  </sheets>
  <externalReferences>
    <externalReference r:id="rId43"/>
    <externalReference r:id="rId44"/>
    <externalReference r:id="rId45"/>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3">'Fremtind Livsforsikring'!$A$1:$M$137</definedName>
    <definedName name="_xlnm.Print_Area" localSheetId="20">Insr!$A$1:$M$137</definedName>
    <definedName name="_xlnm.Print_Area" localSheetId="41">'Noter og kommentarer'!$A$1:$L$43</definedName>
    <definedName name="_xlnm.Print_Area" localSheetId="6">'Skjema total MA'!$A$1:$J$138</definedName>
    <definedName name="_xlnm.Print_Area" localSheetId="34">'Tabell 5.1'!$A$2:$AT$109</definedName>
    <definedName name="_xlnm.Print_Area" localSheetId="35">'Tabell 5.2'!$A$2:$AT$145</definedName>
    <definedName name="_xlnm.Print_Area" localSheetId="38">'Tabell 7a'!$A$2:$AN$57</definedName>
    <definedName name="_xlnm.Print_Area" localSheetId="39">'Tabell 7b'!$A$2:$AK$44</definedName>
    <definedName name="_xlnm.Print_Area" localSheetId="40">'Tabell 8'!$A$2:$AK$52</definedName>
    <definedName name="_xlnm.Print_Titles" localSheetId="34">'Tabell 5.1'!$A:$A,'Tabell 5.1'!$2:$9</definedName>
    <definedName name="_xlnm.Print_Titles" localSheetId="35">'Tabell 5.2'!$A:$A,'Tabell 5.2'!$2:$9</definedName>
    <definedName name="_xlnm.Print_Titles" localSheetId="38">'Tabell 7a'!$A:$A</definedName>
    <definedName name="_xlnm.Print_Titles" localSheetId="39">'Tabell 7b'!$A:$A</definedName>
    <definedName name="_xlnm.Print_Titles" localSheetId="40">'Tabell 8'!$A:$A</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 i="62" l="1"/>
  <c r="AO8" i="62"/>
  <c r="AP91" i="62"/>
  <c r="AO91" i="62"/>
  <c r="AQ91" i="62" s="1"/>
  <c r="AP89" i="62"/>
  <c r="AO89" i="62"/>
  <c r="AQ89" i="62" s="1"/>
  <c r="AP88" i="62"/>
  <c r="AQ88" i="62" s="1"/>
  <c r="AO88" i="62"/>
  <c r="AQ87" i="62"/>
  <c r="AP87" i="62"/>
  <c r="AO87" i="62"/>
  <c r="AP86" i="62"/>
  <c r="AO86" i="62"/>
  <c r="AQ86" i="62" s="1"/>
  <c r="AQ85" i="62"/>
  <c r="AP85" i="62"/>
  <c r="AO85" i="62"/>
  <c r="AP84" i="62"/>
  <c r="AO84" i="62"/>
  <c r="AQ84" i="62" s="1"/>
  <c r="AP83" i="62"/>
  <c r="AO83" i="62"/>
  <c r="AQ83" i="62" s="1"/>
  <c r="AP82" i="62"/>
  <c r="AO82" i="62"/>
  <c r="AQ82" i="62" s="1"/>
  <c r="AP81" i="62"/>
  <c r="AO81" i="62"/>
  <c r="AQ81" i="62" s="1"/>
  <c r="AP79" i="62"/>
  <c r="AQ79" i="62" s="1"/>
  <c r="AO79" i="62"/>
  <c r="AQ78" i="62"/>
  <c r="AP78" i="62"/>
  <c r="AO78" i="62"/>
  <c r="AP77" i="62"/>
  <c r="AO77" i="62"/>
  <c r="AQ77" i="62" s="1"/>
  <c r="AQ76" i="62"/>
  <c r="AP76" i="62"/>
  <c r="AO76" i="62"/>
  <c r="AP75" i="62"/>
  <c r="AO75" i="62"/>
  <c r="AQ75" i="62" s="1"/>
  <c r="AP74" i="62"/>
  <c r="AO74" i="62"/>
  <c r="AQ74" i="62" s="1"/>
  <c r="AP73" i="62"/>
  <c r="AO73" i="62"/>
  <c r="AQ73" i="62" s="1"/>
  <c r="AP71" i="62"/>
  <c r="AO71" i="62"/>
  <c r="AQ71" i="62" s="1"/>
  <c r="AP70" i="62"/>
  <c r="AQ70" i="62" s="1"/>
  <c r="AO70" i="62"/>
  <c r="AQ69" i="62"/>
  <c r="AP69" i="62"/>
  <c r="AO69" i="62"/>
  <c r="AP68" i="62"/>
  <c r="AO68" i="62"/>
  <c r="AQ68" i="62" s="1"/>
  <c r="AQ64" i="62"/>
  <c r="AP64" i="62"/>
  <c r="AO64" i="62"/>
  <c r="AP62" i="62"/>
  <c r="AO62" i="62"/>
  <c r="AQ62" i="62" s="1"/>
  <c r="AP61" i="62"/>
  <c r="AO61" i="62"/>
  <c r="AQ61" i="62" s="1"/>
  <c r="AP60" i="62"/>
  <c r="AO60" i="62"/>
  <c r="AQ60" i="62" s="1"/>
  <c r="AP59" i="62"/>
  <c r="AO59" i="62"/>
  <c r="AQ59" i="62" s="1"/>
  <c r="AP58" i="62"/>
  <c r="AQ58" i="62" s="1"/>
  <c r="AO58" i="62"/>
  <c r="AQ57" i="62"/>
  <c r="AP57" i="62"/>
  <c r="AO57" i="62"/>
  <c r="AP56" i="62"/>
  <c r="AO56" i="62"/>
  <c r="AQ56" i="62" s="1"/>
  <c r="AP55" i="62"/>
  <c r="AO55" i="62"/>
  <c r="AQ55" i="62" s="1"/>
  <c r="AP54" i="62"/>
  <c r="AO54" i="62"/>
  <c r="AQ54" i="62" s="1"/>
  <c r="AP53" i="62"/>
  <c r="AO53" i="62"/>
  <c r="AQ53" i="62" s="1"/>
  <c r="AP52" i="62"/>
  <c r="AO52" i="62"/>
  <c r="AQ52" i="62" s="1"/>
  <c r="AP51" i="62"/>
  <c r="AO51" i="62"/>
  <c r="AQ51" i="62" s="1"/>
  <c r="AP50" i="62"/>
  <c r="AQ50" i="62" s="1"/>
  <c r="AO50" i="62"/>
  <c r="AQ49" i="62"/>
  <c r="AP49" i="62"/>
  <c r="AO49" i="62"/>
  <c r="AP48" i="62"/>
  <c r="AO48" i="62"/>
  <c r="AQ48" i="62" s="1"/>
  <c r="AP46" i="62"/>
  <c r="AO46" i="62"/>
  <c r="AQ46" i="62" s="1"/>
  <c r="AP45" i="62"/>
  <c r="AO45" i="62"/>
  <c r="AQ45" i="62" s="1"/>
  <c r="AP44" i="62"/>
  <c r="AO44" i="62"/>
  <c r="AQ44" i="62" s="1"/>
  <c r="AP43" i="62"/>
  <c r="AO43" i="62"/>
  <c r="AQ43" i="62" s="1"/>
  <c r="AP42" i="62"/>
  <c r="AO42" i="62"/>
  <c r="AQ42" i="62" s="1"/>
  <c r="AP41" i="62"/>
  <c r="AQ41" i="62" s="1"/>
  <c r="AO41" i="62"/>
  <c r="AQ40" i="62"/>
  <c r="AP40" i="62"/>
  <c r="AO40" i="62"/>
  <c r="AP39" i="62"/>
  <c r="AO39" i="62"/>
  <c r="AQ39" i="62" s="1"/>
  <c r="AP38" i="62"/>
  <c r="AO38" i="62"/>
  <c r="AQ38" i="62" s="1"/>
  <c r="AP37" i="62"/>
  <c r="AO37" i="62"/>
  <c r="AQ37" i="62" s="1"/>
  <c r="AP36" i="62"/>
  <c r="AO36" i="62"/>
  <c r="AQ36" i="62" s="1"/>
  <c r="AP35" i="62"/>
  <c r="AO35" i="62"/>
  <c r="AQ35" i="62" s="1"/>
  <c r="AP34" i="62"/>
  <c r="AO34" i="62"/>
  <c r="AQ34" i="62" s="1"/>
  <c r="AP33" i="62"/>
  <c r="AQ33" i="62" s="1"/>
  <c r="AO33" i="62"/>
  <c r="AQ29" i="62"/>
  <c r="AP29" i="62"/>
  <c r="AO29" i="62"/>
  <c r="AP28" i="62"/>
  <c r="AO28" i="62"/>
  <c r="AQ28" i="62" s="1"/>
  <c r="AP27" i="62"/>
  <c r="AO27" i="62"/>
  <c r="AQ27" i="62" s="1"/>
  <c r="AQ26" i="62"/>
  <c r="AP26" i="62"/>
  <c r="AO26" i="62"/>
  <c r="AP25" i="62"/>
  <c r="AO25" i="62"/>
  <c r="AQ25" i="62" s="1"/>
  <c r="AP24" i="62"/>
  <c r="AO24" i="62"/>
  <c r="AQ24" i="62" s="1"/>
  <c r="AP23" i="62"/>
  <c r="AO23" i="62"/>
  <c r="AQ23" i="62" s="1"/>
  <c r="AP22" i="62"/>
  <c r="AQ22" i="62" s="1"/>
  <c r="AO22" i="62"/>
  <c r="AQ21" i="62"/>
  <c r="AP21" i="62"/>
  <c r="AO21" i="62"/>
  <c r="AP20" i="62"/>
  <c r="AO20" i="62"/>
  <c r="AQ20" i="62" s="1"/>
  <c r="AP19" i="62"/>
  <c r="AO19" i="62"/>
  <c r="AQ19" i="62" s="1"/>
  <c r="AQ18" i="62"/>
  <c r="AP18" i="62"/>
  <c r="AO18" i="62"/>
  <c r="AP17" i="62"/>
  <c r="AO17" i="62"/>
  <c r="AQ17" i="62" s="1"/>
  <c r="AP16" i="62"/>
  <c r="AO16" i="62"/>
  <c r="AQ16" i="62" s="1"/>
  <c r="AP15" i="62"/>
  <c r="AO15" i="62"/>
  <c r="AQ15" i="62" s="1"/>
  <c r="AP14" i="62"/>
  <c r="AQ14" i="62" s="1"/>
  <c r="AO14" i="62"/>
  <c r="M33" i="37" l="1"/>
  <c r="I33" i="37"/>
  <c r="M33" i="33"/>
  <c r="I33" i="33"/>
  <c r="M33" i="35"/>
  <c r="I33" i="35"/>
  <c r="M33" i="29"/>
  <c r="I33" i="29"/>
  <c r="M33" i="23"/>
  <c r="I33" i="23"/>
  <c r="M33" i="18"/>
  <c r="I33" i="18"/>
  <c r="L106" i="13"/>
  <c r="L104" i="13"/>
  <c r="E97" i="33" l="1"/>
  <c r="E97" i="37"/>
  <c r="E97" i="13"/>
  <c r="M97" i="13"/>
  <c r="M97" i="33"/>
  <c r="M97" i="37"/>
  <c r="E52" i="39" l="1"/>
  <c r="D52" i="39"/>
  <c r="E51" i="39"/>
  <c r="D51" i="39"/>
  <c r="K106" i="37" l="1"/>
  <c r="J106" i="37"/>
  <c r="L106" i="37" s="1"/>
  <c r="K104" i="37"/>
  <c r="J104" i="37"/>
  <c r="L104" i="37" s="1"/>
  <c r="L95" i="37"/>
  <c r="K95" i="37"/>
  <c r="J95" i="37"/>
  <c r="K93" i="37"/>
  <c r="J93" i="37"/>
  <c r="L93" i="37" s="1"/>
  <c r="K85" i="37"/>
  <c r="J85" i="37"/>
  <c r="L85" i="37" s="1"/>
  <c r="K83" i="37"/>
  <c r="J83" i="37"/>
  <c r="L83" i="37" s="1"/>
  <c r="K74" i="37"/>
  <c r="J74" i="37"/>
  <c r="L74" i="37" s="1"/>
  <c r="K72" i="37"/>
  <c r="J72" i="37"/>
  <c r="L72" i="37" s="1"/>
  <c r="I106" i="37"/>
  <c r="H106" i="37"/>
  <c r="I104" i="37"/>
  <c r="H104" i="37"/>
  <c r="I95" i="37"/>
  <c r="H95" i="37"/>
  <c r="I93" i="37"/>
  <c r="H93" i="37"/>
  <c r="I85" i="37"/>
  <c r="H85" i="37"/>
  <c r="I83" i="37"/>
  <c r="H83" i="37"/>
  <c r="I74" i="37"/>
  <c r="H74" i="37"/>
  <c r="I72" i="37"/>
  <c r="H72" i="37"/>
  <c r="E104" i="37"/>
  <c r="D104" i="37"/>
  <c r="E93" i="37"/>
  <c r="D93" i="37"/>
  <c r="E52" i="37"/>
  <c r="D52" i="37"/>
  <c r="E51" i="37"/>
  <c r="D51" i="37"/>
  <c r="K106" i="33"/>
  <c r="J106" i="33"/>
  <c r="L106" i="33" s="1"/>
  <c r="K104" i="33"/>
  <c r="J104" i="33"/>
  <c r="L104" i="33" s="1"/>
  <c r="K95" i="33"/>
  <c r="J95" i="33"/>
  <c r="L95" i="33" s="1"/>
  <c r="K93" i="33"/>
  <c r="J93" i="33"/>
  <c r="L93" i="33" s="1"/>
  <c r="K85" i="33"/>
  <c r="J85" i="33"/>
  <c r="L85" i="33" s="1"/>
  <c r="K83" i="33"/>
  <c r="J83" i="33"/>
  <c r="L83" i="33" s="1"/>
  <c r="K74" i="33"/>
  <c r="J74" i="33"/>
  <c r="L74" i="33" s="1"/>
  <c r="K72" i="33"/>
  <c r="J72" i="33"/>
  <c r="L72" i="33" s="1"/>
  <c r="I106" i="33"/>
  <c r="H106" i="33"/>
  <c r="I104" i="33"/>
  <c r="H104" i="33"/>
  <c r="I95" i="33"/>
  <c r="H95" i="33"/>
  <c r="I93" i="33"/>
  <c r="H93" i="33"/>
  <c r="I85" i="33"/>
  <c r="H85" i="33"/>
  <c r="I83" i="33"/>
  <c r="H83" i="33"/>
  <c r="I74" i="33"/>
  <c r="H74" i="33"/>
  <c r="I72" i="33"/>
  <c r="H72" i="33"/>
  <c r="E104" i="33"/>
  <c r="D104" i="33"/>
  <c r="E93" i="33"/>
  <c r="D93" i="33"/>
  <c r="E83" i="33"/>
  <c r="D83" i="33"/>
  <c r="E72" i="33"/>
  <c r="D72" i="33"/>
  <c r="K94" i="35" l="1"/>
  <c r="J94" i="35"/>
  <c r="L94" i="35" s="1"/>
  <c r="K93" i="35"/>
  <c r="J93" i="35"/>
  <c r="L93" i="35" s="1"/>
  <c r="I94" i="35"/>
  <c r="H94" i="35"/>
  <c r="I93" i="35"/>
  <c r="H93" i="35"/>
  <c r="K106" i="29" l="1"/>
  <c r="J106" i="29"/>
  <c r="L106" i="29" s="1"/>
  <c r="K105" i="29"/>
  <c r="J105" i="29"/>
  <c r="L105" i="29" s="1"/>
  <c r="K104" i="29"/>
  <c r="J104" i="29"/>
  <c r="L104" i="29" s="1"/>
  <c r="K95" i="29"/>
  <c r="J95" i="29"/>
  <c r="L95" i="29" s="1"/>
  <c r="K94" i="29"/>
  <c r="J94" i="29"/>
  <c r="L94" i="29" s="1"/>
  <c r="L93" i="29"/>
  <c r="K93" i="29"/>
  <c r="J93" i="29"/>
  <c r="K92" i="29"/>
  <c r="J92" i="29"/>
  <c r="L92" i="29" s="1"/>
  <c r="K90" i="29"/>
  <c r="J90" i="29"/>
  <c r="L90" i="29" s="1"/>
  <c r="K85" i="29"/>
  <c r="J85" i="29"/>
  <c r="L85" i="29" s="1"/>
  <c r="K84" i="29"/>
  <c r="J84" i="29"/>
  <c r="L84" i="29" s="1"/>
  <c r="K83" i="29"/>
  <c r="J83" i="29"/>
  <c r="L83" i="29" s="1"/>
  <c r="K74" i="29"/>
  <c r="J74" i="29"/>
  <c r="L74" i="29" s="1"/>
  <c r="L73" i="29"/>
  <c r="K73" i="29"/>
  <c r="J73" i="29"/>
  <c r="L72" i="29"/>
  <c r="K72" i="29"/>
  <c r="J72" i="29"/>
  <c r="K71" i="29"/>
  <c r="J71" i="29"/>
  <c r="L71" i="29" s="1"/>
  <c r="K70" i="29"/>
  <c r="J70" i="29"/>
  <c r="L70" i="29" s="1"/>
  <c r="L69" i="29"/>
  <c r="K69" i="29"/>
  <c r="J69" i="29"/>
  <c r="I106" i="29"/>
  <c r="H106" i="29"/>
  <c r="I105" i="29"/>
  <c r="H105" i="29"/>
  <c r="I104" i="29"/>
  <c r="H104" i="29"/>
  <c r="I95" i="29"/>
  <c r="H95" i="29"/>
  <c r="I94" i="29"/>
  <c r="H94" i="29"/>
  <c r="I93" i="29"/>
  <c r="H93" i="29"/>
  <c r="I92" i="29"/>
  <c r="H92" i="29"/>
  <c r="I90" i="29"/>
  <c r="H90" i="29"/>
  <c r="I85" i="29"/>
  <c r="H85" i="29"/>
  <c r="I84" i="29"/>
  <c r="H84" i="29"/>
  <c r="I83" i="29"/>
  <c r="H83" i="29"/>
  <c r="I74" i="29"/>
  <c r="H74" i="29"/>
  <c r="I73" i="29"/>
  <c r="H73" i="29"/>
  <c r="I72" i="29"/>
  <c r="H72" i="29"/>
  <c r="I71" i="29"/>
  <c r="H71" i="29"/>
  <c r="I70" i="29"/>
  <c r="H70" i="29"/>
  <c r="I69" i="29"/>
  <c r="H69" i="29"/>
  <c r="E104" i="29"/>
  <c r="D104" i="29"/>
  <c r="E93" i="29"/>
  <c r="D93" i="29"/>
  <c r="E83" i="29"/>
  <c r="D83" i="29"/>
  <c r="E72" i="29"/>
  <c r="D72" i="29"/>
  <c r="E69" i="29"/>
  <c r="D69" i="29"/>
  <c r="E50" i="26" l="1"/>
  <c r="D50" i="26"/>
  <c r="L106" i="23"/>
  <c r="L104" i="23"/>
  <c r="L95" i="23"/>
  <c r="L93" i="23"/>
  <c r="L85" i="23"/>
  <c r="L83" i="23"/>
  <c r="L74" i="23"/>
  <c r="L72" i="23"/>
  <c r="K106" i="23"/>
  <c r="J106" i="23"/>
  <c r="K104" i="23"/>
  <c r="J104" i="23"/>
  <c r="K95" i="23"/>
  <c r="J95" i="23"/>
  <c r="K93" i="23"/>
  <c r="J93" i="23"/>
  <c r="K85" i="23"/>
  <c r="J85" i="23"/>
  <c r="K83" i="23"/>
  <c r="J83" i="23"/>
  <c r="K74" i="23"/>
  <c r="J74" i="23"/>
  <c r="K72" i="23"/>
  <c r="J72" i="23"/>
  <c r="H106" i="23"/>
  <c r="H104" i="23"/>
  <c r="H95" i="23"/>
  <c r="H93" i="23"/>
  <c r="H85" i="23"/>
  <c r="H83" i="23"/>
  <c r="H74" i="23"/>
  <c r="H72" i="23"/>
  <c r="L85" i="20"/>
  <c r="L83" i="20"/>
  <c r="L74" i="20"/>
  <c r="L72" i="20"/>
  <c r="J85" i="20"/>
  <c r="J83" i="20"/>
  <c r="J74" i="20"/>
  <c r="J72" i="20"/>
  <c r="H85" i="20"/>
  <c r="H83" i="20"/>
  <c r="H74" i="20"/>
  <c r="H72" i="20"/>
  <c r="E83" i="20"/>
  <c r="D83" i="20"/>
  <c r="E72" i="20"/>
  <c r="D72" i="20"/>
  <c r="E52" i="16"/>
  <c r="E51" i="16"/>
  <c r="E51" i="77"/>
  <c r="D51" i="77"/>
  <c r="L95" i="13"/>
  <c r="L93" i="13"/>
  <c r="L91" i="13"/>
  <c r="L90" i="13"/>
  <c r="L85" i="13"/>
  <c r="L83" i="13"/>
  <c r="L74" i="13"/>
  <c r="L72" i="13"/>
  <c r="K106" i="13"/>
  <c r="J106" i="13"/>
  <c r="K104" i="13"/>
  <c r="J104" i="13"/>
  <c r="K95" i="13"/>
  <c r="J95" i="13"/>
  <c r="K93" i="13"/>
  <c r="J93" i="13"/>
  <c r="K91" i="13"/>
  <c r="J91" i="13"/>
  <c r="K90" i="13"/>
  <c r="J90" i="13"/>
  <c r="K85" i="13"/>
  <c r="J85" i="13"/>
  <c r="K83" i="13"/>
  <c r="J83" i="13"/>
  <c r="K74" i="13"/>
  <c r="J74" i="13"/>
  <c r="K72" i="13"/>
  <c r="J72" i="13"/>
  <c r="I106" i="13"/>
  <c r="H106" i="13"/>
  <c r="I104" i="13"/>
  <c r="H104" i="13"/>
  <c r="I95" i="13"/>
  <c r="H95" i="13"/>
  <c r="I93" i="13"/>
  <c r="H93" i="13"/>
  <c r="I91" i="13"/>
  <c r="H91" i="13"/>
  <c r="I90" i="13"/>
  <c r="H90" i="13"/>
  <c r="I85" i="13"/>
  <c r="H85" i="13"/>
  <c r="I83" i="13"/>
  <c r="H83" i="13"/>
  <c r="I74" i="13"/>
  <c r="H74" i="13"/>
  <c r="I72" i="13"/>
  <c r="H72" i="13"/>
  <c r="E104" i="13"/>
  <c r="D104" i="13"/>
  <c r="E93" i="13"/>
  <c r="D93" i="13"/>
  <c r="L106" i="27"/>
  <c r="L104" i="27"/>
  <c r="L95" i="27"/>
  <c r="L93" i="27"/>
  <c r="L85" i="27"/>
  <c r="L83" i="27"/>
  <c r="L74" i="27"/>
  <c r="L72" i="27"/>
  <c r="J106" i="27"/>
  <c r="J104" i="27"/>
  <c r="J95" i="27"/>
  <c r="J93" i="27"/>
  <c r="J85" i="27"/>
  <c r="J83" i="27"/>
  <c r="J74" i="27"/>
  <c r="J72" i="27"/>
  <c r="H106" i="27"/>
  <c r="H104" i="27"/>
  <c r="H95" i="27"/>
  <c r="H93" i="27"/>
  <c r="H85" i="27"/>
  <c r="H83" i="27"/>
  <c r="H74" i="27"/>
  <c r="H72" i="27"/>
  <c r="L106" i="18"/>
  <c r="L104" i="18"/>
  <c r="L95" i="18"/>
  <c r="L93" i="18"/>
  <c r="K85" i="18"/>
  <c r="L85" i="18" s="1"/>
  <c r="H106" i="18"/>
  <c r="H104" i="18"/>
  <c r="K106" i="18"/>
  <c r="J106" i="18"/>
  <c r="K104" i="18"/>
  <c r="J104" i="18"/>
  <c r="K95" i="18"/>
  <c r="J95" i="18"/>
  <c r="K93" i="18"/>
  <c r="J93" i="18"/>
  <c r="J85" i="18"/>
  <c r="K83" i="18"/>
  <c r="J83" i="18"/>
  <c r="L83" i="18"/>
  <c r="L74" i="18"/>
  <c r="L72" i="18"/>
  <c r="K74" i="18" l="1"/>
  <c r="J74" i="18"/>
  <c r="K72" i="18"/>
  <c r="J72" i="18"/>
  <c r="H95" i="18"/>
  <c r="H93" i="18"/>
  <c r="H85" i="18"/>
  <c r="H83" i="18"/>
  <c r="H74" i="18"/>
  <c r="H72" i="18"/>
  <c r="C106" i="4" l="1"/>
  <c r="C105" i="4"/>
  <c r="C95" i="4"/>
  <c r="C94" i="4"/>
  <c r="C92" i="4"/>
  <c r="C91" i="4"/>
  <c r="C85" i="4"/>
  <c r="C84" i="4"/>
  <c r="C82" i="4"/>
  <c r="C81" i="4"/>
  <c r="C74" i="4"/>
  <c r="C73" i="4"/>
  <c r="C71" i="4"/>
  <c r="C70" i="4"/>
  <c r="B106" i="4"/>
  <c r="B105" i="4"/>
  <c r="B95" i="4"/>
  <c r="B94" i="4"/>
  <c r="B92" i="4"/>
  <c r="B91" i="4"/>
  <c r="B85" i="4"/>
  <c r="B84" i="4"/>
  <c r="B82" i="4"/>
  <c r="B81" i="4"/>
  <c r="B74" i="4"/>
  <c r="B73" i="4"/>
  <c r="B71" i="4"/>
  <c r="B70" i="4"/>
  <c r="F39" i="4"/>
  <c r="F38" i="4"/>
  <c r="F37" i="4"/>
  <c r="F36" i="4"/>
  <c r="E39" i="4"/>
  <c r="E38" i="4"/>
  <c r="E37" i="4"/>
  <c r="E36" i="4"/>
  <c r="F9" i="4"/>
  <c r="F8" i="4"/>
  <c r="E9" i="4"/>
  <c r="E8" i="4"/>
  <c r="D48" i="20" l="1"/>
  <c r="D57" i="22"/>
  <c r="D56" i="22"/>
  <c r="D54" i="22"/>
  <c r="D53" i="22"/>
  <c r="D52" i="22"/>
  <c r="D51" i="22"/>
  <c r="I35" i="71" l="1"/>
  <c r="I16" i="71"/>
  <c r="AH10" i="71" l="1"/>
  <c r="Y10" i="71"/>
  <c r="S12" i="71"/>
  <c r="S10" i="71"/>
  <c r="P10" i="71"/>
  <c r="M12" i="71"/>
  <c r="M11" i="71"/>
  <c r="M10" i="71"/>
  <c r="J10" i="71"/>
  <c r="G11" i="71"/>
  <c r="AB29" i="70"/>
  <c r="AB26" i="70"/>
  <c r="AE45" i="69"/>
  <c r="Y45" i="69"/>
  <c r="V18" i="69"/>
  <c r="V15" i="69"/>
  <c r="V12" i="69"/>
  <c r="S43" i="69"/>
  <c r="S37" i="69"/>
  <c r="P40" i="69" l="1"/>
  <c r="P34" i="69"/>
  <c r="P30" i="69"/>
  <c r="P24" i="69"/>
  <c r="P22" i="69"/>
  <c r="P18" i="69"/>
  <c r="P12" i="69"/>
  <c r="M40" i="69"/>
  <c r="M34" i="69"/>
  <c r="M30" i="69"/>
  <c r="M24" i="69"/>
  <c r="M22" i="69"/>
  <c r="M18" i="69"/>
  <c r="M12" i="69"/>
  <c r="D37" i="69"/>
  <c r="D22" i="69"/>
  <c r="D20" i="69"/>
  <c r="D18" i="69"/>
  <c r="D14" i="69"/>
  <c r="AN46" i="62"/>
  <c r="AK24" i="62"/>
  <c r="AK42" i="62"/>
  <c r="AK49" i="62"/>
  <c r="AK58" i="62"/>
  <c r="AK57" i="62"/>
  <c r="AH28" i="62"/>
  <c r="AH89" i="62"/>
  <c r="AE78" i="62"/>
  <c r="AE77" i="62"/>
  <c r="AE76" i="62"/>
  <c r="AE21" i="62"/>
  <c r="AB15" i="62"/>
  <c r="AB24" i="62"/>
  <c r="AB25" i="62"/>
  <c r="AB42" i="62"/>
  <c r="AB49" i="62"/>
  <c r="AB48" i="62"/>
  <c r="AB58" i="62"/>
  <c r="AB57" i="62"/>
  <c r="AB56" i="62"/>
  <c r="AB83" i="62"/>
  <c r="AB87" i="62"/>
  <c r="Y87" i="62"/>
  <c r="Y84" i="62"/>
  <c r="Y82" i="62"/>
  <c r="Y78" i="62"/>
  <c r="Y77" i="62"/>
  <c r="Y72" i="62"/>
  <c r="Y52" i="62"/>
  <c r="V28" i="62"/>
  <c r="S76" i="62"/>
  <c r="S71" i="62"/>
  <c r="S61" i="62"/>
  <c r="S49" i="62"/>
  <c r="S46" i="62"/>
  <c r="S40" i="62"/>
  <c r="S34" i="62"/>
  <c r="S19" i="62"/>
  <c r="S14" i="62"/>
  <c r="P18" i="62"/>
  <c r="P17" i="62"/>
  <c r="P37" i="62"/>
  <c r="P36" i="62"/>
  <c r="P75" i="62"/>
  <c r="P88" i="62"/>
  <c r="M88" i="62"/>
  <c r="M87" i="62"/>
  <c r="M75" i="62"/>
  <c r="M43" i="62"/>
  <c r="M42" i="62"/>
  <c r="M38" i="62"/>
  <c r="M34" i="62"/>
  <c r="M23" i="62"/>
  <c r="M19" i="62"/>
  <c r="M15" i="62"/>
  <c r="J49" i="62"/>
  <c r="J46" i="62"/>
  <c r="J38" i="62"/>
  <c r="J19" i="62"/>
  <c r="J18" i="62"/>
  <c r="J17" i="62"/>
  <c r="D70" i="62"/>
  <c r="D58" i="62"/>
  <c r="D57" i="62"/>
  <c r="V12" i="68"/>
  <c r="D24" i="68"/>
  <c r="D12" i="68"/>
  <c r="AN37" i="67"/>
  <c r="AN36" i="67"/>
  <c r="AN38" i="67"/>
  <c r="AN41" i="67"/>
  <c r="AN46" i="67"/>
  <c r="AN62" i="67"/>
  <c r="AN61" i="67"/>
  <c r="AN60" i="67"/>
  <c r="AN65" i="67"/>
  <c r="AN64" i="67"/>
  <c r="AN66" i="67"/>
  <c r="AN69" i="67"/>
  <c r="AN70" i="67"/>
  <c r="AN72" i="67"/>
  <c r="AN74" i="67"/>
  <c r="AN77" i="67"/>
  <c r="AN82" i="67"/>
  <c r="AN105" i="67"/>
  <c r="AK73" i="67"/>
  <c r="AK57" i="67"/>
  <c r="AK52" i="67"/>
  <c r="AK49" i="67"/>
  <c r="AK37" i="67"/>
  <c r="AH48" i="67"/>
  <c r="AH50" i="67"/>
  <c r="AH58" i="67"/>
  <c r="AE126" i="67"/>
  <c r="AE122" i="67"/>
  <c r="AB57" i="67"/>
  <c r="AB87" i="67"/>
  <c r="AB103" i="67"/>
  <c r="AB105" i="67"/>
  <c r="Y140" i="67"/>
  <c r="Y135" i="67"/>
  <c r="S52" i="67"/>
  <c r="S51" i="67"/>
  <c r="S90" i="67"/>
  <c r="J85" i="67"/>
  <c r="D96" i="67"/>
  <c r="AN98" i="66"/>
  <c r="AN54" i="66"/>
  <c r="AN48" i="66"/>
  <c r="AH108" i="66"/>
  <c r="AH103" i="66"/>
  <c r="AH98" i="66"/>
  <c r="AH46" i="66"/>
  <c r="AH44" i="66"/>
  <c r="AH41" i="66"/>
  <c r="AH38" i="66"/>
  <c r="AH36" i="66"/>
  <c r="AB107" i="66"/>
  <c r="AB105" i="66"/>
  <c r="AB95" i="66"/>
  <c r="AB81" i="66"/>
  <c r="AB77" i="66"/>
  <c r="AB57" i="66"/>
  <c r="AB31" i="66"/>
  <c r="AB30" i="66"/>
  <c r="AB27" i="66"/>
  <c r="V36" i="66"/>
  <c r="AJ12" i="71"/>
  <c r="AJ11" i="71"/>
  <c r="AI12" i="71"/>
  <c r="AI11" i="71"/>
  <c r="F35" i="71"/>
  <c r="F16" i="71"/>
  <c r="G12" i="71"/>
  <c r="G10" i="71"/>
  <c r="F8" i="71"/>
  <c r="E8" i="71"/>
  <c r="AG35" i="71" l="1"/>
  <c r="AG16" i="71"/>
  <c r="AD19" i="70"/>
  <c r="AC19" i="70"/>
  <c r="AD18" i="70"/>
  <c r="AC18" i="70"/>
  <c r="AD17" i="70"/>
  <c r="AC17" i="70"/>
  <c r="AC14" i="70"/>
  <c r="AC13" i="70"/>
  <c r="AC12" i="70"/>
  <c r="AD11" i="70"/>
  <c r="AJ43" i="69"/>
  <c r="AJ41" i="69" s="1"/>
  <c r="AI43" i="69"/>
  <c r="AI41" i="69" s="1"/>
  <c r="AJ35" i="69"/>
  <c r="AI35" i="69"/>
  <c r="AJ33" i="69"/>
  <c r="AJ32" i="69"/>
  <c r="AJ31" i="69"/>
  <c r="AJ30" i="69"/>
  <c r="AJ28" i="69"/>
  <c r="AJ25" i="69"/>
  <c r="AI23" i="69"/>
  <c r="AI19" i="69"/>
  <c r="AI12" i="69"/>
  <c r="AJ11" i="69"/>
  <c r="AM85" i="62"/>
  <c r="AL85" i="62"/>
  <c r="AM79" i="62"/>
  <c r="AL79" i="62"/>
  <c r="AL91" i="62" s="1"/>
  <c r="AM54" i="62"/>
  <c r="AL54" i="62"/>
  <c r="AM53" i="62"/>
  <c r="AM50" i="62" s="1"/>
  <c r="AL53" i="62"/>
  <c r="AL50" i="62"/>
  <c r="AM39" i="62"/>
  <c r="AL39" i="62"/>
  <c r="AM38" i="62"/>
  <c r="AM35" i="62" s="1"/>
  <c r="AM45" i="62" s="1"/>
  <c r="AL38" i="62"/>
  <c r="AL35" i="62" s="1"/>
  <c r="AL45" i="62" s="1"/>
  <c r="AM28" i="62"/>
  <c r="AL28" i="62"/>
  <c r="AL22" i="62"/>
  <c r="AL20" i="62" s="1"/>
  <c r="AM20" i="62"/>
  <c r="AM19" i="62"/>
  <c r="AL19" i="62"/>
  <c r="AM16" i="62"/>
  <c r="AL16" i="62"/>
  <c r="AM32" i="68"/>
  <c r="AL32" i="68"/>
  <c r="AL20" i="68"/>
  <c r="AM12" i="68"/>
  <c r="AM20" i="68" s="1"/>
  <c r="AM130" i="67"/>
  <c r="AM116" i="67"/>
  <c r="AM104" i="67"/>
  <c r="AM92" i="67"/>
  <c r="AM80" i="67"/>
  <c r="AN80" i="67" s="1"/>
  <c r="AM68" i="67"/>
  <c r="AN68" i="67" s="1"/>
  <c r="AM56" i="67"/>
  <c r="AM44" i="67"/>
  <c r="AN44" i="67" s="1"/>
  <c r="AM20" i="67"/>
  <c r="AM106" i="66"/>
  <c r="AL106" i="66"/>
  <c r="AM70" i="66"/>
  <c r="AL70" i="66"/>
  <c r="AM56" i="66"/>
  <c r="AL56" i="66"/>
  <c r="AM44" i="66"/>
  <c r="AL44" i="66"/>
  <c r="AM20" i="66"/>
  <c r="AL20" i="66"/>
  <c r="AM56" i="65"/>
  <c r="AM57" i="65" s="1"/>
  <c r="AL56" i="65"/>
  <c r="AL57" i="65" s="1"/>
  <c r="AM44" i="65"/>
  <c r="AL44" i="65"/>
  <c r="AM40" i="65"/>
  <c r="AL40" i="65"/>
  <c r="AM29" i="65"/>
  <c r="AL29" i="65"/>
  <c r="AM19" i="65"/>
  <c r="AM21" i="65" s="1"/>
  <c r="AL19" i="65"/>
  <c r="AL21" i="65" s="1"/>
  <c r="AM14" i="65"/>
  <c r="AL14" i="65"/>
  <c r="AD35" i="71"/>
  <c r="AD16" i="71"/>
  <c r="AD10" i="71"/>
  <c r="AC10" i="71"/>
  <c r="AA31" i="70"/>
  <c r="Z31" i="70"/>
  <c r="AA26" i="70"/>
  <c r="AA11" i="70"/>
  <c r="Z11" i="70"/>
  <c r="AG41" i="69"/>
  <c r="AF41" i="69"/>
  <c r="AG35" i="69"/>
  <c r="AF35" i="69"/>
  <c r="AG23" i="69"/>
  <c r="AF23" i="69"/>
  <c r="AG11" i="69"/>
  <c r="AF11" i="69"/>
  <c r="AJ85" i="62"/>
  <c r="AI85" i="62"/>
  <c r="AJ79" i="62"/>
  <c r="AI79" i="62"/>
  <c r="AI91" i="62" s="1"/>
  <c r="AJ54" i="62"/>
  <c r="AJ60" i="62" s="1"/>
  <c r="AI54" i="62"/>
  <c r="AI60" i="62" s="1"/>
  <c r="AJ39" i="62"/>
  <c r="AI39" i="62"/>
  <c r="AJ35" i="62"/>
  <c r="AI35" i="62"/>
  <c r="AJ20" i="62"/>
  <c r="AI20" i="62"/>
  <c r="AJ16" i="62"/>
  <c r="AI16" i="62"/>
  <c r="AJ20" i="68"/>
  <c r="AI20" i="68"/>
  <c r="AJ104" i="67"/>
  <c r="AI104" i="67"/>
  <c r="AJ92" i="67"/>
  <c r="AI92" i="67"/>
  <c r="AJ80" i="67"/>
  <c r="AI80" i="67"/>
  <c r="AJ68" i="67"/>
  <c r="AI68" i="67"/>
  <c r="AJ56" i="67"/>
  <c r="AI56" i="67"/>
  <c r="AJ44" i="67"/>
  <c r="AI44" i="67"/>
  <c r="AJ20" i="67"/>
  <c r="AI20" i="67"/>
  <c r="AJ106" i="66"/>
  <c r="AI106" i="66"/>
  <c r="AJ82" i="66"/>
  <c r="AI82" i="66"/>
  <c r="AJ70" i="66"/>
  <c r="AI70" i="66"/>
  <c r="AJ56" i="66"/>
  <c r="AI56" i="66"/>
  <c r="AJ32" i="66"/>
  <c r="AI32" i="66"/>
  <c r="AJ20" i="66"/>
  <c r="AI20" i="66"/>
  <c r="AJ56" i="65"/>
  <c r="AJ57" i="65" s="1"/>
  <c r="AI56" i="65"/>
  <c r="AI57" i="65" s="1"/>
  <c r="AJ40" i="65"/>
  <c r="AI40" i="65"/>
  <c r="AJ29" i="65"/>
  <c r="AI29" i="65"/>
  <c r="AJ21" i="65"/>
  <c r="AI21" i="65"/>
  <c r="AJ14" i="65"/>
  <c r="AI14" i="65"/>
  <c r="AL27" i="62" l="1"/>
  <c r="AL29" i="62" s="1"/>
  <c r="AI27" i="62"/>
  <c r="AI29" i="62" s="1"/>
  <c r="AI11" i="69"/>
  <c r="AM27" i="62"/>
  <c r="AM29" i="62" s="1"/>
  <c r="AM64" i="62" s="1"/>
  <c r="AM60" i="62"/>
  <c r="AJ45" i="62"/>
  <c r="AM62" i="62"/>
  <c r="AI34" i="65"/>
  <c r="AI41" i="65" s="1"/>
  <c r="AI43" i="65" s="1"/>
  <c r="AI45" i="65" s="1"/>
  <c r="AL60" i="62"/>
  <c r="AN50" i="62"/>
  <c r="AL62" i="62"/>
  <c r="AL64" i="62" s="1"/>
  <c r="AJ34" i="65"/>
  <c r="AJ41" i="65" s="1"/>
  <c r="AJ43" i="65" s="1"/>
  <c r="AJ45" i="65" s="1"/>
  <c r="AM34" i="65"/>
  <c r="AM41" i="65" s="1"/>
  <c r="AM43" i="65" s="1"/>
  <c r="AM45" i="65" s="1"/>
  <c r="AN53" i="62"/>
  <c r="AM91" i="62"/>
  <c r="AL34" i="65"/>
  <c r="AL41" i="65" s="1"/>
  <c r="AL43" i="65" s="1"/>
  <c r="AL45" i="65" s="1"/>
  <c r="AJ27" i="62"/>
  <c r="AJ29" i="62" s="1"/>
  <c r="AJ23" i="69"/>
  <c r="AI45" i="62"/>
  <c r="AI62" i="62" s="1"/>
  <c r="AI64" i="62" s="1"/>
  <c r="AJ91" i="62"/>
  <c r="AE10" i="71"/>
  <c r="AC11" i="70"/>
  <c r="AC16" i="70"/>
  <c r="AD16" i="70"/>
  <c r="AJ62" i="62"/>
  <c r="AJ64" i="62" l="1"/>
  <c r="AA35" i="71"/>
  <c r="AA16" i="71"/>
  <c r="AA10" i="71"/>
  <c r="Z10" i="71"/>
  <c r="AB10" i="71" s="1"/>
  <c r="X35" i="71" l="1"/>
  <c r="U35" i="71"/>
  <c r="R35" i="71"/>
  <c r="L35" i="71"/>
  <c r="C35" i="71"/>
  <c r="X16" i="71"/>
  <c r="U16" i="71"/>
  <c r="R16" i="71"/>
  <c r="L16" i="71"/>
  <c r="C16" i="71"/>
  <c r="AH12" i="71"/>
  <c r="AE12" i="71"/>
  <c r="AB12" i="71"/>
  <c r="Y12" i="71"/>
  <c r="V12" i="71"/>
  <c r="J12" i="71"/>
  <c r="AH11" i="71"/>
  <c r="AE11" i="71"/>
  <c r="AB11" i="71"/>
  <c r="Y11" i="71"/>
  <c r="V11" i="71"/>
  <c r="S11" i="71"/>
  <c r="J11" i="71"/>
  <c r="D11" i="71"/>
  <c r="U10" i="71"/>
  <c r="V10" i="71" s="1"/>
  <c r="AJ8" i="71"/>
  <c r="AI8" i="71"/>
  <c r="AG8" i="71"/>
  <c r="AF8" i="71"/>
  <c r="AD8" i="71"/>
  <c r="AC8" i="71"/>
  <c r="AA8" i="71"/>
  <c r="Z8" i="71"/>
  <c r="X8" i="71"/>
  <c r="W8" i="71"/>
  <c r="U8" i="71"/>
  <c r="T8" i="71"/>
  <c r="R8" i="71"/>
  <c r="Q8" i="71"/>
  <c r="O8" i="71"/>
  <c r="N8" i="71"/>
  <c r="L8" i="71"/>
  <c r="K8" i="71"/>
  <c r="I8" i="71"/>
  <c r="H8" i="71"/>
  <c r="AG42" i="70"/>
  <c r="AF42" i="70"/>
  <c r="AH42" i="70" s="1"/>
  <c r="AG41" i="70"/>
  <c r="AF41" i="70"/>
  <c r="AH41" i="70" s="1"/>
  <c r="AG40" i="70"/>
  <c r="Q40" i="70"/>
  <c r="AF40" i="70" s="1"/>
  <c r="AD39" i="70"/>
  <c r="AC39" i="70"/>
  <c r="AA39" i="70"/>
  <c r="Z39" i="70"/>
  <c r="X39" i="70"/>
  <c r="W39" i="70"/>
  <c r="U39" i="70"/>
  <c r="T39" i="70"/>
  <c r="E39" i="70"/>
  <c r="O39" i="70"/>
  <c r="N39" i="70"/>
  <c r="AG38" i="70"/>
  <c r="AF38" i="70"/>
  <c r="AD37" i="70"/>
  <c r="AC37" i="70"/>
  <c r="AA37" i="70"/>
  <c r="Z37" i="70"/>
  <c r="X37" i="70"/>
  <c r="W37" i="70"/>
  <c r="U37" i="70"/>
  <c r="T37" i="70"/>
  <c r="V37" i="70" s="1"/>
  <c r="O37" i="70"/>
  <c r="N37" i="70"/>
  <c r="I37" i="70"/>
  <c r="H37" i="70"/>
  <c r="C37" i="70"/>
  <c r="B37" i="70"/>
  <c r="AD36" i="70"/>
  <c r="AA36" i="70"/>
  <c r="Z36" i="70"/>
  <c r="X36" i="70"/>
  <c r="W36" i="70"/>
  <c r="U36" i="70"/>
  <c r="T36" i="70"/>
  <c r="O36" i="70"/>
  <c r="N36" i="70"/>
  <c r="I36" i="70"/>
  <c r="H36" i="70"/>
  <c r="C36" i="70"/>
  <c r="B36" i="70"/>
  <c r="AA35" i="70"/>
  <c r="Z35" i="70"/>
  <c r="AG34" i="70"/>
  <c r="AF34" i="70"/>
  <c r="S34" i="70"/>
  <c r="AG33" i="70"/>
  <c r="AF33" i="70"/>
  <c r="AB33" i="70"/>
  <c r="G33" i="70"/>
  <c r="P33" i="70"/>
  <c r="J33" i="70"/>
  <c r="D33" i="70"/>
  <c r="AG32" i="70"/>
  <c r="AF32" i="70"/>
  <c r="AH32" i="70" s="1"/>
  <c r="AB31" i="70"/>
  <c r="E31" i="70"/>
  <c r="R31" i="70"/>
  <c r="Q31" i="70"/>
  <c r="O31" i="70"/>
  <c r="N31" i="70"/>
  <c r="I31" i="70"/>
  <c r="H31" i="70"/>
  <c r="C31" i="70"/>
  <c r="B31" i="70"/>
  <c r="AG30" i="70"/>
  <c r="AF30" i="70"/>
  <c r="S30" i="70"/>
  <c r="AG29" i="70"/>
  <c r="AF29" i="70"/>
  <c r="AH29" i="70" s="1"/>
  <c r="AG28" i="70"/>
  <c r="AF28" i="70"/>
  <c r="AH28" i="70" s="1"/>
  <c r="AG27" i="70"/>
  <c r="AF27" i="70"/>
  <c r="AH27" i="70" s="1"/>
  <c r="R26" i="70"/>
  <c r="Q26" i="70"/>
  <c r="AF26" i="70" s="1"/>
  <c r="AG25" i="70"/>
  <c r="AF25" i="70"/>
  <c r="AH25" i="70" s="1"/>
  <c r="AG24" i="70"/>
  <c r="AF24" i="70"/>
  <c r="AH24" i="70" s="1"/>
  <c r="AG23" i="70"/>
  <c r="AF23" i="70"/>
  <c r="AH23" i="70" s="1"/>
  <c r="AG22" i="70"/>
  <c r="AF22" i="70"/>
  <c r="AH22" i="70" s="1"/>
  <c r="AF21" i="70"/>
  <c r="AH21" i="70" s="1"/>
  <c r="AG20" i="70"/>
  <c r="AF20" i="70"/>
  <c r="S20" i="70"/>
  <c r="AG19" i="70"/>
  <c r="AE19" i="70"/>
  <c r="V19" i="70"/>
  <c r="N19" i="70"/>
  <c r="P19" i="70" s="1"/>
  <c r="AG18" i="70"/>
  <c r="AF18" i="70"/>
  <c r="V18" i="70"/>
  <c r="P18" i="70"/>
  <c r="AG17" i="70"/>
  <c r="AF17" i="70"/>
  <c r="AE17" i="70"/>
  <c r="V17" i="70"/>
  <c r="P17" i="70"/>
  <c r="U16" i="70"/>
  <c r="T16" i="70"/>
  <c r="R16" i="70"/>
  <c r="Q16" i="70"/>
  <c r="O16" i="70"/>
  <c r="AG15" i="70"/>
  <c r="AF15" i="70"/>
  <c r="S15" i="70"/>
  <c r="AE14" i="70"/>
  <c r="AB14" i="70"/>
  <c r="Y14" i="70"/>
  <c r="V14" i="70"/>
  <c r="G14" i="70"/>
  <c r="P14" i="70"/>
  <c r="I14" i="70"/>
  <c r="H14" i="70"/>
  <c r="H39" i="70" s="1"/>
  <c r="C14" i="70"/>
  <c r="C39" i="70" s="1"/>
  <c r="B14" i="70"/>
  <c r="B39" i="70" s="1"/>
  <c r="AG13" i="70"/>
  <c r="AF13" i="70"/>
  <c r="AE13" i="70"/>
  <c r="AB13" i="70"/>
  <c r="Y13" i="70"/>
  <c r="V13" i="70"/>
  <c r="P13" i="70"/>
  <c r="J13" i="70"/>
  <c r="D13" i="70"/>
  <c r="AG12" i="70"/>
  <c r="AE12" i="70"/>
  <c r="AB12" i="70"/>
  <c r="Y12" i="70"/>
  <c r="V12" i="70"/>
  <c r="P12" i="70"/>
  <c r="J12" i="70"/>
  <c r="D12" i="70"/>
  <c r="AB11" i="70"/>
  <c r="X11" i="70"/>
  <c r="W11" i="70"/>
  <c r="W35" i="70" s="1"/>
  <c r="U11" i="70"/>
  <c r="T11" i="70"/>
  <c r="E11" i="70"/>
  <c r="R11" i="70"/>
  <c r="Q11" i="70"/>
  <c r="O11" i="70"/>
  <c r="N11" i="70"/>
  <c r="AJ8" i="70"/>
  <c r="AI8" i="70"/>
  <c r="AG8" i="70"/>
  <c r="AF8" i="70"/>
  <c r="AD8" i="70"/>
  <c r="AC8" i="70"/>
  <c r="AA8" i="70"/>
  <c r="Z8" i="70"/>
  <c r="X8" i="70"/>
  <c r="W8" i="70"/>
  <c r="U8" i="70"/>
  <c r="T8" i="70"/>
  <c r="F8" i="70"/>
  <c r="E8" i="70"/>
  <c r="R8" i="70"/>
  <c r="Q8" i="70"/>
  <c r="O8" i="70"/>
  <c r="N8" i="70"/>
  <c r="L8" i="70"/>
  <c r="K8" i="70"/>
  <c r="I8" i="70"/>
  <c r="H8" i="70"/>
  <c r="AJ54" i="69"/>
  <c r="AI54" i="69"/>
  <c r="AG54" i="69"/>
  <c r="AF54" i="69"/>
  <c r="AD54" i="69"/>
  <c r="AC54" i="69"/>
  <c r="AA54" i="69"/>
  <c r="Z54" i="69"/>
  <c r="E54" i="69"/>
  <c r="G54" i="69" s="1"/>
  <c r="X54" i="69"/>
  <c r="W54" i="69"/>
  <c r="U54" i="69"/>
  <c r="T54" i="69"/>
  <c r="V54" i="69" s="1"/>
  <c r="R54" i="69"/>
  <c r="Q54" i="69"/>
  <c r="O54" i="69"/>
  <c r="N54" i="69"/>
  <c r="L54" i="69"/>
  <c r="K54" i="69"/>
  <c r="I54" i="69"/>
  <c r="H54" i="69"/>
  <c r="C54" i="69"/>
  <c r="B54" i="69"/>
  <c r="AK53" i="69"/>
  <c r="AJ53" i="69"/>
  <c r="AI53" i="69"/>
  <c r="AG53" i="69"/>
  <c r="AF53" i="69"/>
  <c r="AH53" i="69" s="1"/>
  <c r="AD53" i="69"/>
  <c r="AC53" i="69"/>
  <c r="AE53" i="69" s="1"/>
  <c r="AA53" i="69"/>
  <c r="Z53" i="69"/>
  <c r="E53" i="69"/>
  <c r="G53" i="69" s="1"/>
  <c r="X53" i="69"/>
  <c r="W53" i="69"/>
  <c r="Y53" i="69" s="1"/>
  <c r="U53" i="69"/>
  <c r="T53" i="69"/>
  <c r="V53" i="69" s="1"/>
  <c r="R53" i="69"/>
  <c r="Q53" i="69"/>
  <c r="S53" i="69" s="1"/>
  <c r="O53" i="69"/>
  <c r="N53" i="69"/>
  <c r="L53" i="69"/>
  <c r="K53" i="69"/>
  <c r="C53" i="69"/>
  <c r="B53" i="69"/>
  <c r="AJ52" i="69"/>
  <c r="AI52" i="69"/>
  <c r="AG52" i="69"/>
  <c r="AF52" i="69"/>
  <c r="AH52" i="69" s="1"/>
  <c r="AD52" i="69"/>
  <c r="AC52" i="69"/>
  <c r="AA52" i="69"/>
  <c r="Z52" i="69"/>
  <c r="AB52" i="69" s="1"/>
  <c r="E52" i="69"/>
  <c r="G52" i="69" s="1"/>
  <c r="X52" i="69"/>
  <c r="W52" i="69"/>
  <c r="U52" i="69"/>
  <c r="T52" i="69"/>
  <c r="V52" i="69" s="1"/>
  <c r="R52" i="69"/>
  <c r="Q52" i="69"/>
  <c r="S52" i="69" s="1"/>
  <c r="O52" i="69"/>
  <c r="N52" i="69"/>
  <c r="P52" i="69" s="1"/>
  <c r="L52" i="69"/>
  <c r="K52" i="69"/>
  <c r="M52" i="69" s="1"/>
  <c r="I52" i="69"/>
  <c r="H52" i="69"/>
  <c r="J52" i="69" s="1"/>
  <c r="C52" i="69"/>
  <c r="B52" i="69"/>
  <c r="D52" i="69" s="1"/>
  <c r="AJ51" i="69"/>
  <c r="AG51" i="69"/>
  <c r="AF51" i="69"/>
  <c r="AD51" i="69"/>
  <c r="AC51" i="69"/>
  <c r="AE51" i="69" s="1"/>
  <c r="AA51" i="69"/>
  <c r="Z51" i="69"/>
  <c r="E51" i="69"/>
  <c r="X51" i="69"/>
  <c r="W51" i="69"/>
  <c r="Y51" i="69" s="1"/>
  <c r="U51" i="69"/>
  <c r="T51" i="69"/>
  <c r="V51" i="69" s="1"/>
  <c r="R51" i="69"/>
  <c r="Q51" i="69"/>
  <c r="O51" i="69"/>
  <c r="N51" i="69"/>
  <c r="P51" i="69" s="1"/>
  <c r="L51" i="69"/>
  <c r="K51" i="69"/>
  <c r="M51" i="69" s="1"/>
  <c r="AJ50" i="69"/>
  <c r="AI50" i="69"/>
  <c r="AG50" i="69"/>
  <c r="AF50" i="69"/>
  <c r="AD50" i="69"/>
  <c r="AC50" i="69"/>
  <c r="AE50" i="69" s="1"/>
  <c r="AA50" i="69"/>
  <c r="Z50" i="69"/>
  <c r="AB50" i="69" s="1"/>
  <c r="E50" i="69"/>
  <c r="G50" i="69" s="1"/>
  <c r="X50" i="69"/>
  <c r="W50" i="69"/>
  <c r="U50" i="69"/>
  <c r="T50" i="69"/>
  <c r="R50" i="69"/>
  <c r="Q50" i="69"/>
  <c r="S50" i="69" s="1"/>
  <c r="O50" i="69"/>
  <c r="N50" i="69"/>
  <c r="L50" i="69"/>
  <c r="K50" i="69"/>
  <c r="I50" i="69"/>
  <c r="H50" i="69"/>
  <c r="C50" i="69"/>
  <c r="B50" i="69"/>
  <c r="AJ49" i="69"/>
  <c r="AI49" i="69"/>
  <c r="AG49" i="69"/>
  <c r="AF49" i="69"/>
  <c r="AD49" i="69"/>
  <c r="AC49" i="69"/>
  <c r="AE49" i="69" s="1"/>
  <c r="AA49" i="69"/>
  <c r="Z49" i="69"/>
  <c r="E49" i="69"/>
  <c r="G49" i="69" s="1"/>
  <c r="X49" i="69"/>
  <c r="W49" i="69"/>
  <c r="Y49" i="69" s="1"/>
  <c r="U49" i="69"/>
  <c r="T49" i="69"/>
  <c r="R49" i="69"/>
  <c r="Q49" i="69"/>
  <c r="O49" i="69"/>
  <c r="N49" i="69"/>
  <c r="L49" i="69"/>
  <c r="K49" i="69"/>
  <c r="H49" i="69"/>
  <c r="AJ48" i="69"/>
  <c r="AG48" i="69"/>
  <c r="AF48" i="69"/>
  <c r="AD48" i="69"/>
  <c r="AC48" i="69"/>
  <c r="AE48" i="69" s="1"/>
  <c r="AA48" i="69"/>
  <c r="Z48" i="69"/>
  <c r="E48" i="69"/>
  <c r="G48" i="69" s="1"/>
  <c r="X48" i="69"/>
  <c r="W48" i="69"/>
  <c r="Y48" i="69" s="1"/>
  <c r="U48" i="69"/>
  <c r="T48" i="69"/>
  <c r="R48" i="69"/>
  <c r="Q48" i="69"/>
  <c r="S48" i="69" s="1"/>
  <c r="O48" i="69"/>
  <c r="N48" i="69"/>
  <c r="L48" i="69"/>
  <c r="K48" i="69"/>
  <c r="H48" i="69"/>
  <c r="C48" i="69"/>
  <c r="B48" i="69"/>
  <c r="AM45" i="69"/>
  <c r="AL45" i="69"/>
  <c r="AK45" i="69"/>
  <c r="P45" i="69"/>
  <c r="J45" i="69"/>
  <c r="AM44" i="69"/>
  <c r="AL44" i="69"/>
  <c r="AK44" i="69"/>
  <c r="AE44" i="69"/>
  <c r="Y44" i="69"/>
  <c r="AK43" i="69"/>
  <c r="AH43" i="69"/>
  <c r="AB43" i="69"/>
  <c r="G43" i="69"/>
  <c r="I43" i="69"/>
  <c r="H43" i="69"/>
  <c r="AL43" i="69" s="1"/>
  <c r="D43" i="69"/>
  <c r="AM42" i="69"/>
  <c r="AL42" i="69"/>
  <c r="AB42" i="69"/>
  <c r="J42" i="69"/>
  <c r="AD41" i="69"/>
  <c r="AC41" i="69"/>
  <c r="AA41" i="69"/>
  <c r="Z41" i="69"/>
  <c r="E41" i="69"/>
  <c r="X41" i="69"/>
  <c r="W41" i="69"/>
  <c r="R41" i="69"/>
  <c r="Q41" i="69"/>
  <c r="C41" i="69"/>
  <c r="B41" i="69"/>
  <c r="AM40" i="69"/>
  <c r="AL40" i="69"/>
  <c r="AK40" i="69"/>
  <c r="AH40" i="69"/>
  <c r="AE40" i="69"/>
  <c r="AB40" i="69"/>
  <c r="G40" i="69"/>
  <c r="Y40" i="69"/>
  <c r="S40" i="69"/>
  <c r="J40" i="69"/>
  <c r="D40" i="69"/>
  <c r="AM39" i="69"/>
  <c r="AL39" i="69"/>
  <c r="AK39" i="69"/>
  <c r="AE39" i="69"/>
  <c r="Y39" i="69"/>
  <c r="AM38" i="69"/>
  <c r="AK38" i="69"/>
  <c r="AH38" i="69"/>
  <c r="AB38" i="69"/>
  <c r="G38" i="69"/>
  <c r="S38" i="69"/>
  <c r="H38" i="69"/>
  <c r="H35" i="69" s="1"/>
  <c r="B38" i="69"/>
  <c r="D38" i="69" s="1"/>
  <c r="AM37" i="69"/>
  <c r="AL37" i="69"/>
  <c r="AK37" i="69"/>
  <c r="AH37" i="69"/>
  <c r="AB37" i="69"/>
  <c r="P37" i="69"/>
  <c r="J37" i="69"/>
  <c r="AM36" i="69"/>
  <c r="AL36" i="69"/>
  <c r="AK36" i="69"/>
  <c r="AH36" i="69"/>
  <c r="AB36" i="69"/>
  <c r="J36" i="69"/>
  <c r="AH35" i="69"/>
  <c r="AD35" i="69"/>
  <c r="AC35" i="69"/>
  <c r="AA35" i="69"/>
  <c r="Z35" i="69"/>
  <c r="E35" i="69"/>
  <c r="W35" i="69"/>
  <c r="R35" i="69"/>
  <c r="Q35" i="69"/>
  <c r="O35" i="69"/>
  <c r="N35" i="69"/>
  <c r="I35" i="69"/>
  <c r="C35" i="69"/>
  <c r="AB34" i="69"/>
  <c r="I34" i="69"/>
  <c r="H34" i="69"/>
  <c r="C34" i="69"/>
  <c r="B34" i="69"/>
  <c r="AM33" i="69"/>
  <c r="AL33" i="69"/>
  <c r="AK33" i="69"/>
  <c r="Y33" i="69"/>
  <c r="AK32" i="69"/>
  <c r="AH32" i="69"/>
  <c r="AB32" i="69"/>
  <c r="S32" i="69"/>
  <c r="J32" i="69"/>
  <c r="C32" i="69"/>
  <c r="AM32" i="69" s="1"/>
  <c r="B32" i="69"/>
  <c r="AK31" i="69"/>
  <c r="AH31" i="69"/>
  <c r="AB31" i="69"/>
  <c r="Q31" i="69"/>
  <c r="S31" i="69" s="1"/>
  <c r="P31" i="69"/>
  <c r="I31" i="69"/>
  <c r="J31" i="69" s="1"/>
  <c r="AK30" i="69"/>
  <c r="AH30" i="69"/>
  <c r="Y30" i="69"/>
  <c r="J30" i="69"/>
  <c r="C30" i="69"/>
  <c r="AM30" i="69" s="1"/>
  <c r="B30" i="69"/>
  <c r="AH29" i="69"/>
  <c r="AB29" i="69"/>
  <c r="S29" i="69"/>
  <c r="M29" i="69"/>
  <c r="J29" i="69"/>
  <c r="AM28" i="69"/>
  <c r="AL28" i="69"/>
  <c r="AK28" i="69"/>
  <c r="AH28" i="69"/>
  <c r="AB28" i="69"/>
  <c r="J28" i="69"/>
  <c r="AK27" i="69"/>
  <c r="AH27" i="69"/>
  <c r="AB27" i="69"/>
  <c r="Q27" i="69"/>
  <c r="S27" i="69" s="1"/>
  <c r="P27" i="69"/>
  <c r="M27" i="69"/>
  <c r="I27" i="69"/>
  <c r="J27" i="69" s="1"/>
  <c r="AH26" i="69"/>
  <c r="AB26" i="69"/>
  <c r="J26" i="69"/>
  <c r="C26" i="69"/>
  <c r="AM26" i="69" s="1"/>
  <c r="B26" i="69"/>
  <c r="AM25" i="69"/>
  <c r="AL25" i="69"/>
  <c r="AK25" i="69"/>
  <c r="AH25" i="69"/>
  <c r="AB25" i="69"/>
  <c r="J25" i="69"/>
  <c r="AK24" i="69"/>
  <c r="AH24" i="69"/>
  <c r="AB24" i="69"/>
  <c r="I24" i="69"/>
  <c r="J24" i="69" s="1"/>
  <c r="C24" i="69"/>
  <c r="B24" i="69"/>
  <c r="AL24" i="69" s="1"/>
  <c r="AK23" i="69"/>
  <c r="AH23" i="69"/>
  <c r="AA23" i="69"/>
  <c r="Z23" i="69"/>
  <c r="Y23" i="69"/>
  <c r="R23" i="69"/>
  <c r="O23" i="69"/>
  <c r="N23" i="69"/>
  <c r="K23" i="69"/>
  <c r="AB22" i="69"/>
  <c r="I22" i="69"/>
  <c r="I53" i="69" s="1"/>
  <c r="H22" i="69"/>
  <c r="AM21" i="69"/>
  <c r="AL21" i="69"/>
  <c r="AK21" i="69"/>
  <c r="AE21" i="69"/>
  <c r="Y21" i="69"/>
  <c r="AM20" i="69"/>
  <c r="AL20" i="69"/>
  <c r="AK20" i="69"/>
  <c r="AH20" i="69"/>
  <c r="AB20" i="69"/>
  <c r="G20" i="69"/>
  <c r="S20" i="69"/>
  <c r="J20" i="69"/>
  <c r="AI51" i="69"/>
  <c r="AH19" i="69"/>
  <c r="AB19" i="69"/>
  <c r="G19" i="69"/>
  <c r="S19" i="69"/>
  <c r="I19" i="69"/>
  <c r="I51" i="69" s="1"/>
  <c r="C19" i="69"/>
  <c r="B19" i="69"/>
  <c r="B31" i="69" s="1"/>
  <c r="AM18" i="69"/>
  <c r="AL18" i="69"/>
  <c r="AK18" i="69"/>
  <c r="AK50" i="69" s="1"/>
  <c r="AH18" i="69"/>
  <c r="Y18" i="69"/>
  <c r="J18" i="69"/>
  <c r="AH17" i="69"/>
  <c r="AB17" i="69"/>
  <c r="S17" i="69"/>
  <c r="M17" i="69"/>
  <c r="J17" i="69"/>
  <c r="C17" i="69"/>
  <c r="AM17" i="69" s="1"/>
  <c r="B17" i="69"/>
  <c r="AM16" i="69"/>
  <c r="AL16" i="69"/>
  <c r="AK16" i="69"/>
  <c r="AH16" i="69"/>
  <c r="AB16" i="69"/>
  <c r="J16" i="69"/>
  <c r="AK15" i="69"/>
  <c r="AH15" i="69"/>
  <c r="AB15" i="69"/>
  <c r="S15" i="69"/>
  <c r="P15" i="69"/>
  <c r="M15" i="69"/>
  <c r="I15" i="69"/>
  <c r="I49" i="69" s="1"/>
  <c r="C15" i="69"/>
  <c r="B15" i="69"/>
  <c r="AM14" i="69"/>
  <c r="AL14" i="69"/>
  <c r="AH14" i="69"/>
  <c r="AB14" i="69"/>
  <c r="J14" i="69"/>
  <c r="AM13" i="69"/>
  <c r="AL13" i="69"/>
  <c r="AK13" i="69"/>
  <c r="AH13" i="69"/>
  <c r="AB13" i="69"/>
  <c r="J13" i="69"/>
  <c r="AI48" i="69"/>
  <c r="AH12" i="69"/>
  <c r="AB12" i="69"/>
  <c r="I12" i="69"/>
  <c r="I48" i="69" s="1"/>
  <c r="D12" i="69"/>
  <c r="AD11" i="69"/>
  <c r="AC11" i="69"/>
  <c r="AA11" i="69"/>
  <c r="Z11" i="69"/>
  <c r="E11" i="69"/>
  <c r="E47" i="69" s="1"/>
  <c r="W11" i="69"/>
  <c r="U11" i="69"/>
  <c r="T11" i="69"/>
  <c r="R11" i="69"/>
  <c r="Q11" i="69"/>
  <c r="O11" i="69"/>
  <c r="N11" i="69"/>
  <c r="L11" i="69"/>
  <c r="K11" i="69"/>
  <c r="AM8" i="69"/>
  <c r="AL8" i="69"/>
  <c r="AJ8" i="69"/>
  <c r="AI8" i="69"/>
  <c r="AG8" i="69"/>
  <c r="AF8" i="69"/>
  <c r="AD8" i="69"/>
  <c r="AC8" i="69"/>
  <c r="AA8" i="69"/>
  <c r="Z8" i="69"/>
  <c r="F8" i="69"/>
  <c r="E8" i="69"/>
  <c r="X8" i="69"/>
  <c r="W8" i="69"/>
  <c r="U8" i="69"/>
  <c r="T8" i="69"/>
  <c r="R8" i="69"/>
  <c r="Q8" i="69"/>
  <c r="O8" i="69"/>
  <c r="N8" i="69"/>
  <c r="L8" i="69"/>
  <c r="K8" i="69"/>
  <c r="I8" i="69"/>
  <c r="H8" i="69"/>
  <c r="Y91" i="62"/>
  <c r="AS89" i="62"/>
  <c r="AR89" i="62"/>
  <c r="AN89" i="62"/>
  <c r="AK89" i="62"/>
  <c r="AE89" i="62"/>
  <c r="AB89" i="62"/>
  <c r="Y89" i="62"/>
  <c r="V89" i="62"/>
  <c r="S89" i="62"/>
  <c r="P89" i="62"/>
  <c r="M89" i="62"/>
  <c r="J89" i="62"/>
  <c r="G89" i="62"/>
  <c r="D89" i="62"/>
  <c r="AS88" i="62"/>
  <c r="AR88" i="62"/>
  <c r="AN88" i="62"/>
  <c r="AK88" i="62"/>
  <c r="AH88" i="62"/>
  <c r="AE88" i="62"/>
  <c r="AB88" i="62"/>
  <c r="Y88" i="62"/>
  <c r="V88" i="62"/>
  <c r="S88" i="62"/>
  <c r="J88" i="62"/>
  <c r="G88" i="62"/>
  <c r="D88" i="62"/>
  <c r="AS87" i="62"/>
  <c r="AR87" i="62"/>
  <c r="AK87" i="62"/>
  <c r="AS86" i="62"/>
  <c r="AR86" i="62"/>
  <c r="AN86" i="62"/>
  <c r="AK86" i="62"/>
  <c r="AE86" i="62"/>
  <c r="AB86" i="62"/>
  <c r="Y86" i="62"/>
  <c r="S86" i="62"/>
  <c r="P86" i="62"/>
  <c r="M86" i="62"/>
  <c r="J86" i="62"/>
  <c r="G86" i="62"/>
  <c r="D86" i="62"/>
  <c r="AN85" i="62"/>
  <c r="AK85" i="62"/>
  <c r="AG85" i="62"/>
  <c r="AF85" i="62"/>
  <c r="AD85" i="62"/>
  <c r="AC85" i="62"/>
  <c r="AA85" i="62"/>
  <c r="Z85" i="62"/>
  <c r="Y85" i="62"/>
  <c r="R85" i="62"/>
  <c r="Q85" i="62"/>
  <c r="I85" i="62"/>
  <c r="H85" i="62"/>
  <c r="E85" i="62"/>
  <c r="C85" i="62"/>
  <c r="B85" i="62"/>
  <c r="D85" i="62" s="1"/>
  <c r="AS84" i="62"/>
  <c r="AR84" i="62"/>
  <c r="AT84" i="62" s="1"/>
  <c r="AS83" i="62"/>
  <c r="AR83" i="62"/>
  <c r="AK83" i="62"/>
  <c r="Y83" i="62"/>
  <c r="S83" i="62"/>
  <c r="J83" i="62"/>
  <c r="G83" i="62"/>
  <c r="D83" i="62"/>
  <c r="AS82" i="62"/>
  <c r="AR82" i="62"/>
  <c r="AK82" i="62"/>
  <c r="AB82" i="62"/>
  <c r="AS81" i="62"/>
  <c r="AR81" i="62"/>
  <c r="AN81" i="62"/>
  <c r="AK81" i="62"/>
  <c r="AH81" i="62"/>
  <c r="AB81" i="62"/>
  <c r="Y81" i="62"/>
  <c r="S81" i="62"/>
  <c r="J81" i="62"/>
  <c r="G81" i="62"/>
  <c r="D81" i="62"/>
  <c r="AK79" i="62"/>
  <c r="AD79" i="62"/>
  <c r="AD91" i="62" s="1"/>
  <c r="AC79" i="62"/>
  <c r="AA79" i="62"/>
  <c r="Z79" i="62"/>
  <c r="Y79" i="62"/>
  <c r="U79" i="62"/>
  <c r="T79" i="62"/>
  <c r="R79" i="62"/>
  <c r="Q79" i="62"/>
  <c r="O79" i="62"/>
  <c r="O91" i="62" s="1"/>
  <c r="N79" i="62"/>
  <c r="N91" i="62" s="1"/>
  <c r="L79" i="62"/>
  <c r="K79" i="62"/>
  <c r="I79" i="62"/>
  <c r="H79" i="62"/>
  <c r="E79" i="62"/>
  <c r="G79" i="62" s="1"/>
  <c r="C79" i="62"/>
  <c r="B79" i="62"/>
  <c r="AS78" i="62"/>
  <c r="AR78" i="62"/>
  <c r="AT78" i="62" s="1"/>
  <c r="AS77" i="62"/>
  <c r="AR77" i="62"/>
  <c r="AN77" i="62"/>
  <c r="AB77" i="62"/>
  <c r="P77" i="62"/>
  <c r="J77" i="62"/>
  <c r="D77" i="62"/>
  <c r="AS76" i="62"/>
  <c r="AR76" i="62"/>
  <c r="AN76" i="62"/>
  <c r="AK76" i="62"/>
  <c r="AB76" i="62"/>
  <c r="Y76" i="62"/>
  <c r="J76" i="62"/>
  <c r="G76" i="62"/>
  <c r="D76" i="62"/>
  <c r="AS75" i="62"/>
  <c r="AR75" i="62"/>
  <c r="AN75" i="62"/>
  <c r="AK75" i="62"/>
  <c r="AE75" i="62"/>
  <c r="AB75" i="62"/>
  <c r="Y75" i="62"/>
  <c r="S75" i="62"/>
  <c r="J75" i="62"/>
  <c r="G75" i="62"/>
  <c r="D75" i="62"/>
  <c r="AS74" i="62"/>
  <c r="AR74" i="62"/>
  <c r="AN74" i="62"/>
  <c r="AK74" i="62"/>
  <c r="AE74" i="62"/>
  <c r="AB74" i="62"/>
  <c r="Y74" i="62"/>
  <c r="S74" i="62"/>
  <c r="P74" i="62"/>
  <c r="J74" i="62"/>
  <c r="G74" i="62"/>
  <c r="D74" i="62"/>
  <c r="AS73" i="62"/>
  <c r="AR73" i="62"/>
  <c r="AN73" i="62"/>
  <c r="AK73" i="62"/>
  <c r="AE73" i="62"/>
  <c r="AB73" i="62"/>
  <c r="Y73" i="62"/>
  <c r="V73" i="62"/>
  <c r="S73" i="62"/>
  <c r="P73" i="62"/>
  <c r="M73" i="62"/>
  <c r="J73" i="62"/>
  <c r="G73" i="62"/>
  <c r="D73" i="62"/>
  <c r="AS71" i="62"/>
  <c r="AR71" i="62"/>
  <c r="AN71" i="62"/>
  <c r="AK71" i="62"/>
  <c r="AE71" i="62"/>
  <c r="AB71" i="62"/>
  <c r="Y71" i="62"/>
  <c r="J71" i="62"/>
  <c r="AS70" i="62"/>
  <c r="AR70" i="62"/>
  <c r="AN70" i="62"/>
  <c r="AK70" i="62"/>
  <c r="AE70" i="62"/>
  <c r="AB70" i="62"/>
  <c r="Y70" i="62"/>
  <c r="S70" i="62"/>
  <c r="J70" i="62"/>
  <c r="G70" i="62"/>
  <c r="AS69" i="62"/>
  <c r="AR69" i="62"/>
  <c r="AN69" i="62"/>
  <c r="AK69" i="62"/>
  <c r="AH69" i="62"/>
  <c r="AE69" i="62"/>
  <c r="AB69" i="62"/>
  <c r="Y69" i="62"/>
  <c r="V69" i="62"/>
  <c r="S69" i="62"/>
  <c r="P69" i="62"/>
  <c r="M69" i="62"/>
  <c r="J69" i="62"/>
  <c r="G69" i="62"/>
  <c r="D69" i="62"/>
  <c r="AS68" i="62"/>
  <c r="AR68" i="62"/>
  <c r="AN68" i="62"/>
  <c r="AK68" i="62"/>
  <c r="AH68" i="62"/>
  <c r="AE68" i="62"/>
  <c r="AB68" i="62"/>
  <c r="Y68" i="62"/>
  <c r="V68" i="62"/>
  <c r="S68" i="62"/>
  <c r="P68" i="62"/>
  <c r="M68" i="62"/>
  <c r="J68" i="62"/>
  <c r="G68" i="62"/>
  <c r="D68" i="62"/>
  <c r="W64" i="62"/>
  <c r="X62" i="62"/>
  <c r="AS61" i="62"/>
  <c r="AR61" i="62"/>
  <c r="AK60" i="62"/>
  <c r="Y60" i="62"/>
  <c r="AS59" i="62"/>
  <c r="AR59" i="62"/>
  <c r="AK59" i="62"/>
  <c r="AB59" i="62"/>
  <c r="Y59" i="62"/>
  <c r="S59" i="62"/>
  <c r="D59" i="62"/>
  <c r="AS58" i="62"/>
  <c r="AR58" i="62"/>
  <c r="AN58" i="62"/>
  <c r="Y58" i="62"/>
  <c r="AS57" i="62"/>
  <c r="AR57" i="62"/>
  <c r="AN57" i="62"/>
  <c r="Y57" i="62"/>
  <c r="S57" i="62"/>
  <c r="J57" i="62"/>
  <c r="G57" i="62"/>
  <c r="AS56" i="62"/>
  <c r="AR56" i="62"/>
  <c r="AN56" i="62"/>
  <c r="AK56" i="62"/>
  <c r="Y56" i="62"/>
  <c r="S56" i="62"/>
  <c r="J56" i="62"/>
  <c r="G56" i="62"/>
  <c r="D56" i="62"/>
  <c r="AS55" i="62"/>
  <c r="C25" i="58" s="1"/>
  <c r="AR55" i="62"/>
  <c r="AN55" i="62"/>
  <c r="AK55" i="62"/>
  <c r="AH55" i="62"/>
  <c r="AB55" i="62"/>
  <c r="Y55" i="62"/>
  <c r="S55" i="62"/>
  <c r="J55" i="62"/>
  <c r="G55" i="62"/>
  <c r="D55" i="62"/>
  <c r="AN54" i="62"/>
  <c r="AK54" i="62"/>
  <c r="AG54" i="62"/>
  <c r="AG60" i="62" s="1"/>
  <c r="AF54" i="62"/>
  <c r="AA54" i="62"/>
  <c r="Z54" i="62"/>
  <c r="Y54" i="62"/>
  <c r="R54" i="62"/>
  <c r="Q54" i="62"/>
  <c r="I54" i="62"/>
  <c r="H54" i="62"/>
  <c r="H60" i="62" s="1"/>
  <c r="E54" i="62"/>
  <c r="E60" i="62" s="1"/>
  <c r="C54" i="62"/>
  <c r="B54" i="62"/>
  <c r="AS53" i="62"/>
  <c r="AR53" i="62"/>
  <c r="Y53" i="62"/>
  <c r="AS52" i="62"/>
  <c r="AR52" i="62"/>
  <c r="AS51" i="62"/>
  <c r="AR51" i="62"/>
  <c r="Y51" i="62"/>
  <c r="AR50" i="62"/>
  <c r="Y50" i="62"/>
  <c r="AS49" i="62"/>
  <c r="AR49" i="62"/>
  <c r="B28" i="58" s="1"/>
  <c r="AN49" i="62"/>
  <c r="Y49" i="62"/>
  <c r="AS48" i="62"/>
  <c r="AR48" i="62"/>
  <c r="AT48" i="62" s="1"/>
  <c r="AS46" i="62"/>
  <c r="AR46" i="62"/>
  <c r="AK46" i="62"/>
  <c r="AB46" i="62"/>
  <c r="P46" i="62"/>
  <c r="M46" i="62"/>
  <c r="D46" i="62"/>
  <c r="Y45" i="62"/>
  <c r="AS44" i="62"/>
  <c r="AR44" i="62"/>
  <c r="AK44" i="62"/>
  <c r="AE44" i="62"/>
  <c r="AB44" i="62"/>
  <c r="Y44" i="62"/>
  <c r="S44" i="62"/>
  <c r="P44" i="62"/>
  <c r="M44" i="62"/>
  <c r="J44" i="62"/>
  <c r="D44" i="62"/>
  <c r="AS43" i="62"/>
  <c r="AR43" i="62"/>
  <c r="AN43" i="62"/>
  <c r="AK43" i="62"/>
  <c r="AE43" i="62"/>
  <c r="AB43" i="62"/>
  <c r="Y43" i="62"/>
  <c r="J43" i="62"/>
  <c r="AS42" i="62"/>
  <c r="AR42" i="62"/>
  <c r="AN42" i="62"/>
  <c r="Y42" i="62"/>
  <c r="J42" i="62"/>
  <c r="G42" i="62"/>
  <c r="AS41" i="62"/>
  <c r="AR41" i="62"/>
  <c r="AN41" i="62"/>
  <c r="AK41" i="62"/>
  <c r="AE41" i="62"/>
  <c r="AB41" i="62"/>
  <c r="Y41" i="62"/>
  <c r="S41" i="62"/>
  <c r="P41" i="62"/>
  <c r="M41" i="62"/>
  <c r="J41" i="62"/>
  <c r="G41" i="62"/>
  <c r="D41" i="62"/>
  <c r="AS40" i="62"/>
  <c r="AR40" i="62"/>
  <c r="AN40" i="62"/>
  <c r="AK40" i="62"/>
  <c r="AE40" i="62"/>
  <c r="AB40" i="62"/>
  <c r="Y40" i="62"/>
  <c r="P40" i="62"/>
  <c r="M40" i="62"/>
  <c r="J40" i="62"/>
  <c r="G40" i="62"/>
  <c r="D40" i="62"/>
  <c r="AN39" i="62"/>
  <c r="AK39" i="62"/>
  <c r="AD39" i="62"/>
  <c r="AC39" i="62"/>
  <c r="AE39" i="62" s="1"/>
  <c r="AA39" i="62"/>
  <c r="Z39" i="62"/>
  <c r="Y39" i="62"/>
  <c r="R39" i="62"/>
  <c r="Q39" i="62"/>
  <c r="O39" i="62"/>
  <c r="N39" i="62"/>
  <c r="L39" i="62"/>
  <c r="K39" i="62"/>
  <c r="I39" i="62"/>
  <c r="H39" i="62"/>
  <c r="E39" i="62"/>
  <c r="C39" i="62"/>
  <c r="B39" i="62"/>
  <c r="AS38" i="62"/>
  <c r="AR38" i="62"/>
  <c r="AN38" i="62"/>
  <c r="AK38" i="62"/>
  <c r="AE38" i="62"/>
  <c r="AB38" i="62"/>
  <c r="Y38" i="62"/>
  <c r="S38" i="62"/>
  <c r="G38" i="62"/>
  <c r="AS37" i="62"/>
  <c r="AR37" i="62"/>
  <c r="AN37" i="62"/>
  <c r="AK37" i="62"/>
  <c r="AB37" i="62"/>
  <c r="Y37" i="62"/>
  <c r="J37" i="62"/>
  <c r="AS36" i="62"/>
  <c r="AR36" i="62"/>
  <c r="AN36" i="62"/>
  <c r="AK36" i="62"/>
  <c r="AB36" i="62"/>
  <c r="Y36" i="62"/>
  <c r="J36" i="62"/>
  <c r="G36" i="62"/>
  <c r="AN35" i="62"/>
  <c r="AD35" i="62"/>
  <c r="AC35" i="62"/>
  <c r="AA35" i="62"/>
  <c r="Z35" i="62"/>
  <c r="Y35" i="62"/>
  <c r="R35" i="62"/>
  <c r="Q35" i="62"/>
  <c r="O35" i="62"/>
  <c r="N35" i="62"/>
  <c r="L35" i="62"/>
  <c r="K35" i="62"/>
  <c r="I35" i="62"/>
  <c r="H35" i="62"/>
  <c r="E35" i="62"/>
  <c r="AR34" i="62"/>
  <c r="AN34" i="62"/>
  <c r="AK34" i="62"/>
  <c r="AD34" i="62"/>
  <c r="AB34" i="62"/>
  <c r="Y34" i="62"/>
  <c r="J34" i="62"/>
  <c r="G34" i="62"/>
  <c r="AS33" i="62"/>
  <c r="AR33" i="62"/>
  <c r="J33" i="62"/>
  <c r="AF29" i="62"/>
  <c r="Y29" i="62"/>
  <c r="T29" i="62"/>
  <c r="AN28" i="62"/>
  <c r="AK28" i="62"/>
  <c r="AD28" i="62"/>
  <c r="AC28" i="62"/>
  <c r="AB28" i="62"/>
  <c r="Y28" i="62"/>
  <c r="S28" i="62"/>
  <c r="P28" i="62"/>
  <c r="M28" i="62"/>
  <c r="J28" i="62"/>
  <c r="G28" i="62"/>
  <c r="C28" i="62"/>
  <c r="B28" i="62"/>
  <c r="Y27" i="62"/>
  <c r="U29" i="62"/>
  <c r="AS26" i="62"/>
  <c r="AR26" i="62"/>
  <c r="AT26" i="62" s="1"/>
  <c r="AS25" i="62"/>
  <c r="AR25" i="62"/>
  <c r="AK25" i="62"/>
  <c r="Y25" i="62"/>
  <c r="P25" i="62"/>
  <c r="M25" i="62"/>
  <c r="J25" i="62"/>
  <c r="AS24" i="62"/>
  <c r="AR24" i="62"/>
  <c r="AN24" i="62"/>
  <c r="AE24" i="62"/>
  <c r="Y24" i="62"/>
  <c r="J24" i="62"/>
  <c r="AS23" i="62"/>
  <c r="AR23" i="62"/>
  <c r="AN23" i="62"/>
  <c r="AK23" i="62"/>
  <c r="AB23" i="62"/>
  <c r="Y23" i="62"/>
  <c r="J23" i="62"/>
  <c r="G23" i="62"/>
  <c r="AS22" i="62"/>
  <c r="AK22" i="62"/>
  <c r="AE22" i="62"/>
  <c r="AB22" i="62"/>
  <c r="Y22" i="62"/>
  <c r="S22" i="62"/>
  <c r="P22" i="62"/>
  <c r="M22" i="62"/>
  <c r="J22" i="62"/>
  <c r="G22" i="62"/>
  <c r="D22" i="62"/>
  <c r="AS21" i="62"/>
  <c r="C9" i="58" s="1"/>
  <c r="AR21" i="62"/>
  <c r="B9" i="58" s="1"/>
  <c r="AN21" i="62"/>
  <c r="AK21" i="62"/>
  <c r="AB21" i="62"/>
  <c r="Y21" i="62"/>
  <c r="S21" i="62"/>
  <c r="P21" i="62"/>
  <c r="M21" i="62"/>
  <c r="J21" i="62"/>
  <c r="G21" i="62"/>
  <c r="D21" i="62"/>
  <c r="AN20" i="62"/>
  <c r="AK20" i="62"/>
  <c r="AG29" i="62"/>
  <c r="AD20" i="62"/>
  <c r="AC20" i="62"/>
  <c r="AA20" i="62"/>
  <c r="AA27" i="62" s="1"/>
  <c r="AA29" i="62" s="1"/>
  <c r="Z20" i="62"/>
  <c r="Y20" i="62"/>
  <c r="R20" i="62"/>
  <c r="Q20" i="62"/>
  <c r="O20" i="62"/>
  <c r="N20" i="62"/>
  <c r="L20" i="62"/>
  <c r="K20" i="62"/>
  <c r="I20" i="62"/>
  <c r="H20" i="62"/>
  <c r="E20" i="62"/>
  <c r="C20" i="62"/>
  <c r="B20" i="62"/>
  <c r="B27" i="62" s="1"/>
  <c r="AS19" i="62"/>
  <c r="C13" i="58" s="1"/>
  <c r="AR19" i="62"/>
  <c r="B13" i="58" s="1"/>
  <c r="AN19" i="62"/>
  <c r="AK19" i="62"/>
  <c r="AE19" i="62"/>
  <c r="Y19" i="62"/>
  <c r="AS18" i="62"/>
  <c r="AR18" i="62"/>
  <c r="AK18" i="62"/>
  <c r="Y18" i="62"/>
  <c r="AS17" i="62"/>
  <c r="AR17" i="62"/>
  <c r="AK17" i="62"/>
  <c r="AE17" i="62"/>
  <c r="Y17" i="62"/>
  <c r="AK16" i="62"/>
  <c r="AD16" i="62"/>
  <c r="AE16" i="62" s="1"/>
  <c r="AC16" i="62"/>
  <c r="Y16" i="62"/>
  <c r="R16" i="62"/>
  <c r="Q16" i="62"/>
  <c r="O16" i="62"/>
  <c r="N16" i="62"/>
  <c r="L16" i="62"/>
  <c r="K16" i="62"/>
  <c r="I16" i="62"/>
  <c r="H16" i="62"/>
  <c r="E16" i="62"/>
  <c r="C27" i="62"/>
  <c r="AR15" i="62"/>
  <c r="AN15" i="62"/>
  <c r="AK15" i="62"/>
  <c r="AD15" i="62"/>
  <c r="AS15" i="62" s="1"/>
  <c r="C12" i="58" s="1"/>
  <c r="Y15" i="62"/>
  <c r="J15" i="62"/>
  <c r="AS14" i="62"/>
  <c r="C11" i="58" s="1"/>
  <c r="AR14" i="62"/>
  <c r="Y14" i="62"/>
  <c r="AS8" i="62"/>
  <c r="AR8" i="62"/>
  <c r="AM8" i="62"/>
  <c r="AL8" i="62"/>
  <c r="AJ8" i="62"/>
  <c r="AI8" i="62"/>
  <c r="AG8" i="62"/>
  <c r="AF8" i="62"/>
  <c r="AD8" i="62"/>
  <c r="AC8" i="62"/>
  <c r="AA8" i="62"/>
  <c r="Z8" i="62"/>
  <c r="X8" i="62"/>
  <c r="W8" i="62"/>
  <c r="U8" i="62"/>
  <c r="T8" i="62"/>
  <c r="R8" i="62"/>
  <c r="Q8" i="62"/>
  <c r="O8" i="62"/>
  <c r="N8" i="62"/>
  <c r="L8" i="62"/>
  <c r="K8" i="62"/>
  <c r="I8" i="62"/>
  <c r="H8" i="62"/>
  <c r="F8" i="62"/>
  <c r="E8" i="62"/>
  <c r="AM48" i="68"/>
  <c r="AL48" i="68"/>
  <c r="AJ48" i="68"/>
  <c r="AI48" i="68"/>
  <c r="AG48" i="68"/>
  <c r="AF48" i="68"/>
  <c r="AD48" i="68"/>
  <c r="AC48" i="68"/>
  <c r="AA48" i="68"/>
  <c r="Z48" i="68"/>
  <c r="E48" i="68"/>
  <c r="X48" i="68"/>
  <c r="W48" i="68"/>
  <c r="U48" i="68"/>
  <c r="T48" i="68"/>
  <c r="R48" i="68"/>
  <c r="Q48" i="68"/>
  <c r="O48" i="68"/>
  <c r="N48" i="68"/>
  <c r="I48" i="68"/>
  <c r="AM47" i="68"/>
  <c r="AL47" i="68"/>
  <c r="AJ47" i="68"/>
  <c r="AI47" i="68"/>
  <c r="AG47" i="68"/>
  <c r="AF47" i="68"/>
  <c r="AH47" i="68" s="1"/>
  <c r="AD47" i="68"/>
  <c r="AC47" i="68"/>
  <c r="AA47" i="68"/>
  <c r="Z47" i="68"/>
  <c r="E47" i="68"/>
  <c r="X47" i="68"/>
  <c r="W47" i="68"/>
  <c r="U47" i="68"/>
  <c r="T47" i="68"/>
  <c r="V47" i="68" s="1"/>
  <c r="R47" i="68"/>
  <c r="Q47" i="68"/>
  <c r="O47" i="68"/>
  <c r="N47" i="68"/>
  <c r="P47" i="68" s="1"/>
  <c r="L47" i="68"/>
  <c r="K47" i="68"/>
  <c r="M47" i="68" s="1"/>
  <c r="I47" i="68"/>
  <c r="AM45" i="68"/>
  <c r="AL45" i="68"/>
  <c r="AN45" i="68" s="1"/>
  <c r="AJ45" i="68"/>
  <c r="AI45" i="68"/>
  <c r="AK45" i="68" s="1"/>
  <c r="AG45" i="68"/>
  <c r="AF45" i="68"/>
  <c r="AH45" i="68" s="1"/>
  <c r="AD45" i="68"/>
  <c r="AC45" i="68"/>
  <c r="AE45" i="68" s="1"/>
  <c r="AA45" i="68"/>
  <c r="Z45" i="68"/>
  <c r="E45" i="68"/>
  <c r="X45" i="68"/>
  <c r="W45" i="68"/>
  <c r="Y45" i="68" s="1"/>
  <c r="U45" i="68"/>
  <c r="T45" i="68"/>
  <c r="V45" i="68" s="1"/>
  <c r="R45" i="68"/>
  <c r="Q45" i="68"/>
  <c r="S45" i="68" s="1"/>
  <c r="O45" i="68"/>
  <c r="N45" i="68"/>
  <c r="L45" i="68"/>
  <c r="K45" i="68"/>
  <c r="M45" i="68" s="1"/>
  <c r="I45" i="68"/>
  <c r="H45" i="68"/>
  <c r="J45" i="68" s="1"/>
  <c r="C45" i="68"/>
  <c r="B45" i="68"/>
  <c r="AM44" i="68"/>
  <c r="AL44" i="68"/>
  <c r="AJ44" i="68"/>
  <c r="AI44" i="68"/>
  <c r="AK44" i="68" s="1"/>
  <c r="AG44" i="68"/>
  <c r="AF44" i="68"/>
  <c r="AH44" i="68" s="1"/>
  <c r="AD44" i="68"/>
  <c r="AC44" i="68"/>
  <c r="AE44" i="68" s="1"/>
  <c r="AA44" i="68"/>
  <c r="Z44" i="68"/>
  <c r="E44" i="68"/>
  <c r="G44" i="68" s="1"/>
  <c r="X44" i="68"/>
  <c r="W44" i="68"/>
  <c r="U44" i="68"/>
  <c r="T44" i="68"/>
  <c r="V44" i="68" s="1"/>
  <c r="R44" i="68"/>
  <c r="Q44" i="68"/>
  <c r="O44" i="68"/>
  <c r="N44" i="68"/>
  <c r="P44" i="68" s="1"/>
  <c r="L44" i="68"/>
  <c r="K44" i="68"/>
  <c r="M44" i="68" s="1"/>
  <c r="I44" i="68"/>
  <c r="H44" i="68"/>
  <c r="J44" i="68" s="1"/>
  <c r="C44" i="68"/>
  <c r="B44" i="68"/>
  <c r="AM43" i="68"/>
  <c r="AL43" i="68"/>
  <c r="AJ43" i="68"/>
  <c r="AI43" i="68"/>
  <c r="AG43" i="68"/>
  <c r="AF43" i="68"/>
  <c r="AH43" i="68" s="1"/>
  <c r="AD43" i="68"/>
  <c r="AC43" i="68"/>
  <c r="AA43" i="68"/>
  <c r="Z43" i="68"/>
  <c r="E43" i="68"/>
  <c r="X43" i="68"/>
  <c r="W43" i="68"/>
  <c r="U43" i="68"/>
  <c r="T43" i="68"/>
  <c r="R43" i="68"/>
  <c r="Q43" i="68"/>
  <c r="O43" i="68"/>
  <c r="N43" i="68"/>
  <c r="L43" i="68"/>
  <c r="K43" i="68"/>
  <c r="I43" i="68"/>
  <c r="AM42" i="68"/>
  <c r="AL42" i="68"/>
  <c r="AJ42" i="68"/>
  <c r="AI42" i="68"/>
  <c r="AG42" i="68"/>
  <c r="AF42" i="68"/>
  <c r="AH42" i="68" s="1"/>
  <c r="AD42" i="68"/>
  <c r="AC42" i="68"/>
  <c r="AA42" i="68"/>
  <c r="Z42" i="68"/>
  <c r="E42" i="68"/>
  <c r="X42" i="68"/>
  <c r="W42" i="68"/>
  <c r="U42" i="68"/>
  <c r="T42" i="68"/>
  <c r="V42" i="68" s="1"/>
  <c r="R42" i="68"/>
  <c r="Q42" i="68"/>
  <c r="O42" i="68"/>
  <c r="N42" i="68"/>
  <c r="P42" i="68" s="1"/>
  <c r="L42" i="68"/>
  <c r="K42" i="68"/>
  <c r="M42" i="68" s="1"/>
  <c r="I42" i="68"/>
  <c r="C42" i="68"/>
  <c r="B42" i="68"/>
  <c r="AM41" i="68"/>
  <c r="AL41" i="68"/>
  <c r="AJ41" i="68"/>
  <c r="AI41" i="68"/>
  <c r="AK41" i="68" s="1"/>
  <c r="AG41" i="68"/>
  <c r="AF41" i="68"/>
  <c r="AH41" i="68" s="1"/>
  <c r="AD41" i="68"/>
  <c r="AC41" i="68"/>
  <c r="AE41" i="68" s="1"/>
  <c r="AA41" i="68"/>
  <c r="Z41" i="68"/>
  <c r="E41" i="68"/>
  <c r="X41" i="68"/>
  <c r="W41" i="68"/>
  <c r="Y41" i="68" s="1"/>
  <c r="U41" i="68"/>
  <c r="T41" i="68"/>
  <c r="V41" i="68" s="1"/>
  <c r="R41" i="68"/>
  <c r="Q41" i="68"/>
  <c r="O41" i="68"/>
  <c r="N41" i="68"/>
  <c r="P41" i="68" s="1"/>
  <c r="L41" i="68"/>
  <c r="K41" i="68"/>
  <c r="M41" i="68" s="1"/>
  <c r="I41" i="68"/>
  <c r="C41" i="68"/>
  <c r="B41" i="68"/>
  <c r="AM40" i="68"/>
  <c r="AL40" i="68"/>
  <c r="AJ40" i="68"/>
  <c r="AI40" i="68"/>
  <c r="AG40" i="68"/>
  <c r="AF40" i="68"/>
  <c r="AD40" i="68"/>
  <c r="AC40" i="68"/>
  <c r="AA40" i="68"/>
  <c r="Z40" i="68"/>
  <c r="E40" i="68"/>
  <c r="X40" i="68"/>
  <c r="W40" i="68"/>
  <c r="U40" i="68"/>
  <c r="T40" i="68"/>
  <c r="R40" i="68"/>
  <c r="Q40" i="68"/>
  <c r="O40" i="68"/>
  <c r="N40" i="68"/>
  <c r="L40" i="68"/>
  <c r="K40" i="68"/>
  <c r="I40" i="68"/>
  <c r="AM39" i="68"/>
  <c r="AL39" i="68"/>
  <c r="AJ39" i="68"/>
  <c r="AI39" i="68"/>
  <c r="AG39" i="68"/>
  <c r="AF39" i="68"/>
  <c r="AH39" i="68" s="1"/>
  <c r="AD39" i="68"/>
  <c r="AC39" i="68"/>
  <c r="AA39" i="68"/>
  <c r="Z39" i="68"/>
  <c r="E39" i="68"/>
  <c r="G39" i="68" s="1"/>
  <c r="X39" i="68"/>
  <c r="W39" i="68"/>
  <c r="U39" i="68"/>
  <c r="T39" i="68"/>
  <c r="V39" i="68" s="1"/>
  <c r="R39" i="68"/>
  <c r="Q39" i="68"/>
  <c r="S39" i="68" s="1"/>
  <c r="O39" i="68"/>
  <c r="N39" i="68"/>
  <c r="P39" i="68" s="1"/>
  <c r="L39" i="68"/>
  <c r="K39" i="68"/>
  <c r="M39" i="68" s="1"/>
  <c r="I39" i="68"/>
  <c r="C39" i="68"/>
  <c r="B39" i="68"/>
  <c r="D39" i="68" s="1"/>
  <c r="AM38" i="68"/>
  <c r="AL38" i="68"/>
  <c r="AJ38" i="68"/>
  <c r="AI38" i="68"/>
  <c r="AG38" i="68"/>
  <c r="AF38" i="68"/>
  <c r="AH38" i="68" s="1"/>
  <c r="AD38" i="68"/>
  <c r="AC38" i="68"/>
  <c r="AA38" i="68"/>
  <c r="Z38" i="68"/>
  <c r="E38" i="68"/>
  <c r="X38" i="68"/>
  <c r="W38" i="68"/>
  <c r="U38" i="68"/>
  <c r="T38" i="68"/>
  <c r="R38" i="68"/>
  <c r="Q38" i="68"/>
  <c r="O38" i="68"/>
  <c r="N38" i="68"/>
  <c r="L38" i="68"/>
  <c r="K38" i="68"/>
  <c r="I38" i="68"/>
  <c r="AN34" i="68"/>
  <c r="AB34" i="68"/>
  <c r="P34" i="68"/>
  <c r="J34" i="68"/>
  <c r="D34" i="68"/>
  <c r="AS33" i="68"/>
  <c r="AR33" i="68"/>
  <c r="AT33" i="68" s="1"/>
  <c r="AP33" i="68"/>
  <c r="AO33" i="68"/>
  <c r="AQ33" i="68" s="1"/>
  <c r="J33" i="68"/>
  <c r="AN32" i="68"/>
  <c r="AA32" i="68"/>
  <c r="Z32" i="68"/>
  <c r="O32" i="68"/>
  <c r="N32" i="68"/>
  <c r="L32" i="68"/>
  <c r="K32" i="68"/>
  <c r="I32" i="68"/>
  <c r="H32" i="68"/>
  <c r="C32" i="68"/>
  <c r="B32" i="68"/>
  <c r="AS31" i="68"/>
  <c r="AR31" i="68"/>
  <c r="AP31" i="68"/>
  <c r="AO31" i="68"/>
  <c r="AB31" i="68"/>
  <c r="P31" i="68"/>
  <c r="AS30" i="68"/>
  <c r="AR30" i="68"/>
  <c r="AT30" i="68" s="1"/>
  <c r="AP30" i="68"/>
  <c r="AO30" i="68"/>
  <c r="AQ30" i="68" s="1"/>
  <c r="AS29" i="68"/>
  <c r="AR29" i="68"/>
  <c r="AP29" i="68"/>
  <c r="AO29" i="68"/>
  <c r="AN29" i="68"/>
  <c r="AB29" i="68"/>
  <c r="P29" i="68"/>
  <c r="M29" i="68"/>
  <c r="J29" i="68"/>
  <c r="D29" i="68"/>
  <c r="AS28" i="68"/>
  <c r="AR28" i="68"/>
  <c r="AT28" i="68" s="1"/>
  <c r="AP28" i="68"/>
  <c r="AO28" i="68"/>
  <c r="AQ28" i="68" s="1"/>
  <c r="AS27" i="68"/>
  <c r="AR27" i="68"/>
  <c r="AT27" i="68" s="1"/>
  <c r="AP27" i="68"/>
  <c r="AO27" i="68"/>
  <c r="AQ27" i="68" s="1"/>
  <c r="AS26" i="68"/>
  <c r="AR26" i="68"/>
  <c r="AP26" i="68"/>
  <c r="AO26" i="68"/>
  <c r="AN26" i="68"/>
  <c r="AB26" i="68"/>
  <c r="P26" i="68"/>
  <c r="M26" i="68"/>
  <c r="J26" i="68"/>
  <c r="D26" i="68"/>
  <c r="AS25" i="68"/>
  <c r="AR25" i="68"/>
  <c r="AT25" i="68" s="1"/>
  <c r="AP25" i="68"/>
  <c r="AO25" i="68"/>
  <c r="AQ25" i="68" s="1"/>
  <c r="AS24" i="68"/>
  <c r="AR24" i="68"/>
  <c r="AP24" i="68"/>
  <c r="AO24" i="68"/>
  <c r="AN24" i="68"/>
  <c r="AB24" i="68"/>
  <c r="P24" i="68"/>
  <c r="M24" i="68"/>
  <c r="J24" i="68"/>
  <c r="AS22" i="68"/>
  <c r="AP22" i="68"/>
  <c r="AN22" i="68"/>
  <c r="AK22" i="68"/>
  <c r="Y22" i="68"/>
  <c r="V22" i="68"/>
  <c r="P22" i="68"/>
  <c r="J22" i="68"/>
  <c r="D22" i="68"/>
  <c r="AS21" i="68"/>
  <c r="AR21" i="68"/>
  <c r="AT21" i="68" s="1"/>
  <c r="AP21" i="68"/>
  <c r="AO21" i="68"/>
  <c r="AQ21" i="68" s="1"/>
  <c r="J21" i="68"/>
  <c r="W20" i="68"/>
  <c r="U20" i="68"/>
  <c r="T20" i="68"/>
  <c r="O20" i="68"/>
  <c r="N20" i="68"/>
  <c r="K20" i="68"/>
  <c r="I20" i="68"/>
  <c r="H20" i="68"/>
  <c r="C20" i="68"/>
  <c r="B20" i="68"/>
  <c r="AS19" i="68"/>
  <c r="AR19" i="68"/>
  <c r="AP19" i="68"/>
  <c r="AO19" i="68"/>
  <c r="P19" i="68"/>
  <c r="AS18" i="68"/>
  <c r="AR18" i="68"/>
  <c r="AT18" i="68" s="1"/>
  <c r="AP18" i="68"/>
  <c r="AO18" i="68"/>
  <c r="AQ18" i="68" s="1"/>
  <c r="AS17" i="68"/>
  <c r="AR17" i="68"/>
  <c r="AP17" i="68"/>
  <c r="AO17" i="68"/>
  <c r="AN17" i="68"/>
  <c r="AK17" i="68"/>
  <c r="Y17" i="68"/>
  <c r="V17" i="68"/>
  <c r="P17" i="68"/>
  <c r="M17" i="68"/>
  <c r="J17" i="68"/>
  <c r="D17" i="68"/>
  <c r="AS16" i="68"/>
  <c r="AR16" i="68"/>
  <c r="AT16" i="68" s="1"/>
  <c r="AP16" i="68"/>
  <c r="AO16" i="68"/>
  <c r="AQ16" i="68" s="1"/>
  <c r="AS15" i="68"/>
  <c r="AR15" i="68"/>
  <c r="AT15" i="68" s="1"/>
  <c r="AP15" i="68"/>
  <c r="AO15" i="68"/>
  <c r="AQ15" i="68" s="1"/>
  <c r="AS14" i="68"/>
  <c r="AR14" i="68"/>
  <c r="AP14" i="68"/>
  <c r="AO14" i="68"/>
  <c r="AN14" i="68"/>
  <c r="AK14" i="68"/>
  <c r="Y14" i="68"/>
  <c r="V14" i="68"/>
  <c r="P14" i="68"/>
  <c r="M14" i="68"/>
  <c r="J14" i="68"/>
  <c r="D14" i="68"/>
  <c r="AS13" i="68"/>
  <c r="AR13" i="68"/>
  <c r="AT13" i="68" s="1"/>
  <c r="AP13" i="68"/>
  <c r="AO13" i="68"/>
  <c r="AQ13" i="68" s="1"/>
  <c r="AS12" i="68"/>
  <c r="AR12" i="68"/>
  <c r="AP12" i="68"/>
  <c r="AO12" i="68"/>
  <c r="AN12" i="68"/>
  <c r="AK12" i="68"/>
  <c r="P12" i="68"/>
  <c r="M12" i="68"/>
  <c r="J12" i="68"/>
  <c r="AS9" i="68"/>
  <c r="AR9" i="68"/>
  <c r="AP9" i="68"/>
  <c r="AO9" i="68"/>
  <c r="AM9" i="68"/>
  <c r="AL9" i="68"/>
  <c r="AJ9" i="68"/>
  <c r="AI9" i="68"/>
  <c r="AG9" i="68"/>
  <c r="AF9" i="68"/>
  <c r="AD9" i="68"/>
  <c r="AC9" i="68"/>
  <c r="AA9" i="68"/>
  <c r="Z9" i="68"/>
  <c r="F9" i="68"/>
  <c r="E9" i="68"/>
  <c r="X9" i="68"/>
  <c r="W9" i="68"/>
  <c r="U9" i="68"/>
  <c r="T9" i="68"/>
  <c r="R9" i="68"/>
  <c r="Q9" i="68"/>
  <c r="O9" i="68"/>
  <c r="N9" i="68"/>
  <c r="L9" i="68"/>
  <c r="K9" i="68"/>
  <c r="I9" i="68"/>
  <c r="H9" i="68"/>
  <c r="AS144" i="67"/>
  <c r="AR144" i="67"/>
  <c r="AP144" i="67"/>
  <c r="AO144" i="67"/>
  <c r="Y144" i="67"/>
  <c r="AS143" i="67"/>
  <c r="AR143" i="67"/>
  <c r="AP143" i="67"/>
  <c r="AO143" i="67"/>
  <c r="Y143" i="67"/>
  <c r="AU142" i="67"/>
  <c r="W142" i="67"/>
  <c r="AS141" i="67"/>
  <c r="AR141" i="67"/>
  <c r="AT141" i="67" s="1"/>
  <c r="AP141" i="67"/>
  <c r="AO141" i="67"/>
  <c r="AQ141" i="67" s="1"/>
  <c r="AS140" i="67"/>
  <c r="AR140" i="67"/>
  <c r="AP140" i="67"/>
  <c r="AO140" i="67"/>
  <c r="AS139" i="67"/>
  <c r="AR139" i="67"/>
  <c r="AT139" i="67" s="1"/>
  <c r="AP139" i="67"/>
  <c r="AO139" i="67"/>
  <c r="AQ139" i="67" s="1"/>
  <c r="Y139" i="67"/>
  <c r="AS138" i="67"/>
  <c r="AR138" i="67"/>
  <c r="AP138" i="67"/>
  <c r="AO138" i="67"/>
  <c r="Y138" i="67"/>
  <c r="AS137" i="67"/>
  <c r="AR137" i="67"/>
  <c r="AT137" i="67" s="1"/>
  <c r="AP137" i="67"/>
  <c r="AO137" i="67"/>
  <c r="AQ137" i="67" s="1"/>
  <c r="AS136" i="67"/>
  <c r="AR136" i="67"/>
  <c r="AP136" i="67"/>
  <c r="AO136" i="67"/>
  <c r="Y136" i="67"/>
  <c r="AS135" i="67"/>
  <c r="AR135" i="67"/>
  <c r="AT135" i="67" s="1"/>
  <c r="AP135" i="67"/>
  <c r="AO135" i="67"/>
  <c r="AQ135" i="67" s="1"/>
  <c r="AS134" i="67"/>
  <c r="AR134" i="67"/>
  <c r="AP134" i="67"/>
  <c r="AO134" i="67"/>
  <c r="Y134" i="67"/>
  <c r="AS133" i="67"/>
  <c r="AR133" i="67"/>
  <c r="AS132" i="67"/>
  <c r="AR132" i="67"/>
  <c r="AP132" i="67"/>
  <c r="AO132" i="67"/>
  <c r="AN132" i="67"/>
  <c r="AE132" i="67"/>
  <c r="Y132" i="67"/>
  <c r="AS131" i="67"/>
  <c r="AR131" i="67"/>
  <c r="AP131" i="67"/>
  <c r="AO131" i="67"/>
  <c r="AN131" i="67"/>
  <c r="AE131" i="67"/>
  <c r="Y131" i="67"/>
  <c r="AU130" i="67"/>
  <c r="AD130" i="67"/>
  <c r="AC130" i="67"/>
  <c r="AC46" i="68" s="1"/>
  <c r="W130" i="67"/>
  <c r="AS129" i="67"/>
  <c r="AR129" i="67"/>
  <c r="AT129" i="67" s="1"/>
  <c r="AP129" i="67"/>
  <c r="AO129" i="67"/>
  <c r="AQ129" i="67" s="1"/>
  <c r="AS128" i="67"/>
  <c r="AR128" i="67"/>
  <c r="AP128" i="67"/>
  <c r="AO128" i="67"/>
  <c r="AN128" i="67"/>
  <c r="AE128" i="67"/>
  <c r="Y128" i="67"/>
  <c r="AS127" i="67"/>
  <c r="AR127" i="67"/>
  <c r="AP127" i="67"/>
  <c r="AO127" i="67"/>
  <c r="AN127" i="67"/>
  <c r="AE127" i="67"/>
  <c r="Y127" i="67"/>
  <c r="AS126" i="67"/>
  <c r="AR126" i="67"/>
  <c r="AP126" i="67"/>
  <c r="AO126" i="67"/>
  <c r="AN126" i="67"/>
  <c r="Y126" i="67"/>
  <c r="AS125" i="67"/>
  <c r="AR125" i="67"/>
  <c r="AP125" i="67"/>
  <c r="AO125" i="67"/>
  <c r="AN125" i="67"/>
  <c r="AS124" i="67"/>
  <c r="AR124" i="67"/>
  <c r="AP124" i="67"/>
  <c r="AO124" i="67"/>
  <c r="AN124" i="67"/>
  <c r="AE124" i="67"/>
  <c r="Y124" i="67"/>
  <c r="AS123" i="67"/>
  <c r="AR123" i="67"/>
  <c r="AP123" i="67"/>
  <c r="AO123" i="67"/>
  <c r="AN123" i="67"/>
  <c r="AE123" i="67"/>
  <c r="Y123" i="67"/>
  <c r="AS122" i="67"/>
  <c r="AR122" i="67"/>
  <c r="AP122" i="67"/>
  <c r="AO122" i="67"/>
  <c r="AN122" i="67"/>
  <c r="Y122" i="67"/>
  <c r="AS121" i="67"/>
  <c r="AR121" i="67"/>
  <c r="AS120" i="67"/>
  <c r="AR120" i="67"/>
  <c r="AS119" i="67"/>
  <c r="AR119" i="67"/>
  <c r="AS118" i="67"/>
  <c r="AR118" i="67"/>
  <c r="AP118" i="67"/>
  <c r="AO118" i="67"/>
  <c r="AN118" i="67"/>
  <c r="AS117" i="67"/>
  <c r="AR117" i="67"/>
  <c r="AP117" i="67"/>
  <c r="AO117" i="67"/>
  <c r="AN117" i="67"/>
  <c r="AU116" i="67"/>
  <c r="AR116" i="67"/>
  <c r="AO116" i="67"/>
  <c r="AS115" i="67"/>
  <c r="AR115" i="67"/>
  <c r="AT115" i="67" s="1"/>
  <c r="AP115" i="67"/>
  <c r="AO115" i="67"/>
  <c r="AQ115" i="67" s="1"/>
  <c r="AS114" i="67"/>
  <c r="AR114" i="67"/>
  <c r="AT114" i="67" s="1"/>
  <c r="AP114" i="67"/>
  <c r="AO114" i="67"/>
  <c r="AQ114" i="67" s="1"/>
  <c r="AS113" i="67"/>
  <c r="AR113" i="67"/>
  <c r="AT113" i="67" s="1"/>
  <c r="AP113" i="67"/>
  <c r="AO113" i="67"/>
  <c r="AQ113" i="67" s="1"/>
  <c r="AS112" i="67"/>
  <c r="AR112" i="67"/>
  <c r="AT112" i="67" s="1"/>
  <c r="AP112" i="67"/>
  <c r="AO112" i="67"/>
  <c r="AQ112" i="67" s="1"/>
  <c r="AS111" i="67"/>
  <c r="AR111" i="67"/>
  <c r="AT111" i="67" s="1"/>
  <c r="AP111" i="67"/>
  <c r="AO111" i="67"/>
  <c r="AQ111" i="67" s="1"/>
  <c r="AS110" i="67"/>
  <c r="AR110" i="67"/>
  <c r="AT110" i="67" s="1"/>
  <c r="AP110" i="67"/>
  <c r="AO110" i="67"/>
  <c r="AQ110" i="67" s="1"/>
  <c r="AN110" i="67"/>
  <c r="AS109" i="67"/>
  <c r="AR109" i="67"/>
  <c r="AT109" i="67" s="1"/>
  <c r="AP109" i="67"/>
  <c r="AO109" i="67"/>
  <c r="AQ109" i="67" s="1"/>
  <c r="AS108" i="67"/>
  <c r="AR108" i="67"/>
  <c r="AP108" i="67"/>
  <c r="AO108" i="67"/>
  <c r="AN108" i="67"/>
  <c r="AS107" i="67"/>
  <c r="AR107" i="67"/>
  <c r="AS106" i="67"/>
  <c r="AR106" i="67"/>
  <c r="AP106" i="67"/>
  <c r="AO106" i="67"/>
  <c r="AN106" i="67"/>
  <c r="AK106" i="67"/>
  <c r="AB106" i="67"/>
  <c r="J106" i="67"/>
  <c r="D106" i="67"/>
  <c r="AS105" i="67"/>
  <c r="AR105" i="67"/>
  <c r="AP105" i="67"/>
  <c r="AO105" i="67"/>
  <c r="J105" i="67"/>
  <c r="AU104" i="67"/>
  <c r="AN104" i="67"/>
  <c r="AA104" i="67"/>
  <c r="Z104" i="67"/>
  <c r="E104" i="67"/>
  <c r="I104" i="67"/>
  <c r="H104" i="67"/>
  <c r="C104" i="67"/>
  <c r="B104" i="67"/>
  <c r="AS103" i="67"/>
  <c r="AR103" i="67"/>
  <c r="AP103" i="67"/>
  <c r="AO103" i="67"/>
  <c r="AS102" i="67"/>
  <c r="AR102" i="67"/>
  <c r="AT102" i="67" s="1"/>
  <c r="AP102" i="67"/>
  <c r="AO102" i="67"/>
  <c r="AQ102" i="67" s="1"/>
  <c r="AS101" i="67"/>
  <c r="AR101" i="67"/>
  <c r="AP101" i="67"/>
  <c r="AO101" i="67"/>
  <c r="AN101" i="67"/>
  <c r="AK101" i="67"/>
  <c r="AB101" i="67"/>
  <c r="J101" i="67"/>
  <c r="D101" i="67"/>
  <c r="AS100" i="67"/>
  <c r="AR100" i="67"/>
  <c r="AP100" i="67"/>
  <c r="AO100" i="67"/>
  <c r="J100" i="67"/>
  <c r="AS99" i="67"/>
  <c r="AR99" i="67"/>
  <c r="AP99" i="67"/>
  <c r="AO99" i="67"/>
  <c r="AN99" i="67"/>
  <c r="J99" i="67"/>
  <c r="AS98" i="67"/>
  <c r="AR98" i="67"/>
  <c r="AP98" i="67"/>
  <c r="AO98" i="67"/>
  <c r="AN98" i="67"/>
  <c r="AK98" i="67"/>
  <c r="AB98" i="67"/>
  <c r="J98" i="67"/>
  <c r="D98" i="67"/>
  <c r="AS97" i="67"/>
  <c r="AR97" i="67"/>
  <c r="AP97" i="67"/>
  <c r="AO97" i="67"/>
  <c r="J97" i="67"/>
  <c r="AS96" i="67"/>
  <c r="AR96" i="67"/>
  <c r="AP96" i="67"/>
  <c r="AO96" i="67"/>
  <c r="AN96" i="67"/>
  <c r="AB96" i="67"/>
  <c r="J96" i="67"/>
  <c r="AS95" i="67"/>
  <c r="AR95" i="67"/>
  <c r="AS94" i="67"/>
  <c r="AR94" i="67"/>
  <c r="AP94" i="67"/>
  <c r="AO94" i="67"/>
  <c r="AN94" i="67"/>
  <c r="AK94" i="67"/>
  <c r="AB94" i="67"/>
  <c r="S94" i="67"/>
  <c r="J94" i="67"/>
  <c r="AS93" i="67"/>
  <c r="AR93" i="67"/>
  <c r="AP93" i="67"/>
  <c r="AO93" i="67"/>
  <c r="AN93" i="67"/>
  <c r="AK93" i="67"/>
  <c r="AB93" i="67"/>
  <c r="S93" i="67"/>
  <c r="J93" i="67"/>
  <c r="AU92" i="67"/>
  <c r="AK92" i="67"/>
  <c r="AG92" i="67"/>
  <c r="AA92" i="67"/>
  <c r="Z92" i="67"/>
  <c r="E92" i="67"/>
  <c r="R92" i="67"/>
  <c r="Q92" i="67"/>
  <c r="I92" i="67"/>
  <c r="H92" i="67"/>
  <c r="AS91" i="67"/>
  <c r="AR91" i="67"/>
  <c r="AT91" i="67" s="1"/>
  <c r="AP91" i="67"/>
  <c r="AO91" i="67"/>
  <c r="AQ91" i="67" s="1"/>
  <c r="AN91" i="67"/>
  <c r="AB91" i="67"/>
  <c r="AS90" i="67"/>
  <c r="AR90" i="67"/>
  <c r="AP90" i="67"/>
  <c r="AO90" i="67"/>
  <c r="AN90" i="67"/>
  <c r="AB90" i="67"/>
  <c r="AS89" i="67"/>
  <c r="AR89" i="67"/>
  <c r="AP89" i="67"/>
  <c r="AO89" i="67"/>
  <c r="AN89" i="67"/>
  <c r="AK89" i="67"/>
  <c r="AB89" i="67"/>
  <c r="S89" i="67"/>
  <c r="J89" i="67"/>
  <c r="AS88" i="67"/>
  <c r="AR88" i="67"/>
  <c r="AT88" i="67" s="1"/>
  <c r="AP88" i="67"/>
  <c r="AO88" i="67"/>
  <c r="AQ88" i="67" s="1"/>
  <c r="AS87" i="67"/>
  <c r="AR87" i="67"/>
  <c r="AT87" i="67" s="1"/>
  <c r="AP87" i="67"/>
  <c r="AO87" i="67"/>
  <c r="AQ87" i="67" s="1"/>
  <c r="AS86" i="67"/>
  <c r="AR86" i="67"/>
  <c r="AP86" i="67"/>
  <c r="AO86" i="67"/>
  <c r="AN86" i="67"/>
  <c r="AK86" i="67"/>
  <c r="AB86" i="67"/>
  <c r="S86" i="67"/>
  <c r="J86" i="67"/>
  <c r="AS85" i="67"/>
  <c r="AR85" i="67"/>
  <c r="AP85" i="67"/>
  <c r="AO85" i="67"/>
  <c r="AN85" i="67"/>
  <c r="AK85" i="67"/>
  <c r="AB85" i="67"/>
  <c r="AS84" i="67"/>
  <c r="AR84" i="67"/>
  <c r="AP84" i="67"/>
  <c r="AO84" i="67"/>
  <c r="AN84" i="67"/>
  <c r="AK84" i="67"/>
  <c r="AB84" i="67"/>
  <c r="S84" i="67"/>
  <c r="J84" i="67"/>
  <c r="AS83" i="67"/>
  <c r="AR83" i="67"/>
  <c r="AP83" i="67"/>
  <c r="AO83" i="67"/>
  <c r="AQ83" i="67" s="1"/>
  <c r="AS82" i="67"/>
  <c r="AR82" i="67"/>
  <c r="AP82" i="67"/>
  <c r="AO82" i="67"/>
  <c r="AK82" i="67"/>
  <c r="AS81" i="67"/>
  <c r="AR81" i="67"/>
  <c r="AT81" i="67" s="1"/>
  <c r="AP81" i="67"/>
  <c r="AO81" i="67"/>
  <c r="AQ81" i="67" s="1"/>
  <c r="AU80" i="67"/>
  <c r="AR80" i="67"/>
  <c r="AO80" i="67"/>
  <c r="AS79" i="67"/>
  <c r="AR79" i="67"/>
  <c r="AT79" i="67" s="1"/>
  <c r="AP79" i="67"/>
  <c r="AO79" i="67"/>
  <c r="AQ79" i="67" s="1"/>
  <c r="AS78" i="67"/>
  <c r="AR78" i="67"/>
  <c r="AT78" i="67" s="1"/>
  <c r="AP78" i="67"/>
  <c r="AO78" i="67"/>
  <c r="AQ78" i="67" s="1"/>
  <c r="AS77" i="67"/>
  <c r="AR77" i="67"/>
  <c r="AP77" i="67"/>
  <c r="AO77" i="67"/>
  <c r="AK77" i="67"/>
  <c r="AS76" i="67"/>
  <c r="AR76" i="67"/>
  <c r="AT76" i="67" s="1"/>
  <c r="AP76" i="67"/>
  <c r="AO76" i="67"/>
  <c r="AQ76" i="67" s="1"/>
  <c r="AS75" i="67"/>
  <c r="AR75" i="67"/>
  <c r="AT75" i="67" s="1"/>
  <c r="AP75" i="67"/>
  <c r="AO75" i="67"/>
  <c r="AQ75" i="67" s="1"/>
  <c r="AS74" i="67"/>
  <c r="AR74" i="67"/>
  <c r="AP74" i="67"/>
  <c r="AO74" i="67"/>
  <c r="AK74" i="67"/>
  <c r="AS73" i="67"/>
  <c r="AR73" i="67"/>
  <c r="AT73" i="67" s="1"/>
  <c r="AP73" i="67"/>
  <c r="AO73" i="67"/>
  <c r="AQ73" i="67" s="1"/>
  <c r="AS72" i="67"/>
  <c r="AR72" i="67"/>
  <c r="AT72" i="67" s="1"/>
  <c r="AP72" i="67"/>
  <c r="AO72" i="67"/>
  <c r="AQ72" i="67" s="1"/>
  <c r="AK72" i="67"/>
  <c r="AS71" i="67"/>
  <c r="AR71" i="67"/>
  <c r="AP71" i="67"/>
  <c r="AO71" i="67"/>
  <c r="AQ71" i="67" s="1"/>
  <c r="AS70" i="67"/>
  <c r="AR70" i="67"/>
  <c r="AP70" i="67"/>
  <c r="AO70" i="67"/>
  <c r="AK70" i="67"/>
  <c r="AS69" i="67"/>
  <c r="AR69" i="67"/>
  <c r="AP69" i="67"/>
  <c r="AO69" i="67"/>
  <c r="AK69" i="67"/>
  <c r="AU68" i="67"/>
  <c r="AS67" i="67"/>
  <c r="AR67" i="67"/>
  <c r="AT67" i="67" s="1"/>
  <c r="AP67" i="67"/>
  <c r="AO67" i="67"/>
  <c r="AQ67" i="67" s="1"/>
  <c r="AS66" i="67"/>
  <c r="AR66" i="67"/>
  <c r="AP66" i="67"/>
  <c r="AO66" i="67"/>
  <c r="AS65" i="67"/>
  <c r="AR65" i="67"/>
  <c r="AP65" i="67"/>
  <c r="AO65" i="67"/>
  <c r="AK65" i="67"/>
  <c r="AS64" i="67"/>
  <c r="AR64" i="67"/>
  <c r="AP64" i="67"/>
  <c r="AO64" i="67"/>
  <c r="AK64" i="67"/>
  <c r="AS63" i="67"/>
  <c r="AR63" i="67"/>
  <c r="AT63" i="67" s="1"/>
  <c r="AP63" i="67"/>
  <c r="AO63" i="67"/>
  <c r="AQ63" i="67" s="1"/>
  <c r="AS62" i="67"/>
  <c r="AR62" i="67"/>
  <c r="AP62" i="67"/>
  <c r="AO62" i="67"/>
  <c r="AK62" i="67"/>
  <c r="AS61" i="67"/>
  <c r="AR61" i="67"/>
  <c r="AP61" i="67"/>
  <c r="AO61" i="67"/>
  <c r="AK61" i="67"/>
  <c r="AS60" i="67"/>
  <c r="AR60" i="67"/>
  <c r="AP60" i="67"/>
  <c r="AO60" i="67"/>
  <c r="AK60" i="67"/>
  <c r="AS59" i="67"/>
  <c r="AR59" i="67"/>
  <c r="AT59" i="67" s="1"/>
  <c r="AP59" i="67"/>
  <c r="AO59" i="67"/>
  <c r="AQ59" i="67" s="1"/>
  <c r="AN58" i="67"/>
  <c r="AK58" i="67"/>
  <c r="AB58" i="67"/>
  <c r="G58" i="67"/>
  <c r="S58" i="67"/>
  <c r="P58" i="67"/>
  <c r="J58" i="67"/>
  <c r="C58" i="67"/>
  <c r="B58" i="67"/>
  <c r="AR58" i="67" s="1"/>
  <c r="AS57" i="67"/>
  <c r="AR57" i="67"/>
  <c r="AP57" i="67"/>
  <c r="AO57" i="67"/>
  <c r="S57" i="67"/>
  <c r="J57" i="67"/>
  <c r="AN56" i="67"/>
  <c r="AG56" i="67"/>
  <c r="AF56" i="67"/>
  <c r="AA56" i="67"/>
  <c r="Z56" i="67"/>
  <c r="E56" i="67"/>
  <c r="R56" i="67"/>
  <c r="Q56" i="67"/>
  <c r="O56" i="67"/>
  <c r="N56" i="67"/>
  <c r="I56" i="67"/>
  <c r="H56" i="67"/>
  <c r="AS55" i="67"/>
  <c r="AR55" i="67"/>
  <c r="AP55" i="67"/>
  <c r="AO55" i="67"/>
  <c r="AB55" i="67"/>
  <c r="P55" i="67"/>
  <c r="AS54" i="67"/>
  <c r="AR54" i="67"/>
  <c r="AT54" i="67" s="1"/>
  <c r="AP54" i="67"/>
  <c r="AO54" i="67"/>
  <c r="AQ54" i="67" s="1"/>
  <c r="AS53" i="67"/>
  <c r="AR53" i="67"/>
  <c r="AP53" i="67"/>
  <c r="AO53" i="67"/>
  <c r="AK53" i="67"/>
  <c r="AB53" i="67"/>
  <c r="S53" i="67"/>
  <c r="P53" i="67"/>
  <c r="J53" i="67"/>
  <c r="AS52" i="67"/>
  <c r="AR52" i="67"/>
  <c r="AP52" i="67"/>
  <c r="AO52" i="67"/>
  <c r="AS51" i="67"/>
  <c r="AR51" i="67"/>
  <c r="AP51" i="67"/>
  <c r="AO51" i="67"/>
  <c r="AN50" i="67"/>
  <c r="AK50" i="67"/>
  <c r="AB50" i="67"/>
  <c r="G50" i="67"/>
  <c r="S50" i="67"/>
  <c r="P50" i="67"/>
  <c r="J50" i="67"/>
  <c r="C50" i="67"/>
  <c r="C56" i="67" s="1"/>
  <c r="B50" i="67"/>
  <c r="B56" i="67" s="1"/>
  <c r="AS49" i="67"/>
  <c r="AR49" i="67"/>
  <c r="AT49" i="67" s="1"/>
  <c r="AP49" i="67"/>
  <c r="AO49" i="67"/>
  <c r="AQ49" i="67" s="1"/>
  <c r="AS48" i="67"/>
  <c r="AR48" i="67"/>
  <c r="AP48" i="67"/>
  <c r="AO48" i="67"/>
  <c r="AN48" i="67"/>
  <c r="AK48" i="67"/>
  <c r="S48" i="67"/>
  <c r="P48" i="67"/>
  <c r="J48" i="67"/>
  <c r="AS47" i="67"/>
  <c r="AR47" i="67"/>
  <c r="AS46" i="67"/>
  <c r="AR46" i="67"/>
  <c r="AP46" i="67"/>
  <c r="AO46" i="67"/>
  <c r="AK46" i="67"/>
  <c r="AS45" i="67"/>
  <c r="AR45" i="67"/>
  <c r="AP45" i="67"/>
  <c r="AO45" i="67"/>
  <c r="AK45" i="67"/>
  <c r="AS43" i="67"/>
  <c r="AR43" i="67"/>
  <c r="AT43" i="67" s="1"/>
  <c r="AP43" i="67"/>
  <c r="AO43" i="67"/>
  <c r="AQ43" i="67" s="1"/>
  <c r="AS42" i="67"/>
  <c r="AR42" i="67"/>
  <c r="AT42" i="67" s="1"/>
  <c r="AP42" i="67"/>
  <c r="AO42" i="67"/>
  <c r="AQ42" i="67" s="1"/>
  <c r="AS41" i="67"/>
  <c r="AR41" i="67"/>
  <c r="AP41" i="67"/>
  <c r="AO41" i="67"/>
  <c r="AK41" i="67"/>
  <c r="AS40" i="67"/>
  <c r="AR40" i="67"/>
  <c r="AP40" i="67"/>
  <c r="AO40" i="67"/>
  <c r="AK40" i="67"/>
  <c r="AS39" i="67"/>
  <c r="AR39" i="67"/>
  <c r="AT39" i="67" s="1"/>
  <c r="AP39" i="67"/>
  <c r="AO39" i="67"/>
  <c r="AQ39" i="67" s="1"/>
  <c r="AS38" i="67"/>
  <c r="AR38" i="67"/>
  <c r="AP38" i="67"/>
  <c r="AO38" i="67"/>
  <c r="AK38" i="67"/>
  <c r="AS37" i="67"/>
  <c r="AR37" i="67"/>
  <c r="AP37" i="67"/>
  <c r="AO37" i="67"/>
  <c r="AS36" i="67"/>
  <c r="AR36" i="67"/>
  <c r="AP36" i="67"/>
  <c r="AO36" i="67"/>
  <c r="AK36" i="67"/>
  <c r="AS35" i="67"/>
  <c r="AR35" i="67"/>
  <c r="AS34" i="67"/>
  <c r="AR34" i="67"/>
  <c r="AT34" i="67" s="1"/>
  <c r="AP34" i="67"/>
  <c r="AO34" i="67"/>
  <c r="AQ34" i="67" s="1"/>
  <c r="AS33" i="67"/>
  <c r="AR33" i="67"/>
  <c r="AT33" i="67" s="1"/>
  <c r="AP33" i="67"/>
  <c r="AO33" i="67"/>
  <c r="AQ33" i="67" s="1"/>
  <c r="AR32" i="67"/>
  <c r="AT32" i="67" s="1"/>
  <c r="AO32" i="67"/>
  <c r="AS31" i="67"/>
  <c r="AR31" i="67"/>
  <c r="AT31" i="67" s="1"/>
  <c r="AP31" i="67"/>
  <c r="AO31" i="67"/>
  <c r="AQ31" i="67" s="1"/>
  <c r="AS30" i="67"/>
  <c r="AR30" i="67"/>
  <c r="AT30" i="67" s="1"/>
  <c r="AP30" i="67"/>
  <c r="AO30" i="67"/>
  <c r="AQ30" i="67" s="1"/>
  <c r="AS29" i="67"/>
  <c r="AR29" i="67"/>
  <c r="AT29" i="67" s="1"/>
  <c r="AP29" i="67"/>
  <c r="AO29" i="67"/>
  <c r="AQ29" i="67" s="1"/>
  <c r="AS28" i="67"/>
  <c r="AR28" i="67"/>
  <c r="AT28" i="67" s="1"/>
  <c r="AP28" i="67"/>
  <c r="AO28" i="67"/>
  <c r="AQ28" i="67" s="1"/>
  <c r="AS27" i="67"/>
  <c r="AR27" i="67"/>
  <c r="AT27" i="67" s="1"/>
  <c r="AP27" i="67"/>
  <c r="AO27" i="67"/>
  <c r="AQ27" i="67" s="1"/>
  <c r="AS26" i="67"/>
  <c r="AR26" i="67"/>
  <c r="AT26" i="67" s="1"/>
  <c r="AP26" i="67"/>
  <c r="AO26" i="67"/>
  <c r="AQ26" i="67" s="1"/>
  <c r="AS25" i="67"/>
  <c r="AR25" i="67"/>
  <c r="AT25" i="67" s="1"/>
  <c r="AP25" i="67"/>
  <c r="AO25" i="67"/>
  <c r="AQ25" i="67" s="1"/>
  <c r="AS24" i="67"/>
  <c r="AR24" i="67"/>
  <c r="AT24" i="67" s="1"/>
  <c r="AP24" i="67"/>
  <c r="AO24" i="67"/>
  <c r="AQ24" i="67" s="1"/>
  <c r="AS23" i="67"/>
  <c r="AR23" i="67"/>
  <c r="AN22" i="67"/>
  <c r="AK22" i="67"/>
  <c r="AB22" i="67"/>
  <c r="G22" i="67"/>
  <c r="H22" i="67"/>
  <c r="H48" i="68" s="1"/>
  <c r="J48" i="68" s="1"/>
  <c r="C22" i="67"/>
  <c r="AS22" i="67" s="1"/>
  <c r="B22" i="67"/>
  <c r="AN21" i="67"/>
  <c r="AK21" i="67"/>
  <c r="AB21" i="67"/>
  <c r="G21" i="67"/>
  <c r="H21" i="67"/>
  <c r="H47" i="68" s="1"/>
  <c r="C21" i="67"/>
  <c r="AS21" i="67" s="1"/>
  <c r="B21" i="67"/>
  <c r="B47" i="68" s="1"/>
  <c r="AN20" i="67"/>
  <c r="AK20" i="67"/>
  <c r="AA20" i="67"/>
  <c r="Z20" i="67"/>
  <c r="E20" i="67"/>
  <c r="G20" i="67" s="1"/>
  <c r="I20" i="67"/>
  <c r="AS19" i="67"/>
  <c r="AR19" i="67"/>
  <c r="AT19" i="67" s="1"/>
  <c r="AP19" i="67"/>
  <c r="AO19" i="67"/>
  <c r="AQ19" i="67" s="1"/>
  <c r="AN19" i="67"/>
  <c r="AB19" i="67"/>
  <c r="G19" i="67"/>
  <c r="AS18" i="67"/>
  <c r="AR18" i="67"/>
  <c r="AP18" i="67"/>
  <c r="AO18" i="67"/>
  <c r="AN18" i="67"/>
  <c r="AB18" i="67"/>
  <c r="AN17" i="67"/>
  <c r="AK17" i="67"/>
  <c r="AB17" i="67"/>
  <c r="G17" i="67"/>
  <c r="H17" i="67"/>
  <c r="H43" i="68" s="1"/>
  <c r="C17" i="67"/>
  <c r="AP17" i="67" s="1"/>
  <c r="B17" i="67"/>
  <c r="B43" i="68" s="1"/>
  <c r="AS16" i="67"/>
  <c r="AP16" i="67"/>
  <c r="AN16" i="67"/>
  <c r="AK16" i="67"/>
  <c r="AB16" i="67"/>
  <c r="G16" i="67"/>
  <c r="H16" i="67"/>
  <c r="AO16" i="67" s="1"/>
  <c r="D16" i="67"/>
  <c r="AS15" i="67"/>
  <c r="AP15" i="67"/>
  <c r="AN15" i="67"/>
  <c r="AB15" i="67"/>
  <c r="G15" i="67"/>
  <c r="H15" i="67"/>
  <c r="H41" i="68" s="1"/>
  <c r="AN14" i="67"/>
  <c r="AK14" i="67"/>
  <c r="AB14" i="67"/>
  <c r="G14" i="67"/>
  <c r="H14" i="67"/>
  <c r="C14" i="67"/>
  <c r="C40" i="68" s="1"/>
  <c r="B14" i="67"/>
  <c r="AS13" i="67"/>
  <c r="AP13" i="67"/>
  <c r="AN13" i="67"/>
  <c r="AK13" i="67"/>
  <c r="AB13" i="67"/>
  <c r="H13" i="67"/>
  <c r="H39" i="68" s="1"/>
  <c r="AN12" i="67"/>
  <c r="AK12" i="67"/>
  <c r="AB12" i="67"/>
  <c r="G12" i="67"/>
  <c r="H12" i="67"/>
  <c r="H38" i="68" s="1"/>
  <c r="C12" i="67"/>
  <c r="C38" i="68" s="1"/>
  <c r="B12" i="67"/>
  <c r="AS9" i="67"/>
  <c r="AR9" i="67"/>
  <c r="AP9" i="67"/>
  <c r="AO9" i="67"/>
  <c r="AM9" i="67"/>
  <c r="AL9" i="67"/>
  <c r="AJ9" i="67"/>
  <c r="AI9" i="67"/>
  <c r="AG9" i="67"/>
  <c r="AF9" i="67"/>
  <c r="AD9" i="67"/>
  <c r="AC9" i="67"/>
  <c r="AA9" i="67"/>
  <c r="Z9" i="67"/>
  <c r="F9" i="67"/>
  <c r="E9" i="67"/>
  <c r="X9" i="67"/>
  <c r="W9" i="67"/>
  <c r="U9" i="67"/>
  <c r="T9" i="67"/>
  <c r="R9" i="67"/>
  <c r="Q9" i="67"/>
  <c r="O9" i="67"/>
  <c r="N9" i="67"/>
  <c r="L9" i="67"/>
  <c r="K9" i="67"/>
  <c r="I9" i="67"/>
  <c r="H9" i="67"/>
  <c r="AS108" i="66"/>
  <c r="AR108" i="66"/>
  <c r="AP108" i="66"/>
  <c r="AO108" i="66"/>
  <c r="AN108" i="66"/>
  <c r="AK108" i="66"/>
  <c r="AB108" i="66"/>
  <c r="S108" i="66"/>
  <c r="J108" i="66"/>
  <c r="D108" i="66"/>
  <c r="AS107" i="66"/>
  <c r="AR107" i="66"/>
  <c r="AP107" i="66"/>
  <c r="AO107" i="66"/>
  <c r="J107" i="66"/>
  <c r="AG106" i="66"/>
  <c r="AF106" i="66"/>
  <c r="AA106" i="66"/>
  <c r="Z106" i="66"/>
  <c r="R106" i="66"/>
  <c r="Q106" i="66"/>
  <c r="I106" i="66"/>
  <c r="H106" i="66"/>
  <c r="C106" i="66"/>
  <c r="B106" i="66"/>
  <c r="AS105" i="66"/>
  <c r="AR105" i="66"/>
  <c r="AP105" i="66"/>
  <c r="AO105" i="66"/>
  <c r="AS104" i="66"/>
  <c r="AR104" i="66"/>
  <c r="AT104" i="66" s="1"/>
  <c r="AP104" i="66"/>
  <c r="AO104" i="66"/>
  <c r="AQ104" i="66" s="1"/>
  <c r="AS103" i="66"/>
  <c r="AR103" i="66"/>
  <c r="AP103" i="66"/>
  <c r="AO103" i="66"/>
  <c r="AN103" i="66"/>
  <c r="AK103" i="66"/>
  <c r="AB103" i="66"/>
  <c r="S103" i="66"/>
  <c r="J103" i="66"/>
  <c r="D103" i="66"/>
  <c r="AS102" i="66"/>
  <c r="AR102" i="66"/>
  <c r="AT102" i="66" s="1"/>
  <c r="AP102" i="66"/>
  <c r="AO102" i="66"/>
  <c r="AQ102" i="66" s="1"/>
  <c r="AS101" i="66"/>
  <c r="AR101" i="66"/>
  <c r="AT101" i="66" s="1"/>
  <c r="AP101" i="66"/>
  <c r="AO101" i="66"/>
  <c r="AQ101" i="66" s="1"/>
  <c r="AS100" i="66"/>
  <c r="AR100" i="66"/>
  <c r="AP100" i="66"/>
  <c r="AO100" i="66"/>
  <c r="AN100" i="66"/>
  <c r="AK100" i="66"/>
  <c r="AH100" i="66"/>
  <c r="AB100" i="66"/>
  <c r="S100" i="66"/>
  <c r="J100" i="66"/>
  <c r="D100" i="66"/>
  <c r="AS99" i="66"/>
  <c r="AR99" i="66"/>
  <c r="AT99" i="66" s="1"/>
  <c r="AP99" i="66"/>
  <c r="AO99" i="66"/>
  <c r="AQ99" i="66" s="1"/>
  <c r="AS98" i="66"/>
  <c r="AR98" i="66"/>
  <c r="AP98" i="66"/>
  <c r="AO98" i="66"/>
  <c r="J98" i="66"/>
  <c r="AS96" i="66"/>
  <c r="AR96" i="66"/>
  <c r="AP96" i="66"/>
  <c r="AO96" i="66"/>
  <c r="AB96" i="66"/>
  <c r="S96" i="66"/>
  <c r="P96" i="66"/>
  <c r="D96" i="66"/>
  <c r="AS95" i="66"/>
  <c r="AR95" i="66"/>
  <c r="AP95" i="66"/>
  <c r="AO95" i="66"/>
  <c r="S95" i="66"/>
  <c r="AA94" i="66"/>
  <c r="Z94" i="66"/>
  <c r="R94" i="66"/>
  <c r="Q94" i="66"/>
  <c r="O94" i="66"/>
  <c r="N94" i="66"/>
  <c r="C94" i="66"/>
  <c r="B94" i="66"/>
  <c r="AS93" i="66"/>
  <c r="AR93" i="66"/>
  <c r="AP93" i="66"/>
  <c r="AO93" i="66"/>
  <c r="P93" i="66"/>
  <c r="AS92" i="66"/>
  <c r="AR92" i="66"/>
  <c r="AT92" i="66" s="1"/>
  <c r="AP92" i="66"/>
  <c r="AO92" i="66"/>
  <c r="AQ92" i="66" s="1"/>
  <c r="AS91" i="66"/>
  <c r="AR91" i="66"/>
  <c r="AP91" i="66"/>
  <c r="AO91" i="66"/>
  <c r="AB91" i="66"/>
  <c r="S91" i="66"/>
  <c r="P91" i="66"/>
  <c r="D91" i="66"/>
  <c r="AS90" i="66"/>
  <c r="AR90" i="66"/>
  <c r="AT90" i="66" s="1"/>
  <c r="AP90" i="66"/>
  <c r="AO90" i="66"/>
  <c r="AQ90" i="66" s="1"/>
  <c r="AS89" i="66"/>
  <c r="AR89" i="66"/>
  <c r="AT89" i="66" s="1"/>
  <c r="AP89" i="66"/>
  <c r="AO89" i="66"/>
  <c r="AQ89" i="66" s="1"/>
  <c r="AS88" i="66"/>
  <c r="AR88" i="66"/>
  <c r="AP88" i="66"/>
  <c r="AO88" i="66"/>
  <c r="AB88" i="66"/>
  <c r="S88" i="66"/>
  <c r="P88" i="66"/>
  <c r="D88" i="66"/>
  <c r="AS87" i="66"/>
  <c r="AR87" i="66"/>
  <c r="AT87" i="66" s="1"/>
  <c r="AP87" i="66"/>
  <c r="AO87" i="66"/>
  <c r="AQ87" i="66" s="1"/>
  <c r="AS86" i="66"/>
  <c r="AR86" i="66"/>
  <c r="AP86" i="66"/>
  <c r="AO86" i="66"/>
  <c r="AB86" i="66"/>
  <c r="S86" i="66"/>
  <c r="P86" i="66"/>
  <c r="AS84" i="66"/>
  <c r="AR84" i="66"/>
  <c r="AP84" i="66"/>
  <c r="AO84" i="66"/>
  <c r="AK84" i="66"/>
  <c r="AB84" i="66"/>
  <c r="J84" i="66"/>
  <c r="D84" i="66"/>
  <c r="AR83" i="66"/>
  <c r="AO83" i="66"/>
  <c r="AK83" i="66"/>
  <c r="AB83" i="66"/>
  <c r="J83" i="66"/>
  <c r="C83" i="66"/>
  <c r="AK82" i="66"/>
  <c r="AA82" i="66"/>
  <c r="Z82" i="66"/>
  <c r="I82" i="66"/>
  <c r="H82" i="66"/>
  <c r="C82" i="66"/>
  <c r="B82" i="66"/>
  <c r="AS81" i="66"/>
  <c r="AR81" i="66"/>
  <c r="AT81" i="66" s="1"/>
  <c r="AP81" i="66"/>
  <c r="AO81" i="66"/>
  <c r="AQ81" i="66" s="1"/>
  <c r="AS80" i="66"/>
  <c r="AR80" i="66"/>
  <c r="AP80" i="66"/>
  <c r="AO80" i="66"/>
  <c r="AB80" i="66"/>
  <c r="AS79" i="66"/>
  <c r="AR79" i="66"/>
  <c r="AP79" i="66"/>
  <c r="AO79" i="66"/>
  <c r="AK79" i="66"/>
  <c r="AB79" i="66"/>
  <c r="J79" i="66"/>
  <c r="D79" i="66"/>
  <c r="AS78" i="66"/>
  <c r="AR78" i="66"/>
  <c r="AP78" i="66"/>
  <c r="AO78" i="66"/>
  <c r="AK78" i="66"/>
  <c r="AB78" i="66"/>
  <c r="J78" i="66"/>
  <c r="AS77" i="66"/>
  <c r="AR77" i="66"/>
  <c r="AT77" i="66" s="1"/>
  <c r="AP77" i="66"/>
  <c r="AO77" i="66"/>
  <c r="AQ77" i="66" s="1"/>
  <c r="J77" i="66"/>
  <c r="AS76" i="66"/>
  <c r="AR76" i="66"/>
  <c r="AP76" i="66"/>
  <c r="AO76" i="66"/>
  <c r="AK76" i="66"/>
  <c r="AB76" i="66"/>
  <c r="J76" i="66"/>
  <c r="D76" i="66"/>
  <c r="AS75" i="66"/>
  <c r="AR75" i="66"/>
  <c r="AP75" i="66"/>
  <c r="AO75" i="66"/>
  <c r="AB75" i="66"/>
  <c r="J75" i="66"/>
  <c r="AS74" i="66"/>
  <c r="AR74" i="66"/>
  <c r="AP74" i="66"/>
  <c r="AO74" i="66"/>
  <c r="AK74" i="66"/>
  <c r="AB74" i="66"/>
  <c r="J74" i="66"/>
  <c r="D74" i="66"/>
  <c r="AS72" i="66"/>
  <c r="AR72" i="66"/>
  <c r="AP72" i="66"/>
  <c r="AO72" i="66"/>
  <c r="AN72" i="66"/>
  <c r="AK72" i="66"/>
  <c r="AB72" i="66"/>
  <c r="J72" i="66"/>
  <c r="AS71" i="66"/>
  <c r="AR71" i="66"/>
  <c r="AP71" i="66"/>
  <c r="AO71" i="66"/>
  <c r="AN71" i="66"/>
  <c r="AK71" i="66"/>
  <c r="AB71" i="66"/>
  <c r="J71" i="66"/>
  <c r="AK70" i="66"/>
  <c r="AA70" i="66"/>
  <c r="Z70" i="66"/>
  <c r="I70" i="66"/>
  <c r="H70" i="66"/>
  <c r="AS69" i="66"/>
  <c r="AR69" i="66"/>
  <c r="AT69" i="66" s="1"/>
  <c r="AP69" i="66"/>
  <c r="AO69" i="66"/>
  <c r="AQ69" i="66" s="1"/>
  <c r="AS68" i="66"/>
  <c r="AR68" i="66"/>
  <c r="AT68" i="66" s="1"/>
  <c r="AP68" i="66"/>
  <c r="AO68" i="66"/>
  <c r="AQ68" i="66" s="1"/>
  <c r="AS67" i="66"/>
  <c r="AR67" i="66"/>
  <c r="AP67" i="66"/>
  <c r="AO67" i="66"/>
  <c r="AN67" i="66"/>
  <c r="AK67" i="66"/>
  <c r="AB67" i="66"/>
  <c r="J67" i="66"/>
  <c r="AS66" i="66"/>
  <c r="AR66" i="66"/>
  <c r="AT66" i="66" s="1"/>
  <c r="AP66" i="66"/>
  <c r="AO66" i="66"/>
  <c r="AQ66" i="66" s="1"/>
  <c r="AS65" i="66"/>
  <c r="AR65" i="66"/>
  <c r="AT65" i="66" s="1"/>
  <c r="AP65" i="66"/>
  <c r="AO65" i="66"/>
  <c r="AQ65" i="66" s="1"/>
  <c r="AS64" i="66"/>
  <c r="AR64" i="66"/>
  <c r="AP64" i="66"/>
  <c r="AO64" i="66"/>
  <c r="AN64" i="66"/>
  <c r="AK64" i="66"/>
  <c r="AB64" i="66"/>
  <c r="J64" i="66"/>
  <c r="AS63" i="66"/>
  <c r="AR63" i="66"/>
  <c r="AP63" i="66"/>
  <c r="AO63" i="66"/>
  <c r="AN63" i="66"/>
  <c r="AB63" i="66"/>
  <c r="J63" i="66"/>
  <c r="AS62" i="66"/>
  <c r="AR62" i="66"/>
  <c r="AP62" i="66"/>
  <c r="AO62" i="66"/>
  <c r="AN62" i="66"/>
  <c r="AK62" i="66"/>
  <c r="AB62" i="66"/>
  <c r="J62" i="66"/>
  <c r="AS58" i="66"/>
  <c r="AR58" i="66"/>
  <c r="AP58" i="66"/>
  <c r="AO58" i="66"/>
  <c r="AN58" i="66"/>
  <c r="AK58" i="66"/>
  <c r="AB58" i="66"/>
  <c r="J58" i="66"/>
  <c r="D58" i="66"/>
  <c r="AS57" i="66"/>
  <c r="AR57" i="66"/>
  <c r="AP57" i="66"/>
  <c r="AO57" i="66"/>
  <c r="J57" i="66"/>
  <c r="AA56" i="66"/>
  <c r="Z56" i="66"/>
  <c r="I56" i="66"/>
  <c r="H56" i="66"/>
  <c r="C56" i="66"/>
  <c r="B56" i="66"/>
  <c r="AS55" i="66"/>
  <c r="AR55" i="66"/>
  <c r="AT55" i="66" s="1"/>
  <c r="AP55" i="66"/>
  <c r="AO55" i="66"/>
  <c r="AQ55" i="66" s="1"/>
  <c r="AS54" i="66"/>
  <c r="AR54" i="66"/>
  <c r="AT54" i="66" s="1"/>
  <c r="AP54" i="66"/>
  <c r="AO54" i="66"/>
  <c r="AQ54" i="66" s="1"/>
  <c r="AS53" i="66"/>
  <c r="AR53" i="66"/>
  <c r="AP53" i="66"/>
  <c r="AO53" i="66"/>
  <c r="AK53" i="66"/>
  <c r="AB53" i="66"/>
  <c r="J53" i="66"/>
  <c r="D53" i="66"/>
  <c r="AS52" i="66"/>
  <c r="AR52" i="66"/>
  <c r="AT52" i="66" s="1"/>
  <c r="AP52" i="66"/>
  <c r="AO52" i="66"/>
  <c r="AQ52" i="66" s="1"/>
  <c r="AS51" i="66"/>
  <c r="AR51" i="66"/>
  <c r="AT51" i="66" s="1"/>
  <c r="AP51" i="66"/>
  <c r="AO51" i="66"/>
  <c r="AQ51" i="66" s="1"/>
  <c r="AS50" i="66"/>
  <c r="AR50" i="66"/>
  <c r="AP50" i="66"/>
  <c r="AO50" i="66"/>
  <c r="AN50" i="66"/>
  <c r="AK50" i="66"/>
  <c r="AB50" i="66"/>
  <c r="J50" i="66"/>
  <c r="D50" i="66"/>
  <c r="AS49" i="66"/>
  <c r="AR49" i="66"/>
  <c r="AT49" i="66" s="1"/>
  <c r="AP49" i="66"/>
  <c r="AO49" i="66"/>
  <c r="AQ49" i="66" s="1"/>
  <c r="AS48" i="66"/>
  <c r="AR48" i="66"/>
  <c r="AP48" i="66"/>
  <c r="AO48" i="66"/>
  <c r="J48" i="66"/>
  <c r="AR46" i="66"/>
  <c r="AO46" i="66"/>
  <c r="AN46" i="66"/>
  <c r="AB46" i="66"/>
  <c r="V46" i="66"/>
  <c r="P46" i="66"/>
  <c r="D46" i="66"/>
  <c r="AS45" i="66"/>
  <c r="AR45" i="66"/>
  <c r="AT45" i="66" s="1"/>
  <c r="AQ45" i="66"/>
  <c r="AP45" i="66"/>
  <c r="AO45" i="66"/>
  <c r="AN44" i="66"/>
  <c r="AG44" i="66"/>
  <c r="AA44" i="66"/>
  <c r="Z44" i="66"/>
  <c r="U44" i="66"/>
  <c r="T44" i="66"/>
  <c r="O44" i="66"/>
  <c r="N44" i="66"/>
  <c r="L44" i="66"/>
  <c r="L46" i="66" s="1"/>
  <c r="K44" i="66"/>
  <c r="M44" i="66" s="1"/>
  <c r="C44" i="66"/>
  <c r="B44" i="66"/>
  <c r="AS43" i="66"/>
  <c r="AR43" i="66"/>
  <c r="AP43" i="66"/>
  <c r="AO43" i="66"/>
  <c r="P43" i="66"/>
  <c r="AS42" i="66"/>
  <c r="AR42" i="66"/>
  <c r="AT42" i="66" s="1"/>
  <c r="AP42" i="66"/>
  <c r="AO42" i="66"/>
  <c r="AQ42" i="66" s="1"/>
  <c r="AS41" i="66"/>
  <c r="AR41" i="66"/>
  <c r="AP41" i="66"/>
  <c r="AO41" i="66"/>
  <c r="AN41" i="66"/>
  <c r="AB41" i="66"/>
  <c r="V41" i="66"/>
  <c r="P41" i="66"/>
  <c r="M41" i="66"/>
  <c r="D41" i="66"/>
  <c r="AS40" i="66"/>
  <c r="AR40" i="66"/>
  <c r="AT40" i="66" s="1"/>
  <c r="AP40" i="66"/>
  <c r="AO40" i="66"/>
  <c r="AQ40" i="66" s="1"/>
  <c r="AS39" i="66"/>
  <c r="AR39" i="66"/>
  <c r="AT39" i="66" s="1"/>
  <c r="AP39" i="66"/>
  <c r="AO39" i="66"/>
  <c r="AQ39" i="66" s="1"/>
  <c r="AS38" i="66"/>
  <c r="AR38" i="66"/>
  <c r="AP38" i="66"/>
  <c r="AO38" i="66"/>
  <c r="AN38" i="66"/>
  <c r="AB38" i="66"/>
  <c r="V38" i="66"/>
  <c r="P38" i="66"/>
  <c r="M38" i="66"/>
  <c r="D38" i="66"/>
  <c r="AS37" i="66"/>
  <c r="AR37" i="66"/>
  <c r="AT37" i="66" s="1"/>
  <c r="AP37" i="66"/>
  <c r="AO37" i="66"/>
  <c r="AQ37" i="66" s="1"/>
  <c r="AS36" i="66"/>
  <c r="AR36" i="66"/>
  <c r="AP36" i="66"/>
  <c r="AO36" i="66"/>
  <c r="AN36" i="66"/>
  <c r="AB36" i="66"/>
  <c r="P36" i="66"/>
  <c r="M36" i="66"/>
  <c r="AS34" i="66"/>
  <c r="AR34" i="66"/>
  <c r="AP34" i="66"/>
  <c r="AO34" i="66"/>
  <c r="AK34" i="66"/>
  <c r="AB34" i="66"/>
  <c r="J34" i="66"/>
  <c r="AS33" i="66"/>
  <c r="AR33" i="66"/>
  <c r="AP33" i="66"/>
  <c r="AO33" i="66"/>
  <c r="AB33" i="66"/>
  <c r="J33" i="66"/>
  <c r="AA32" i="66"/>
  <c r="Z32" i="66"/>
  <c r="I32" i="66"/>
  <c r="H32" i="66"/>
  <c r="AS31" i="66"/>
  <c r="AR31" i="66"/>
  <c r="AT31" i="66" s="1"/>
  <c r="AP31" i="66"/>
  <c r="AO31" i="66"/>
  <c r="AQ31" i="66" s="1"/>
  <c r="AS30" i="66"/>
  <c r="AR30" i="66"/>
  <c r="AT30" i="66" s="1"/>
  <c r="AP30" i="66"/>
  <c r="AO30" i="66"/>
  <c r="AQ30" i="66" s="1"/>
  <c r="AS29" i="66"/>
  <c r="AR29" i="66"/>
  <c r="AP29" i="66"/>
  <c r="AO29" i="66"/>
  <c r="AB29" i="66"/>
  <c r="J29" i="66"/>
  <c r="AS28" i="66"/>
  <c r="AR28" i="66"/>
  <c r="AP28" i="66"/>
  <c r="AO28" i="66"/>
  <c r="AB28" i="66"/>
  <c r="J28" i="66"/>
  <c r="AS27" i="66"/>
  <c r="AR27" i="66"/>
  <c r="AP27" i="66"/>
  <c r="AO27" i="66"/>
  <c r="J27" i="66"/>
  <c r="AS26" i="66"/>
  <c r="AR26" i="66"/>
  <c r="AP26" i="66"/>
  <c r="AO26" i="66"/>
  <c r="AK26" i="66"/>
  <c r="AB26" i="66"/>
  <c r="J26" i="66"/>
  <c r="AS25" i="66"/>
  <c r="AR25" i="66"/>
  <c r="AP25" i="66"/>
  <c r="AO25" i="66"/>
  <c r="AB25" i="66"/>
  <c r="J25" i="66"/>
  <c r="AS24" i="66"/>
  <c r="AR24" i="66"/>
  <c r="AP24" i="66"/>
  <c r="AO24" i="66"/>
  <c r="AK24" i="66"/>
  <c r="AB24" i="66"/>
  <c r="J24" i="66"/>
  <c r="AS22" i="66"/>
  <c r="AR22" i="66"/>
  <c r="AP22" i="66"/>
  <c r="AO22" i="66"/>
  <c r="AN22" i="66"/>
  <c r="AK22" i="66"/>
  <c r="AB22" i="66"/>
  <c r="J22" i="66"/>
  <c r="AS21" i="66"/>
  <c r="AR21" i="66"/>
  <c r="AP21" i="66"/>
  <c r="AO21" i="66"/>
  <c r="AN21" i="66"/>
  <c r="AK21" i="66"/>
  <c r="AB21" i="66"/>
  <c r="J21" i="66"/>
  <c r="AA20" i="66"/>
  <c r="Z20" i="66"/>
  <c r="I20" i="66"/>
  <c r="H20" i="66"/>
  <c r="AS19" i="66"/>
  <c r="AR19" i="66"/>
  <c r="AT19" i="66" s="1"/>
  <c r="AP19" i="66"/>
  <c r="AO19" i="66"/>
  <c r="AQ19" i="66" s="1"/>
  <c r="AS18" i="66"/>
  <c r="AR18" i="66"/>
  <c r="AT18" i="66" s="1"/>
  <c r="AP18" i="66"/>
  <c r="AO18" i="66"/>
  <c r="AQ18" i="66" s="1"/>
  <c r="AS17" i="66"/>
  <c r="AR17" i="66"/>
  <c r="AP17" i="66"/>
  <c r="AO17" i="66"/>
  <c r="AN17" i="66"/>
  <c r="AK17" i="66"/>
  <c r="AB17" i="66"/>
  <c r="J17" i="66"/>
  <c r="AS16" i="66"/>
  <c r="AR16" i="66"/>
  <c r="AT16" i="66" s="1"/>
  <c r="AP16" i="66"/>
  <c r="AO16" i="66"/>
  <c r="AQ16" i="66" s="1"/>
  <c r="AS15" i="66"/>
  <c r="AR15" i="66"/>
  <c r="AT15" i="66" s="1"/>
  <c r="AP15" i="66"/>
  <c r="AO15" i="66"/>
  <c r="AQ15" i="66" s="1"/>
  <c r="AS14" i="66"/>
  <c r="AR14" i="66"/>
  <c r="AP14" i="66"/>
  <c r="AO14" i="66"/>
  <c r="AN14" i="66"/>
  <c r="AK14" i="66"/>
  <c r="AB14" i="66"/>
  <c r="J14" i="66"/>
  <c r="AS13" i="66"/>
  <c r="AR13" i="66"/>
  <c r="AP13" i="66"/>
  <c r="AO13" i="66"/>
  <c r="AN13" i="66"/>
  <c r="AB13" i="66"/>
  <c r="J13" i="66"/>
  <c r="AS12" i="66"/>
  <c r="AR12" i="66"/>
  <c r="AP12" i="66"/>
  <c r="AO12" i="66"/>
  <c r="AN12" i="66"/>
  <c r="AK12" i="66"/>
  <c r="AB12" i="66"/>
  <c r="J12" i="66"/>
  <c r="AS9" i="66"/>
  <c r="AR9" i="66"/>
  <c r="AP9" i="66"/>
  <c r="AO9" i="66"/>
  <c r="AM9" i="66"/>
  <c r="AL9" i="66"/>
  <c r="AJ9" i="66"/>
  <c r="AI9" i="66"/>
  <c r="AG9" i="66"/>
  <c r="AF9" i="66"/>
  <c r="AD9" i="66"/>
  <c r="AC9" i="66"/>
  <c r="AA9" i="66"/>
  <c r="Z9" i="66"/>
  <c r="F9" i="66"/>
  <c r="E9" i="66"/>
  <c r="X9" i="66"/>
  <c r="W9" i="66"/>
  <c r="U9" i="66"/>
  <c r="T9" i="66"/>
  <c r="R9" i="66"/>
  <c r="Q9" i="66"/>
  <c r="O9" i="66"/>
  <c r="N9" i="66"/>
  <c r="L9" i="66"/>
  <c r="K9" i="66"/>
  <c r="I9" i="66"/>
  <c r="H9" i="66"/>
  <c r="AA56" i="65"/>
  <c r="AA57" i="65" s="1"/>
  <c r="Z56" i="65"/>
  <c r="Z57" i="65" s="1"/>
  <c r="Q56" i="65"/>
  <c r="Q57" i="65" s="1"/>
  <c r="O56" i="65"/>
  <c r="AP56" i="65" s="1"/>
  <c r="N56" i="65"/>
  <c r="N57" i="65" s="1"/>
  <c r="H56" i="65"/>
  <c r="E56" i="65"/>
  <c r="B56" i="65"/>
  <c r="B57" i="65" s="1"/>
  <c r="AP55" i="65"/>
  <c r="AO55" i="65"/>
  <c r="AP54" i="65"/>
  <c r="AO54" i="65"/>
  <c r="AP53" i="65"/>
  <c r="AO53" i="65"/>
  <c r="Y45" i="65"/>
  <c r="AP44" i="65"/>
  <c r="AO44" i="65"/>
  <c r="AK44" i="65"/>
  <c r="AB44" i="65"/>
  <c r="Y44" i="65"/>
  <c r="S44" i="65"/>
  <c r="J44" i="65"/>
  <c r="G44" i="65"/>
  <c r="Y43" i="65"/>
  <c r="AP42" i="65"/>
  <c r="AO42" i="65"/>
  <c r="AN42" i="65"/>
  <c r="AK42" i="65"/>
  <c r="AE42" i="65"/>
  <c r="AB42" i="65"/>
  <c r="V42" i="65"/>
  <c r="S42" i="65"/>
  <c r="P42" i="65"/>
  <c r="M42" i="65"/>
  <c r="J42" i="65"/>
  <c r="D42" i="65"/>
  <c r="Y41" i="65"/>
  <c r="AN40" i="65"/>
  <c r="AK40" i="65"/>
  <c r="AG40" i="65"/>
  <c r="AF40" i="65"/>
  <c r="AD40" i="65"/>
  <c r="AC40" i="65"/>
  <c r="AA40" i="65"/>
  <c r="Z40" i="65"/>
  <c r="AB40" i="65" s="1"/>
  <c r="Y40" i="65"/>
  <c r="U40" i="65"/>
  <c r="V40" i="65" s="1"/>
  <c r="T40" i="65"/>
  <c r="R40" i="65"/>
  <c r="Q40" i="65"/>
  <c r="O40" i="65"/>
  <c r="N40" i="65"/>
  <c r="L40" i="65"/>
  <c r="K40" i="65"/>
  <c r="I40" i="65"/>
  <c r="H40" i="65"/>
  <c r="E40" i="65"/>
  <c r="G40" i="65" s="1"/>
  <c r="C40" i="65"/>
  <c r="B40" i="65"/>
  <c r="D40" i="65" s="1"/>
  <c r="AP39" i="65"/>
  <c r="AO39" i="65"/>
  <c r="AN39" i="65"/>
  <c r="AK39" i="65"/>
  <c r="AE39" i="65"/>
  <c r="AB39" i="65"/>
  <c r="Y39" i="65"/>
  <c r="S39" i="65"/>
  <c r="P39" i="65"/>
  <c r="M39" i="65"/>
  <c r="J39" i="65"/>
  <c r="G39" i="65"/>
  <c r="AP38" i="65"/>
  <c r="AO38" i="65"/>
  <c r="AN38" i="65"/>
  <c r="AK38" i="65"/>
  <c r="AE38" i="65"/>
  <c r="AB38" i="65"/>
  <c r="Y38" i="65"/>
  <c r="S38" i="65"/>
  <c r="P38" i="65"/>
  <c r="M38" i="65"/>
  <c r="J38" i="65"/>
  <c r="G38" i="65"/>
  <c r="AP37" i="65"/>
  <c r="AO37" i="65"/>
  <c r="AN37" i="65"/>
  <c r="AK37" i="65"/>
  <c r="AE37" i="65"/>
  <c r="AB37" i="65"/>
  <c r="Y37" i="65"/>
  <c r="V37" i="65"/>
  <c r="S37" i="65"/>
  <c r="P37" i="65"/>
  <c r="M37" i="65"/>
  <c r="J37" i="65"/>
  <c r="G37" i="65"/>
  <c r="D37" i="65"/>
  <c r="Y34" i="65"/>
  <c r="AP33" i="65"/>
  <c r="AN33" i="65"/>
  <c r="AK33" i="65"/>
  <c r="AB33" i="65"/>
  <c r="Y33" i="65"/>
  <c r="H33" i="65"/>
  <c r="J33" i="65" s="1"/>
  <c r="G33" i="65"/>
  <c r="AP32" i="65"/>
  <c r="AO32" i="65"/>
  <c r="AQ32" i="65" s="1"/>
  <c r="AN32" i="65"/>
  <c r="AK32" i="65"/>
  <c r="AH32" i="65"/>
  <c r="AE32" i="65"/>
  <c r="AB32" i="65"/>
  <c r="Y32" i="65"/>
  <c r="V32" i="65"/>
  <c r="S32" i="65"/>
  <c r="P32" i="65"/>
  <c r="M32" i="65"/>
  <c r="J32" i="65"/>
  <c r="G32" i="65"/>
  <c r="D32" i="65"/>
  <c r="AP31" i="65"/>
  <c r="AN31" i="65"/>
  <c r="AK31" i="65"/>
  <c r="AC31" i="65"/>
  <c r="AE31" i="65" s="1"/>
  <c r="AB31" i="65"/>
  <c r="Y31" i="65"/>
  <c r="S31" i="65"/>
  <c r="J31" i="65"/>
  <c r="D31" i="65"/>
  <c r="AP30" i="65"/>
  <c r="AO30" i="65"/>
  <c r="AN30" i="65"/>
  <c r="AK30" i="65"/>
  <c r="AH30" i="65"/>
  <c r="AB30" i="65"/>
  <c r="Y30" i="65"/>
  <c r="S30" i="65"/>
  <c r="J30" i="65"/>
  <c r="G30" i="65"/>
  <c r="D30" i="65"/>
  <c r="AN29" i="65"/>
  <c r="AK29" i="65"/>
  <c r="AG29" i="65"/>
  <c r="AF29" i="65"/>
  <c r="AD29" i="65"/>
  <c r="AA29" i="65"/>
  <c r="Z29" i="65"/>
  <c r="Y29" i="65"/>
  <c r="U29" i="65"/>
  <c r="T29" i="65"/>
  <c r="R29" i="65"/>
  <c r="Q29" i="65"/>
  <c r="O29" i="65"/>
  <c r="N29" i="65"/>
  <c r="L29" i="65"/>
  <c r="K29" i="65"/>
  <c r="I29" i="65"/>
  <c r="J29" i="65" s="1"/>
  <c r="H29" i="65"/>
  <c r="E29" i="65"/>
  <c r="AP28" i="65"/>
  <c r="AO28" i="65"/>
  <c r="AN28" i="65"/>
  <c r="AK28" i="65"/>
  <c r="AB28" i="65"/>
  <c r="Y28" i="65"/>
  <c r="S28" i="65"/>
  <c r="J28" i="65"/>
  <c r="G28" i="65"/>
  <c r="AP27" i="65"/>
  <c r="AO27" i="65"/>
  <c r="AQ27" i="65" s="1"/>
  <c r="AN27" i="65"/>
  <c r="AK27" i="65"/>
  <c r="AB27" i="65"/>
  <c r="P27" i="65"/>
  <c r="M27" i="65"/>
  <c r="J27" i="65"/>
  <c r="D27" i="65"/>
  <c r="AP26" i="65"/>
  <c r="AO26" i="65"/>
  <c r="AN26" i="65"/>
  <c r="AK26" i="65"/>
  <c r="AC26" i="65"/>
  <c r="AE26" i="65" s="1"/>
  <c r="AB26" i="65"/>
  <c r="Y26" i="65"/>
  <c r="J26" i="65"/>
  <c r="G26" i="65"/>
  <c r="AP25" i="65"/>
  <c r="AO25" i="65"/>
  <c r="AN25" i="65"/>
  <c r="AK25" i="65"/>
  <c r="AE25" i="65"/>
  <c r="AB25" i="65"/>
  <c r="Y25" i="65"/>
  <c r="S25" i="65"/>
  <c r="J25" i="65"/>
  <c r="G25" i="65"/>
  <c r="D25" i="65"/>
  <c r="AP24" i="65"/>
  <c r="AO24" i="65"/>
  <c r="AN24" i="65"/>
  <c r="AK24" i="65"/>
  <c r="AE24" i="65"/>
  <c r="AB24" i="65"/>
  <c r="Y24" i="65"/>
  <c r="S24" i="65"/>
  <c r="P24" i="65"/>
  <c r="M24" i="65"/>
  <c r="J24" i="65"/>
  <c r="G24" i="65"/>
  <c r="AN23" i="65"/>
  <c r="AK23" i="65"/>
  <c r="AE23" i="65"/>
  <c r="AB23" i="65"/>
  <c r="Y23" i="65"/>
  <c r="S23" i="65"/>
  <c r="P23" i="65"/>
  <c r="M23" i="65"/>
  <c r="J23" i="65"/>
  <c r="G23" i="65"/>
  <c r="C23" i="65"/>
  <c r="AP23" i="65" s="1"/>
  <c r="B23" i="65"/>
  <c r="B29" i="65" s="1"/>
  <c r="AG21" i="65"/>
  <c r="AF21" i="65"/>
  <c r="AD21" i="65"/>
  <c r="AC21" i="65"/>
  <c r="AA21" i="65"/>
  <c r="Z21" i="65"/>
  <c r="Y21" i="65"/>
  <c r="U21" i="65"/>
  <c r="T21" i="65"/>
  <c r="R21" i="65"/>
  <c r="Q21" i="65"/>
  <c r="O21" i="65"/>
  <c r="N21" i="65"/>
  <c r="L21" i="65"/>
  <c r="K21" i="65"/>
  <c r="I21" i="65"/>
  <c r="H21" i="65"/>
  <c r="E21" i="65"/>
  <c r="AS20" i="65"/>
  <c r="AR20" i="65"/>
  <c r="AP20" i="65"/>
  <c r="AO20" i="65"/>
  <c r="AN20" i="65"/>
  <c r="AK20" i="65"/>
  <c r="AH20" i="65"/>
  <c r="AB20" i="65"/>
  <c r="Y20" i="65"/>
  <c r="S20" i="65"/>
  <c r="P20" i="65"/>
  <c r="M20" i="65"/>
  <c r="J20" i="65"/>
  <c r="G20" i="65"/>
  <c r="D20" i="65"/>
  <c r="AN19" i="65"/>
  <c r="AK19" i="65"/>
  <c r="AH19" i="65"/>
  <c r="AE19" i="65"/>
  <c r="AB19" i="65"/>
  <c r="Y19" i="65"/>
  <c r="V19" i="65"/>
  <c r="S19" i="65"/>
  <c r="P19" i="65"/>
  <c r="M19" i="65"/>
  <c r="J19" i="65"/>
  <c r="G19" i="65"/>
  <c r="C19" i="65"/>
  <c r="AP19" i="65" s="1"/>
  <c r="B19" i="65"/>
  <c r="AO19" i="65" s="1"/>
  <c r="AS17" i="65"/>
  <c r="AR17" i="65"/>
  <c r="AP17" i="65"/>
  <c r="AO17" i="65"/>
  <c r="AN17" i="65"/>
  <c r="AK17" i="65"/>
  <c r="AE17" i="65"/>
  <c r="AB17" i="65"/>
  <c r="Y17" i="65"/>
  <c r="P17" i="65"/>
  <c r="M17" i="65"/>
  <c r="J17" i="65"/>
  <c r="G17" i="65"/>
  <c r="AS16" i="65"/>
  <c r="AR16" i="65"/>
  <c r="AP16" i="65"/>
  <c r="AO16" i="65"/>
  <c r="AN16" i="65"/>
  <c r="AK16" i="65"/>
  <c r="AH16" i="65"/>
  <c r="AB16" i="65"/>
  <c r="Y16" i="65"/>
  <c r="S16" i="65"/>
  <c r="P16" i="65"/>
  <c r="M16" i="65"/>
  <c r="J16" i="65"/>
  <c r="G16" i="65"/>
  <c r="D16" i="65"/>
  <c r="AS15" i="65"/>
  <c r="AR15" i="65"/>
  <c r="AP15" i="65"/>
  <c r="AO15" i="65"/>
  <c r="AN15" i="65"/>
  <c r="AK15" i="65"/>
  <c r="AE15" i="65"/>
  <c r="AB15" i="65"/>
  <c r="Y15" i="65"/>
  <c r="S15" i="65"/>
  <c r="P15" i="65"/>
  <c r="M15" i="65"/>
  <c r="J15" i="65"/>
  <c r="G15" i="65"/>
  <c r="D15" i="65"/>
  <c r="AN14" i="65"/>
  <c r="AG14" i="65"/>
  <c r="AF14" i="65"/>
  <c r="AD14" i="65"/>
  <c r="AC14" i="65"/>
  <c r="AA14" i="65"/>
  <c r="Z14" i="65"/>
  <c r="Y14" i="65"/>
  <c r="U14" i="65"/>
  <c r="T14" i="65"/>
  <c r="R14" i="65"/>
  <c r="Q14" i="65"/>
  <c r="P14" i="65"/>
  <c r="O14" i="65"/>
  <c r="N14" i="65"/>
  <c r="L14" i="65"/>
  <c r="K14" i="65"/>
  <c r="I14" i="65"/>
  <c r="H14" i="65"/>
  <c r="E14" i="65"/>
  <c r="G14" i="65" s="1"/>
  <c r="AS13" i="65"/>
  <c r="AR13" i="65"/>
  <c r="AP13" i="65"/>
  <c r="AO13" i="65"/>
  <c r="AN13" i="65"/>
  <c r="AK13" i="65"/>
  <c r="AH13" i="65"/>
  <c r="AB13" i="65"/>
  <c r="Y13" i="65"/>
  <c r="S13" i="65"/>
  <c r="P13" i="65"/>
  <c r="M13" i="65"/>
  <c r="J13" i="65"/>
  <c r="G13" i="65"/>
  <c r="D13" i="65"/>
  <c r="AS12" i="65"/>
  <c r="AR12" i="65"/>
  <c r="AP12" i="65"/>
  <c r="AO12" i="65"/>
  <c r="AN12" i="65"/>
  <c r="AK12" i="65"/>
  <c r="AB12" i="65"/>
  <c r="Y12" i="65"/>
  <c r="S12" i="65"/>
  <c r="P12" i="65"/>
  <c r="M12" i="65"/>
  <c r="J12" i="65"/>
  <c r="G12" i="65"/>
  <c r="D12" i="65"/>
  <c r="AN11" i="65"/>
  <c r="AK11" i="65"/>
  <c r="AH11" i="65"/>
  <c r="AE11" i="65"/>
  <c r="AB11" i="65"/>
  <c r="Y11" i="65"/>
  <c r="V11" i="65"/>
  <c r="S11" i="65"/>
  <c r="P11" i="65"/>
  <c r="M11" i="65"/>
  <c r="J11" i="65"/>
  <c r="G11" i="65"/>
  <c r="C11" i="65"/>
  <c r="C14" i="65" s="1"/>
  <c r="B11" i="65"/>
  <c r="AR11" i="65" s="1"/>
  <c r="AS8" i="65"/>
  <c r="AR8" i="65"/>
  <c r="AP8" i="65"/>
  <c r="AO8" i="65"/>
  <c r="AM8" i="65"/>
  <c r="AL8" i="65"/>
  <c r="AJ8" i="65"/>
  <c r="AI8" i="65"/>
  <c r="AG8" i="65"/>
  <c r="AF8" i="65"/>
  <c r="AD8" i="65"/>
  <c r="AC8" i="65"/>
  <c r="AA8" i="65"/>
  <c r="Z8" i="65"/>
  <c r="X8" i="65"/>
  <c r="W8" i="65"/>
  <c r="U8" i="65"/>
  <c r="T8" i="65"/>
  <c r="R8" i="65"/>
  <c r="Q8" i="65"/>
  <c r="O8" i="65"/>
  <c r="N8" i="65"/>
  <c r="L8" i="65"/>
  <c r="K8" i="65"/>
  <c r="I8" i="65"/>
  <c r="H8" i="65"/>
  <c r="F8" i="65"/>
  <c r="E8" i="65"/>
  <c r="K8" i="74"/>
  <c r="K37" i="37"/>
  <c r="J37" i="37"/>
  <c r="K36" i="37"/>
  <c r="J36" i="37"/>
  <c r="K9" i="37"/>
  <c r="K8" i="37"/>
  <c r="J8" i="37"/>
  <c r="K9" i="33"/>
  <c r="J9" i="33"/>
  <c r="K8" i="33"/>
  <c r="J8" i="33"/>
  <c r="H24" i="35"/>
  <c r="H9" i="35"/>
  <c r="K9" i="35"/>
  <c r="H8" i="35"/>
  <c r="K8" i="35"/>
  <c r="J8" i="35"/>
  <c r="L8" i="35" s="1"/>
  <c r="K9" i="72"/>
  <c r="J9" i="72"/>
  <c r="K9" i="29"/>
  <c r="K8" i="29"/>
  <c r="J8" i="29"/>
  <c r="K9" i="51"/>
  <c r="K8" i="51"/>
  <c r="J8" i="51"/>
  <c r="F137" i="4"/>
  <c r="E137" i="4"/>
  <c r="C137" i="4"/>
  <c r="B137" i="4"/>
  <c r="F136" i="4"/>
  <c r="C136" i="4"/>
  <c r="B136" i="4"/>
  <c r="F135" i="4"/>
  <c r="E135" i="4"/>
  <c r="C135" i="4"/>
  <c r="B135" i="4"/>
  <c r="F134" i="4"/>
  <c r="C134" i="4"/>
  <c r="B134" i="4"/>
  <c r="F126" i="4"/>
  <c r="E126" i="4"/>
  <c r="C126" i="4"/>
  <c r="B126" i="4"/>
  <c r="F125" i="4"/>
  <c r="E125" i="4"/>
  <c r="C125" i="4"/>
  <c r="B125" i="4"/>
  <c r="F124" i="4"/>
  <c r="E124" i="4"/>
  <c r="C124" i="4"/>
  <c r="B124" i="4"/>
  <c r="F123" i="4"/>
  <c r="E123" i="4"/>
  <c r="C123" i="4"/>
  <c r="B123" i="4"/>
  <c r="F122" i="4"/>
  <c r="E122" i="4"/>
  <c r="C122" i="4"/>
  <c r="B122" i="4"/>
  <c r="F121" i="4"/>
  <c r="E121" i="4"/>
  <c r="C121" i="4"/>
  <c r="B121" i="4"/>
  <c r="F120" i="4"/>
  <c r="E120" i="4"/>
  <c r="C120" i="4"/>
  <c r="B120" i="4"/>
  <c r="F118" i="4"/>
  <c r="E118" i="4"/>
  <c r="C118" i="4"/>
  <c r="F117" i="4"/>
  <c r="E117" i="4"/>
  <c r="C117" i="4"/>
  <c r="B117" i="4"/>
  <c r="F116" i="4"/>
  <c r="E116" i="4"/>
  <c r="C116" i="4"/>
  <c r="B116" i="4"/>
  <c r="F115" i="4"/>
  <c r="E115" i="4"/>
  <c r="C115" i="4"/>
  <c r="B115" i="4"/>
  <c r="F114" i="4"/>
  <c r="E114" i="4"/>
  <c r="C114" i="4"/>
  <c r="B114" i="4"/>
  <c r="F113" i="4"/>
  <c r="E113" i="4"/>
  <c r="C113" i="4"/>
  <c r="B113" i="4"/>
  <c r="F112" i="4"/>
  <c r="E112" i="4"/>
  <c r="C112" i="4"/>
  <c r="B112" i="4"/>
  <c r="F110" i="4"/>
  <c r="E110" i="4"/>
  <c r="C110" i="4"/>
  <c r="B110" i="4"/>
  <c r="F109" i="4"/>
  <c r="E109" i="4"/>
  <c r="C109" i="4"/>
  <c r="B109" i="4"/>
  <c r="F108" i="4"/>
  <c r="E108" i="4"/>
  <c r="C108" i="4"/>
  <c r="B108" i="4"/>
  <c r="F107" i="4"/>
  <c r="E107" i="4"/>
  <c r="C107" i="4"/>
  <c r="B107" i="4"/>
  <c r="E106" i="4"/>
  <c r="F105" i="4"/>
  <c r="E105" i="4"/>
  <c r="C104" i="4"/>
  <c r="B104" i="4"/>
  <c r="F99" i="4"/>
  <c r="E99" i="4"/>
  <c r="C99" i="4"/>
  <c r="B99" i="4"/>
  <c r="F97" i="4"/>
  <c r="E97" i="4"/>
  <c r="C97" i="4"/>
  <c r="B97" i="4"/>
  <c r="F96" i="4"/>
  <c r="E96" i="4"/>
  <c r="C96" i="4"/>
  <c r="B96" i="4"/>
  <c r="F94" i="4"/>
  <c r="E94" i="4"/>
  <c r="C93" i="4"/>
  <c r="B93" i="4"/>
  <c r="E91" i="4"/>
  <c r="C90" i="4"/>
  <c r="B90" i="4"/>
  <c r="F88" i="4"/>
  <c r="E88" i="4"/>
  <c r="C88" i="4"/>
  <c r="B88" i="4"/>
  <c r="F86" i="4"/>
  <c r="E86" i="4"/>
  <c r="C86" i="4"/>
  <c r="B86" i="4"/>
  <c r="F84" i="4"/>
  <c r="E84" i="4"/>
  <c r="C83" i="4"/>
  <c r="B83" i="4"/>
  <c r="E81" i="4"/>
  <c r="C80" i="4"/>
  <c r="F78" i="4"/>
  <c r="E78" i="4"/>
  <c r="C78" i="4"/>
  <c r="B78" i="4"/>
  <c r="F76" i="4"/>
  <c r="E76" i="4"/>
  <c r="C76" i="4"/>
  <c r="F75" i="4"/>
  <c r="E75" i="4"/>
  <c r="C75" i="4"/>
  <c r="B75" i="4"/>
  <c r="E73" i="4"/>
  <c r="C72" i="4"/>
  <c r="B72" i="4"/>
  <c r="F70" i="4"/>
  <c r="E70" i="4"/>
  <c r="C69" i="4"/>
  <c r="B69" i="4"/>
  <c r="F67" i="4"/>
  <c r="E67" i="4"/>
  <c r="C67" i="4"/>
  <c r="B67" i="4"/>
  <c r="C58" i="4"/>
  <c r="B58" i="4"/>
  <c r="C57" i="4"/>
  <c r="B57" i="4"/>
  <c r="C55" i="4"/>
  <c r="C54" i="4"/>
  <c r="B54" i="4"/>
  <c r="C52" i="4"/>
  <c r="B52" i="4"/>
  <c r="C51" i="4"/>
  <c r="B51" i="4"/>
  <c r="C50" i="4"/>
  <c r="B50" i="4"/>
  <c r="C48" i="4"/>
  <c r="B48" i="4"/>
  <c r="F35" i="4"/>
  <c r="E35" i="4"/>
  <c r="C35" i="4"/>
  <c r="F34" i="4"/>
  <c r="E34" i="4"/>
  <c r="C34" i="4"/>
  <c r="B34" i="4"/>
  <c r="F33" i="4"/>
  <c r="E33" i="4"/>
  <c r="C33" i="4"/>
  <c r="B33" i="4"/>
  <c r="F32" i="4"/>
  <c r="E32" i="4"/>
  <c r="C32" i="4"/>
  <c r="B32" i="4"/>
  <c r="F31" i="4"/>
  <c r="E31" i="4"/>
  <c r="C31" i="4"/>
  <c r="F30" i="4"/>
  <c r="E30" i="4"/>
  <c r="C30" i="4"/>
  <c r="B30" i="4"/>
  <c r="F29" i="4"/>
  <c r="E29" i="4"/>
  <c r="C29" i="4"/>
  <c r="B29" i="4"/>
  <c r="F28" i="4"/>
  <c r="E28" i="4"/>
  <c r="C28" i="4"/>
  <c r="B28" i="4"/>
  <c r="F27" i="4"/>
  <c r="E27" i="4"/>
  <c r="C27" i="4"/>
  <c r="F26" i="4"/>
  <c r="E26" i="4"/>
  <c r="C26" i="4"/>
  <c r="B26" i="4"/>
  <c r="F25" i="4"/>
  <c r="E25" i="4"/>
  <c r="C25" i="4"/>
  <c r="B25" i="4"/>
  <c r="F24" i="4"/>
  <c r="E24" i="4"/>
  <c r="C24" i="4"/>
  <c r="B24" i="4"/>
  <c r="F23" i="4"/>
  <c r="E23" i="4"/>
  <c r="C23" i="4"/>
  <c r="F22" i="4"/>
  <c r="E22" i="4"/>
  <c r="C22" i="4"/>
  <c r="B22" i="4"/>
  <c r="F12" i="4"/>
  <c r="E12" i="4"/>
  <c r="C12" i="4"/>
  <c r="B12" i="4"/>
  <c r="F11" i="4"/>
  <c r="E11" i="4"/>
  <c r="C11" i="4"/>
  <c r="B11" i="4"/>
  <c r="F10" i="4"/>
  <c r="E10" i="4"/>
  <c r="C10" i="4"/>
  <c r="B10" i="4"/>
  <c r="B9" i="4"/>
  <c r="F7" i="4"/>
  <c r="E7" i="4"/>
  <c r="C7" i="4"/>
  <c r="B7" i="4"/>
  <c r="K9" i="41"/>
  <c r="K8" i="41"/>
  <c r="K9" i="25"/>
  <c r="K8" i="25"/>
  <c r="K9" i="24"/>
  <c r="K8" i="24"/>
  <c r="J8" i="24"/>
  <c r="K9" i="22"/>
  <c r="K8" i="22"/>
  <c r="K9" i="20"/>
  <c r="J9" i="20"/>
  <c r="K8" i="20"/>
  <c r="J8" i="20"/>
  <c r="K9" i="16"/>
  <c r="J9" i="16"/>
  <c r="K8" i="16"/>
  <c r="J8" i="16"/>
  <c r="K9" i="19"/>
  <c r="J9" i="19"/>
  <c r="K8" i="19"/>
  <c r="J8" i="19"/>
  <c r="K39" i="13"/>
  <c r="K37" i="13"/>
  <c r="J37" i="13"/>
  <c r="K36" i="13"/>
  <c r="K9" i="13"/>
  <c r="K8" i="13"/>
  <c r="J9" i="18"/>
  <c r="K8" i="18"/>
  <c r="J8" i="18"/>
  <c r="G34" i="10"/>
  <c r="G56" i="10" s="1"/>
  <c r="G26" i="10"/>
  <c r="F26" i="10"/>
  <c r="G16" i="10"/>
  <c r="C30" i="58"/>
  <c r="C29" i="58"/>
  <c r="C28" i="58"/>
  <c r="C27" i="58"/>
  <c r="B27" i="58"/>
  <c r="D27" i="58" s="1"/>
  <c r="C26" i="58"/>
  <c r="B26" i="58"/>
  <c r="B25" i="58"/>
  <c r="B20" i="58"/>
  <c r="C19" i="58"/>
  <c r="B19" i="58"/>
  <c r="C17" i="58"/>
  <c r="B17" i="58"/>
  <c r="B12" i="58"/>
  <c r="B11" i="58"/>
  <c r="C10" i="58"/>
  <c r="G60" i="10"/>
  <c r="F60" i="10"/>
  <c r="K28" i="10"/>
  <c r="J28" i="10"/>
  <c r="H75" i="9"/>
  <c r="G75" i="9"/>
  <c r="I75" i="9" s="1"/>
  <c r="I32" i="9"/>
  <c r="N136" i="8"/>
  <c r="M136" i="8"/>
  <c r="N112" i="8"/>
  <c r="M112" i="8"/>
  <c r="N86" i="8"/>
  <c r="M86" i="8"/>
  <c r="N78" i="8"/>
  <c r="M78" i="8"/>
  <c r="N56" i="8"/>
  <c r="M56" i="8"/>
  <c r="N37" i="8"/>
  <c r="M37" i="8"/>
  <c r="N22" i="9"/>
  <c r="M76" i="9"/>
  <c r="M33" i="9"/>
  <c r="M23" i="9"/>
  <c r="O13" i="9"/>
  <c r="L44" i="9"/>
  <c r="N11" i="9"/>
  <c r="O32" i="9"/>
  <c r="L24" i="9"/>
  <c r="M42" i="9"/>
  <c r="L29" i="9"/>
  <c r="N23" i="9"/>
  <c r="L31" i="9"/>
  <c r="N28" i="9"/>
  <c r="M20" i="9"/>
  <c r="N41" i="9"/>
  <c r="O29" i="9"/>
  <c r="N37" i="9"/>
  <c r="M12" i="9"/>
  <c r="N42" i="9"/>
  <c r="N33" i="9"/>
  <c r="N21" i="9"/>
  <c r="O42" i="9"/>
  <c r="O23" i="9"/>
  <c r="M22" i="9"/>
  <c r="M19" i="9"/>
  <c r="L27" i="9"/>
  <c r="N31" i="9"/>
  <c r="O18" i="9"/>
  <c r="L26" i="9"/>
  <c r="M28" i="9"/>
  <c r="M31" i="9"/>
  <c r="O26" i="9"/>
  <c r="L20" i="9"/>
  <c r="M37" i="9"/>
  <c r="L43" i="9"/>
  <c r="O76" i="9"/>
  <c r="M18" i="9"/>
  <c r="N40" i="9"/>
  <c r="L39" i="9"/>
  <c r="O38" i="9"/>
  <c r="L21" i="9"/>
  <c r="N29" i="9"/>
  <c r="L32" i="9"/>
  <c r="O30" i="9"/>
  <c r="O17" i="9"/>
  <c r="O27" i="9"/>
  <c r="O15" i="9"/>
  <c r="M41" i="9"/>
  <c r="N43" i="9"/>
  <c r="O41" i="9"/>
  <c r="M46" i="9"/>
  <c r="O33" i="9"/>
  <c r="O45" i="9"/>
  <c r="L28" i="9"/>
  <c r="N15" i="9"/>
  <c r="L19" i="9"/>
  <c r="L22" i="9"/>
  <c r="O12" i="9"/>
  <c r="L45" i="9"/>
  <c r="O21" i="9"/>
  <c r="M44" i="9"/>
  <c r="N13" i="9"/>
  <c r="N19" i="9"/>
  <c r="O11" i="9"/>
  <c r="O39" i="9"/>
  <c r="L42" i="9"/>
  <c r="M26" i="9"/>
  <c r="N26" i="9"/>
  <c r="N25" i="9"/>
  <c r="N27" i="9"/>
  <c r="M13" i="9"/>
  <c r="M11" i="9"/>
  <c r="O37" i="9"/>
  <c r="O22" i="9"/>
  <c r="M24" i="9"/>
  <c r="N20" i="9"/>
  <c r="M21" i="9"/>
  <c r="L33" i="9"/>
  <c r="M39" i="9"/>
  <c r="L41" i="9"/>
  <c r="M30" i="9"/>
  <c r="L18" i="9"/>
  <c r="M29" i="9"/>
  <c r="N45" i="9"/>
  <c r="M38" i="9"/>
  <c r="O19" i="9"/>
  <c r="M40" i="9"/>
  <c r="L30" i="9"/>
  <c r="O20" i="9"/>
  <c r="L40" i="9"/>
  <c r="O10" i="9"/>
  <c r="L76" i="9"/>
  <c r="L11" i="9"/>
  <c r="L25" i="9"/>
  <c r="N39" i="9"/>
  <c r="M15" i="9"/>
  <c r="O25" i="9"/>
  <c r="L13" i="9"/>
  <c r="O24" i="9"/>
  <c r="O43" i="9"/>
  <c r="L38" i="9"/>
  <c r="N10" i="9"/>
  <c r="N32" i="9"/>
  <c r="M17" i="9"/>
  <c r="M10" i="9"/>
  <c r="L10" i="9"/>
  <c r="L17" i="9"/>
  <c r="M32" i="9"/>
  <c r="L15" i="9"/>
  <c r="L23" i="9"/>
  <c r="M45" i="9"/>
  <c r="N17" i="9"/>
  <c r="L37" i="9"/>
  <c r="M27" i="9"/>
  <c r="N46" i="9"/>
  <c r="M43" i="9"/>
  <c r="O31" i="9"/>
  <c r="N76" i="9"/>
  <c r="O44" i="9"/>
  <c r="N44" i="9"/>
  <c r="L12" i="9"/>
  <c r="O28" i="9"/>
  <c r="O40" i="9"/>
  <c r="N38" i="9"/>
  <c r="N24" i="9"/>
  <c r="N30" i="9"/>
  <c r="O46" i="9"/>
  <c r="L46" i="9"/>
  <c r="N18" i="9"/>
  <c r="N12" i="9"/>
  <c r="M25" i="9"/>
  <c r="S39" i="62" l="1"/>
  <c r="AT58" i="62"/>
  <c r="B35" i="69"/>
  <c r="C21" i="58"/>
  <c r="O27" i="62"/>
  <c r="O29" i="62" s="1"/>
  <c r="P35" i="62"/>
  <c r="I27" i="62"/>
  <c r="I29" i="62" s="1"/>
  <c r="AT82" i="67"/>
  <c r="J15" i="67"/>
  <c r="J38" i="68"/>
  <c r="J20" i="66"/>
  <c r="I34" i="65"/>
  <c r="AO31" i="65"/>
  <c r="AQ31" i="65" s="1"/>
  <c r="AR19" i="65"/>
  <c r="AQ38" i="65"/>
  <c r="O57" i="65"/>
  <c r="E134" i="4"/>
  <c r="E136" i="4"/>
  <c r="F92" i="4"/>
  <c r="E85" i="4"/>
  <c r="F71" i="4"/>
  <c r="B76" i="4"/>
  <c r="F73" i="4"/>
  <c r="E74" i="4"/>
  <c r="F74" i="4"/>
  <c r="F81" i="4"/>
  <c r="F85" i="4"/>
  <c r="E82" i="4"/>
  <c r="F82" i="4"/>
  <c r="E95" i="4"/>
  <c r="F91" i="4"/>
  <c r="F95" i="4"/>
  <c r="F106" i="4"/>
  <c r="E71" i="4"/>
  <c r="B80" i="4"/>
  <c r="E92" i="4"/>
  <c r="B118" i="4"/>
  <c r="B55" i="4"/>
  <c r="C38" i="4"/>
  <c r="B39" i="4"/>
  <c r="C39" i="4"/>
  <c r="B36" i="4"/>
  <c r="C36" i="4"/>
  <c r="B37" i="4"/>
  <c r="C37" i="4"/>
  <c r="B23" i="4"/>
  <c r="B27" i="4"/>
  <c r="B31" i="4"/>
  <c r="B35" i="4"/>
  <c r="B38" i="4"/>
  <c r="B8" i="4"/>
  <c r="C8" i="4"/>
  <c r="C9" i="4"/>
  <c r="F16" i="10"/>
  <c r="D48" i="77"/>
  <c r="D54" i="77"/>
  <c r="D57" i="21"/>
  <c r="V21" i="65"/>
  <c r="J79" i="62"/>
  <c r="AF60" i="62"/>
  <c r="AH54" i="62"/>
  <c r="S54" i="62"/>
  <c r="M40" i="65"/>
  <c r="AO56" i="65"/>
  <c r="AF46" i="68"/>
  <c r="T91" i="62"/>
  <c r="AB48" i="69"/>
  <c r="P50" i="69"/>
  <c r="AQ28" i="65"/>
  <c r="AQ39" i="65"/>
  <c r="AB82" i="66"/>
  <c r="AB39" i="62"/>
  <c r="C18" i="58"/>
  <c r="C34" i="58" s="1"/>
  <c r="G54" i="62"/>
  <c r="B29" i="58"/>
  <c r="AP40" i="65"/>
  <c r="S16" i="62"/>
  <c r="E27" i="62"/>
  <c r="G27" i="62" s="1"/>
  <c r="M35" i="62"/>
  <c r="AE40" i="65"/>
  <c r="H27" i="62"/>
  <c r="D28" i="62"/>
  <c r="AB85" i="62"/>
  <c r="AE21" i="65"/>
  <c r="J40" i="65"/>
  <c r="M20" i="62"/>
  <c r="G39" i="62"/>
  <c r="P37" i="70"/>
  <c r="AT17" i="65"/>
  <c r="L27" i="62"/>
  <c r="L29" i="62" s="1"/>
  <c r="AT24" i="62"/>
  <c r="F34" i="10"/>
  <c r="F56" i="10" s="1"/>
  <c r="D55" i="37"/>
  <c r="D136" i="34"/>
  <c r="H25" i="35"/>
  <c r="AP11" i="65"/>
  <c r="AQ98" i="66"/>
  <c r="AT57" i="67"/>
  <c r="AE15" i="62"/>
  <c r="K27" i="62"/>
  <c r="M16" i="62"/>
  <c r="S20" i="62"/>
  <c r="Q27" i="62"/>
  <c r="Q29" i="62" s="1"/>
  <c r="AT37" i="62"/>
  <c r="J39" i="62"/>
  <c r="AT74" i="62"/>
  <c r="V79" i="62"/>
  <c r="AK49" i="69"/>
  <c r="Y52" i="69"/>
  <c r="AS11" i="65"/>
  <c r="R34" i="65"/>
  <c r="R41" i="65" s="1"/>
  <c r="R43" i="65" s="1"/>
  <c r="R45" i="65" s="1"/>
  <c r="AS19" i="65"/>
  <c r="B21" i="65"/>
  <c r="AB21" i="65"/>
  <c r="M29" i="65"/>
  <c r="P40" i="65"/>
  <c r="AT53" i="66"/>
  <c r="J41" i="68"/>
  <c r="J20" i="62"/>
  <c r="I45" i="62"/>
  <c r="B18" i="58"/>
  <c r="D18" i="58" s="1"/>
  <c r="AT82" i="62"/>
  <c r="G85" i="62"/>
  <c r="S85" i="62"/>
  <c r="AR85" i="62"/>
  <c r="AT87" i="62"/>
  <c r="Z91" i="62"/>
  <c r="AL22" i="69"/>
  <c r="J22" i="69"/>
  <c r="P49" i="69"/>
  <c r="Y37" i="70"/>
  <c r="C21" i="65"/>
  <c r="N27" i="62"/>
  <c r="N29" i="62" s="1"/>
  <c r="P16" i="62"/>
  <c r="AS85" i="62"/>
  <c r="S41" i="69"/>
  <c r="K34" i="65"/>
  <c r="V14" i="65"/>
  <c r="AH14" i="65"/>
  <c r="D19" i="65"/>
  <c r="AC29" i="65"/>
  <c r="AQ95" i="66"/>
  <c r="B33" i="58"/>
  <c r="Y62" i="62"/>
  <c r="AH85" i="62"/>
  <c r="G21" i="65"/>
  <c r="D23" i="65"/>
  <c r="G29" i="65"/>
  <c r="S29" i="65"/>
  <c r="S40" i="65"/>
  <c r="AS20" i="62"/>
  <c r="AC27" i="62"/>
  <c r="AC29" i="62" s="1"/>
  <c r="Z60" i="62"/>
  <c r="AB79" i="62"/>
  <c r="J85" i="62"/>
  <c r="AT89" i="62"/>
  <c r="J21" i="65"/>
  <c r="AQ25" i="65"/>
  <c r="AQ37" i="65"/>
  <c r="AB94" i="66"/>
  <c r="AQ38" i="67"/>
  <c r="AQ126" i="67"/>
  <c r="AB48" i="68"/>
  <c r="D20" i="62"/>
  <c r="AE28" i="62"/>
  <c r="X64" i="62"/>
  <c r="S79" i="62"/>
  <c r="AC47" i="69"/>
  <c r="H41" i="69"/>
  <c r="AE41" i="69"/>
  <c r="AS21" i="65"/>
  <c r="AH56" i="67"/>
  <c r="S48" i="68"/>
  <c r="AR16" i="62"/>
  <c r="J16" i="62"/>
  <c r="H91" i="62"/>
  <c r="B14" i="65"/>
  <c r="AO23" i="65"/>
  <c r="C47" i="68"/>
  <c r="Q46" i="68"/>
  <c r="AR54" i="62"/>
  <c r="AE85" i="62"/>
  <c r="T47" i="69"/>
  <c r="V11" i="69"/>
  <c r="H23" i="69"/>
  <c r="J34" i="69"/>
  <c r="S31" i="70"/>
  <c r="AH40" i="70"/>
  <c r="V36" i="70"/>
  <c r="D39" i="70"/>
  <c r="S40" i="70"/>
  <c r="Y39" i="70"/>
  <c r="J36" i="70"/>
  <c r="P39" i="70"/>
  <c r="V16" i="70"/>
  <c r="AE39" i="70"/>
  <c r="H11" i="70"/>
  <c r="H35" i="70" s="1"/>
  <c r="Y36" i="70"/>
  <c r="AH20" i="70"/>
  <c r="T35" i="70"/>
  <c r="P36" i="70"/>
  <c r="D36" i="70"/>
  <c r="AF19" i="70"/>
  <c r="G31" i="70"/>
  <c r="G39" i="70"/>
  <c r="N16" i="70"/>
  <c r="J37" i="70"/>
  <c r="V39" i="70"/>
  <c r="G11" i="70"/>
  <c r="AH15" i="70"/>
  <c r="B11" i="70"/>
  <c r="AG26" i="70"/>
  <c r="C11" i="70"/>
  <c r="C35" i="70" s="1"/>
  <c r="AG31" i="70"/>
  <c r="D37" i="70"/>
  <c r="AB37" i="70"/>
  <c r="Q35" i="70"/>
  <c r="AE37" i="70"/>
  <c r="D14" i="70"/>
  <c r="AB39" i="70"/>
  <c r="S11" i="70"/>
  <c r="Y11" i="70"/>
  <c r="R35" i="70"/>
  <c r="AG14" i="70"/>
  <c r="S49" i="69"/>
  <c r="AB49" i="69"/>
  <c r="P35" i="69"/>
  <c r="J54" i="69"/>
  <c r="D30" i="69"/>
  <c r="AN21" i="69"/>
  <c r="Q23" i="69"/>
  <c r="AE54" i="69"/>
  <c r="V48" i="69"/>
  <c r="AE52" i="69"/>
  <c r="AB41" i="69"/>
  <c r="P48" i="69"/>
  <c r="D32" i="69"/>
  <c r="AE11" i="69"/>
  <c r="M11" i="69"/>
  <c r="Y11" i="69"/>
  <c r="AB53" i="69"/>
  <c r="N47" i="69"/>
  <c r="B11" i="69"/>
  <c r="AM22" i="69"/>
  <c r="AN22" i="69" s="1"/>
  <c r="D26" i="69"/>
  <c r="S54" i="69"/>
  <c r="AM48" i="69"/>
  <c r="AB51" i="69"/>
  <c r="D53" i="69"/>
  <c r="H11" i="69"/>
  <c r="H47" i="69" s="1"/>
  <c r="AB23" i="69"/>
  <c r="D24" i="69"/>
  <c r="J43" i="69"/>
  <c r="M53" i="69"/>
  <c r="P11" i="69"/>
  <c r="AN14" i="69"/>
  <c r="AN20" i="69"/>
  <c r="AL30" i="69"/>
  <c r="AN30" i="69" s="1"/>
  <c r="AL32" i="69"/>
  <c r="AM34" i="69"/>
  <c r="AN34" i="69" s="1"/>
  <c r="G35" i="69"/>
  <c r="AK54" i="69"/>
  <c r="S51" i="69"/>
  <c r="B27" i="69"/>
  <c r="D15" i="69"/>
  <c r="AL17" i="69"/>
  <c r="AN17" i="69" s="1"/>
  <c r="D17" i="69"/>
  <c r="AM19" i="69"/>
  <c r="AL31" i="69"/>
  <c r="I11" i="69"/>
  <c r="AL15" i="69"/>
  <c r="B29" i="69"/>
  <c r="AB11" i="69"/>
  <c r="AL26" i="69"/>
  <c r="AN26" i="69" s="1"/>
  <c r="C29" i="69"/>
  <c r="AM29" i="69" s="1"/>
  <c r="H51" i="69"/>
  <c r="H53" i="69"/>
  <c r="AM12" i="69"/>
  <c r="AN33" i="69"/>
  <c r="M49" i="69"/>
  <c r="V50" i="69"/>
  <c r="J48" i="69"/>
  <c r="B51" i="69"/>
  <c r="D19" i="69"/>
  <c r="AL34" i="69"/>
  <c r="D34" i="69"/>
  <c r="Y35" i="69"/>
  <c r="G41" i="69"/>
  <c r="M48" i="69"/>
  <c r="M50" i="69"/>
  <c r="AH50" i="69"/>
  <c r="M54" i="69"/>
  <c r="AH54" i="69"/>
  <c r="AA60" i="62"/>
  <c r="I60" i="62"/>
  <c r="J54" i="62"/>
  <c r="D19" i="58"/>
  <c r="AT42" i="62"/>
  <c r="AT43" i="62"/>
  <c r="AT70" i="62"/>
  <c r="AT71" i="62"/>
  <c r="AT77" i="62"/>
  <c r="D28" i="58"/>
  <c r="AT40" i="62"/>
  <c r="AT86" i="62"/>
  <c r="AT88" i="62"/>
  <c r="D17" i="58"/>
  <c r="AT33" i="62"/>
  <c r="AT51" i="62"/>
  <c r="AT69" i="62"/>
  <c r="AT75" i="62"/>
  <c r="C22" i="58"/>
  <c r="D22" i="58" s="1"/>
  <c r="D29" i="58"/>
  <c r="AQ88" i="66"/>
  <c r="AQ24" i="68"/>
  <c r="P48" i="68"/>
  <c r="V20" i="68"/>
  <c r="AE48" i="68"/>
  <c r="P43" i="68"/>
  <c r="P20" i="68"/>
  <c r="K34" i="68"/>
  <c r="AT29" i="68"/>
  <c r="K46" i="68"/>
  <c r="M32" i="68"/>
  <c r="AQ17" i="68"/>
  <c r="D20" i="68"/>
  <c r="AT26" i="68"/>
  <c r="N46" i="68"/>
  <c r="J43" i="68"/>
  <c r="AT17" i="68"/>
  <c r="AQ19" i="68"/>
  <c r="AS32" i="68"/>
  <c r="P32" i="68"/>
  <c r="AQ14" i="68"/>
  <c r="G48" i="68"/>
  <c r="AQ96" i="67"/>
  <c r="AT96" i="67"/>
  <c r="AQ103" i="67"/>
  <c r="AT128" i="67"/>
  <c r="AQ134" i="67"/>
  <c r="AP12" i="67"/>
  <c r="AT131" i="67"/>
  <c r="AT132" i="67"/>
  <c r="AQ138" i="67"/>
  <c r="G43" i="68"/>
  <c r="B20" i="67"/>
  <c r="W46" i="68"/>
  <c r="AB39" i="68"/>
  <c r="AO13" i="67"/>
  <c r="Y142" i="67"/>
  <c r="Y40" i="68"/>
  <c r="AQ64" i="67"/>
  <c r="AR21" i="67"/>
  <c r="AP22" i="67"/>
  <c r="AQ45" i="67"/>
  <c r="D22" i="67"/>
  <c r="AT140" i="67"/>
  <c r="S40" i="68"/>
  <c r="AB40" i="68"/>
  <c r="J21" i="67"/>
  <c r="J92" i="67"/>
  <c r="AS32" i="67"/>
  <c r="AO50" i="67"/>
  <c r="AB92" i="67"/>
  <c r="AQ122" i="67"/>
  <c r="AT126" i="67"/>
  <c r="J13" i="67"/>
  <c r="D17" i="67"/>
  <c r="AQ40" i="67"/>
  <c r="AR50" i="67"/>
  <c r="AB47" i="68"/>
  <c r="AQ60" i="67"/>
  <c r="AQ108" i="67"/>
  <c r="Y130" i="67"/>
  <c r="G38" i="68"/>
  <c r="Y48" i="68"/>
  <c r="AS12" i="67"/>
  <c r="AT38" i="67"/>
  <c r="AT40" i="67"/>
  <c r="AS44" i="67"/>
  <c r="AT84" i="67"/>
  <c r="AQ89" i="67"/>
  <c r="AT122" i="67"/>
  <c r="AT123" i="67"/>
  <c r="Y44" i="68"/>
  <c r="D12" i="67"/>
  <c r="AR13" i="67"/>
  <c r="AT13" i="67" s="1"/>
  <c r="AQ18" i="67"/>
  <c r="AT37" i="67"/>
  <c r="S56" i="67"/>
  <c r="AB56" i="67"/>
  <c r="AT60" i="67"/>
  <c r="AT74" i="67"/>
  <c r="AT101" i="67"/>
  <c r="AQ118" i="67"/>
  <c r="AR142" i="67"/>
  <c r="AS14" i="67"/>
  <c r="AO130" i="67"/>
  <c r="AO17" i="67"/>
  <c r="AT51" i="67"/>
  <c r="AQ55" i="67"/>
  <c r="AQ66" i="67"/>
  <c r="AR104" i="67"/>
  <c r="AO104" i="67"/>
  <c r="AT136" i="67"/>
  <c r="G47" i="68"/>
  <c r="C20" i="67"/>
  <c r="AO21" i="67"/>
  <c r="AT45" i="67"/>
  <c r="AT64" i="67"/>
  <c r="AT106" i="67"/>
  <c r="AS116" i="67"/>
  <c r="AE42" i="68"/>
  <c r="AR17" i="67"/>
  <c r="J17" i="67"/>
  <c r="AT36" i="67"/>
  <c r="AT48" i="67"/>
  <c r="P56" i="67"/>
  <c r="G56" i="67"/>
  <c r="AT61" i="67"/>
  <c r="AT66" i="67"/>
  <c r="AQ90" i="67"/>
  <c r="AQ100" i="67"/>
  <c r="AT117" i="67"/>
  <c r="AT143" i="67"/>
  <c r="Y42" i="68"/>
  <c r="AO56" i="67"/>
  <c r="J104" i="67"/>
  <c r="AB104" i="67"/>
  <c r="AQ63" i="66"/>
  <c r="AQ80" i="66"/>
  <c r="AB42" i="68"/>
  <c r="AQ71" i="66"/>
  <c r="AQ72" i="66"/>
  <c r="J47" i="68"/>
  <c r="D106" i="66"/>
  <c r="P45" i="68"/>
  <c r="AB32" i="66"/>
  <c r="AE38" i="68"/>
  <c r="G41" i="68"/>
  <c r="S47" i="68"/>
  <c r="AT98" i="66"/>
  <c r="V40" i="68"/>
  <c r="AE40" i="68"/>
  <c r="S41" i="68"/>
  <c r="AB41" i="68"/>
  <c r="AB43" i="68"/>
  <c r="AN43" i="68"/>
  <c r="AB20" i="66"/>
  <c r="AQ21" i="66"/>
  <c r="AQ22" i="66"/>
  <c r="AT24" i="66"/>
  <c r="Y43" i="68"/>
  <c r="Y47" i="68"/>
  <c r="AT12" i="66"/>
  <c r="AT27" i="66"/>
  <c r="AQ33" i="66"/>
  <c r="P94" i="66"/>
  <c r="D94" i="66"/>
  <c r="P38" i="68"/>
  <c r="Y39" i="68"/>
  <c r="G42" i="68"/>
  <c r="AK42" i="68"/>
  <c r="AB45" i="68"/>
  <c r="V48" i="68"/>
  <c r="J32" i="66"/>
  <c r="AT67" i="66"/>
  <c r="S38" i="68"/>
  <c r="P40" i="68"/>
  <c r="G40" i="68"/>
  <c r="D42" i="68"/>
  <c r="S43" i="68"/>
  <c r="AT79" i="66"/>
  <c r="AQ93" i="66"/>
  <c r="J106" i="66"/>
  <c r="AE43" i="68"/>
  <c r="AE47" i="68"/>
  <c r="AQ12" i="66"/>
  <c r="AT29" i="66"/>
  <c r="AT58" i="66"/>
  <c r="AT62" i="66"/>
  <c r="AT64" i="66"/>
  <c r="AQ74" i="66"/>
  <c r="AT75" i="66"/>
  <c r="S106" i="66"/>
  <c r="M38" i="68"/>
  <c r="V38" i="68"/>
  <c r="AB38" i="68"/>
  <c r="M40" i="68"/>
  <c r="S42" i="68"/>
  <c r="AB44" i="68"/>
  <c r="AK48" i="68"/>
  <c r="AQ38" i="66"/>
  <c r="AT43" i="66"/>
  <c r="AQ78" i="66"/>
  <c r="AQ79" i="66"/>
  <c r="J82" i="66"/>
  <c r="AT100" i="66"/>
  <c r="AN42" i="68"/>
  <c r="AQ84" i="66"/>
  <c r="AT96" i="66"/>
  <c r="AH40" i="68"/>
  <c r="AN47" i="68"/>
  <c r="AQ26" i="66"/>
  <c r="AT38" i="66"/>
  <c r="AT84" i="66"/>
  <c r="AQ91" i="66"/>
  <c r="S94" i="66"/>
  <c r="AN39" i="68"/>
  <c r="M43" i="68"/>
  <c r="V43" i="68"/>
  <c r="AT26" i="66"/>
  <c r="AQ75" i="66"/>
  <c r="AQ76" i="66"/>
  <c r="AQ107" i="66"/>
  <c r="AP38" i="68"/>
  <c r="G45" i="68"/>
  <c r="AQ24" i="66"/>
  <c r="AT25" i="66"/>
  <c r="AH106" i="66"/>
  <c r="AQ108" i="66"/>
  <c r="AE39" i="68"/>
  <c r="S44" i="68"/>
  <c r="AH48" i="68"/>
  <c r="H57" i="65"/>
  <c r="AK11" i="71"/>
  <c r="D99" i="33"/>
  <c r="D29" i="20"/>
  <c r="J10" i="20"/>
  <c r="D7" i="29"/>
  <c r="J109" i="33"/>
  <c r="J107" i="33"/>
  <c r="J88" i="37"/>
  <c r="H117" i="27"/>
  <c r="L8" i="33"/>
  <c r="H10" i="33"/>
  <c r="B31" i="10"/>
  <c r="D48" i="21"/>
  <c r="J10" i="23"/>
  <c r="H10" i="29"/>
  <c r="E51" i="22"/>
  <c r="B89" i="4"/>
  <c r="G14" i="10"/>
  <c r="L9" i="20"/>
  <c r="K28" i="18"/>
  <c r="I112" i="37"/>
  <c r="H117" i="29"/>
  <c r="J33" i="33"/>
  <c r="D48" i="16"/>
  <c r="K11" i="29"/>
  <c r="K108" i="37"/>
  <c r="K117" i="37"/>
  <c r="K120" i="37"/>
  <c r="K122" i="37"/>
  <c r="F10" i="10"/>
  <c r="J121" i="29"/>
  <c r="H125" i="29"/>
  <c r="H30" i="37"/>
  <c r="K116" i="13"/>
  <c r="I26" i="29"/>
  <c r="K7" i="18"/>
  <c r="K31" i="13"/>
  <c r="J76" i="13"/>
  <c r="I107" i="33"/>
  <c r="F25" i="10"/>
  <c r="C34" i="10"/>
  <c r="K34" i="10" s="1"/>
  <c r="F83" i="4"/>
  <c r="B25" i="10"/>
  <c r="D9" i="22"/>
  <c r="J113" i="18"/>
  <c r="K31" i="35"/>
  <c r="J7" i="37"/>
  <c r="J25" i="37"/>
  <c r="J29" i="37"/>
  <c r="J28" i="20"/>
  <c r="K108" i="23"/>
  <c r="E104" i="4"/>
  <c r="D28" i="51"/>
  <c r="H7" i="29"/>
  <c r="G44" i="10"/>
  <c r="K88" i="37"/>
  <c r="K114" i="37"/>
  <c r="K116" i="37"/>
  <c r="K121" i="37"/>
  <c r="D48" i="74"/>
  <c r="H31" i="23"/>
  <c r="H35" i="23"/>
  <c r="D10" i="24"/>
  <c r="D7" i="25"/>
  <c r="H96" i="33"/>
  <c r="F30" i="10"/>
  <c r="E7" i="51"/>
  <c r="E23" i="37"/>
  <c r="C21" i="10"/>
  <c r="G9" i="10"/>
  <c r="G21" i="10"/>
  <c r="I85" i="4"/>
  <c r="G24" i="10"/>
  <c r="H10" i="23"/>
  <c r="H12" i="23"/>
  <c r="D30" i="23"/>
  <c r="K86" i="29"/>
  <c r="K108" i="29"/>
  <c r="D75" i="33"/>
  <c r="D78" i="33"/>
  <c r="AH34" i="70"/>
  <c r="AG36" i="70"/>
  <c r="AN13" i="69"/>
  <c r="AM53" i="69"/>
  <c r="AJ41" i="70" s="1"/>
  <c r="AN40" i="69"/>
  <c r="AN45" i="69"/>
  <c r="AN39" i="69"/>
  <c r="AL52" i="69"/>
  <c r="AN28" i="69"/>
  <c r="AM54" i="69"/>
  <c r="AJ42" i="70" s="1"/>
  <c r="AT59" i="62"/>
  <c r="D11" i="58"/>
  <c r="B22" i="58"/>
  <c r="AT21" i="62"/>
  <c r="AT57" i="62"/>
  <c r="AT56" i="62"/>
  <c r="D25" i="58"/>
  <c r="D12" i="58"/>
  <c r="D26" i="58"/>
  <c r="B30" i="58"/>
  <c r="D30" i="58" s="1"/>
  <c r="AT23" i="62"/>
  <c r="AT38" i="62"/>
  <c r="AT83" i="62"/>
  <c r="B21" i="58"/>
  <c r="D21" i="58" s="1"/>
  <c r="AT17" i="62"/>
  <c r="AT46" i="62"/>
  <c r="AT55" i="62"/>
  <c r="AT24" i="68"/>
  <c r="AN38" i="68"/>
  <c r="AS45" i="68"/>
  <c r="AT12" i="68"/>
  <c r="AQ29" i="68"/>
  <c r="AT14" i="68"/>
  <c r="AQ26" i="68"/>
  <c r="AQ31" i="68"/>
  <c r="AQ69" i="67"/>
  <c r="AQ74" i="67"/>
  <c r="AQ84" i="67"/>
  <c r="AT85" i="67"/>
  <c r="AT93" i="67"/>
  <c r="AT97" i="67"/>
  <c r="AQ144" i="67"/>
  <c r="AT18" i="67"/>
  <c r="AT69" i="67"/>
  <c r="AQ143" i="67"/>
  <c r="AT144" i="67"/>
  <c r="AT52" i="67"/>
  <c r="AT46" i="67"/>
  <c r="AQ51" i="67"/>
  <c r="AQ70" i="67"/>
  <c r="AQ77" i="67"/>
  <c r="AQ131" i="67"/>
  <c r="AQ62" i="67"/>
  <c r="AQ41" i="67"/>
  <c r="AT53" i="67"/>
  <c r="AT70" i="67"/>
  <c r="AQ93" i="67"/>
  <c r="AQ97" i="67"/>
  <c r="AT103" i="67"/>
  <c r="AQ105" i="67"/>
  <c r="AQ117" i="67"/>
  <c r="AQ127" i="67"/>
  <c r="AQ128" i="67"/>
  <c r="AT134" i="67"/>
  <c r="AQ13" i="66"/>
  <c r="AQ14" i="66"/>
  <c r="AQ28" i="66"/>
  <c r="AQ29" i="66"/>
  <c r="AT63" i="66"/>
  <c r="AT86" i="66"/>
  <c r="AT17" i="66"/>
  <c r="AQ27" i="66"/>
  <c r="AT28" i="66"/>
  <c r="AQ41" i="66"/>
  <c r="AN44" i="68"/>
  <c r="AQ53" i="66"/>
  <c r="AT72" i="66"/>
  <c r="AT74" i="66"/>
  <c r="AT80" i="66"/>
  <c r="AN41" i="68"/>
  <c r="AN48" i="68"/>
  <c r="AQ25" i="66"/>
  <c r="AT34" i="66"/>
  <c r="AT48" i="66"/>
  <c r="AT57" i="66"/>
  <c r="AQ58" i="66"/>
  <c r="AQ62" i="66"/>
  <c r="AQ64" i="66"/>
  <c r="AQ96" i="66"/>
  <c r="AN40" i="68"/>
  <c r="AT36" i="66"/>
  <c r="AQ67" i="66"/>
  <c r="AQ86" i="66"/>
  <c r="AT108" i="66"/>
  <c r="AP42" i="68"/>
  <c r="AQ13" i="65"/>
  <c r="AQ23" i="65"/>
  <c r="AQ17" i="65"/>
  <c r="AT12" i="65"/>
  <c r="AQ20" i="65"/>
  <c r="K108" i="18"/>
  <c r="K23" i="23"/>
  <c r="K31" i="23"/>
  <c r="D10" i="20"/>
  <c r="K22" i="23"/>
  <c r="K24" i="23"/>
  <c r="J107" i="23"/>
  <c r="J109" i="23"/>
  <c r="I10" i="23"/>
  <c r="E52" i="22"/>
  <c r="H124" i="4"/>
  <c r="K99" i="18"/>
  <c r="J109" i="18"/>
  <c r="J30" i="13"/>
  <c r="K28" i="20"/>
  <c r="H10" i="18"/>
  <c r="I92" i="4"/>
  <c r="I116" i="37"/>
  <c r="H12" i="18"/>
  <c r="I84" i="4"/>
  <c r="G10" i="10"/>
  <c r="I30" i="23"/>
  <c r="G31" i="10"/>
  <c r="D9" i="18"/>
  <c r="J23" i="18"/>
  <c r="J29" i="18"/>
  <c r="J31" i="18"/>
  <c r="J33" i="18"/>
  <c r="J35" i="18"/>
  <c r="D120" i="18"/>
  <c r="D52" i="16"/>
  <c r="K7" i="22"/>
  <c r="H11" i="23"/>
  <c r="D28" i="25"/>
  <c r="D112" i="27"/>
  <c r="K29" i="51"/>
  <c r="J22" i="29"/>
  <c r="J24" i="29"/>
  <c r="J26" i="29"/>
  <c r="J109" i="35"/>
  <c r="H121" i="33"/>
  <c r="H125" i="33"/>
  <c r="K76" i="37"/>
  <c r="H116" i="37"/>
  <c r="K78" i="29"/>
  <c r="J97" i="29"/>
  <c r="J108" i="29"/>
  <c r="K31" i="33"/>
  <c r="K35" i="33"/>
  <c r="K34" i="37"/>
  <c r="D122" i="33"/>
  <c r="D75" i="37"/>
  <c r="J113" i="27"/>
  <c r="H11" i="29"/>
  <c r="D23" i="29"/>
  <c r="D25" i="29"/>
  <c r="D48" i="34"/>
  <c r="H108" i="37"/>
  <c r="K26" i="35"/>
  <c r="J76" i="33"/>
  <c r="F9" i="10"/>
  <c r="H33" i="18"/>
  <c r="H35" i="18"/>
  <c r="J124" i="18"/>
  <c r="J25" i="13"/>
  <c r="J7" i="16"/>
  <c r="J7" i="20"/>
  <c r="J26" i="20"/>
  <c r="J34" i="23"/>
  <c r="D107" i="23"/>
  <c r="D88" i="27"/>
  <c r="H29" i="29"/>
  <c r="H31" i="29"/>
  <c r="H33" i="29"/>
  <c r="H35" i="29"/>
  <c r="H26" i="35"/>
  <c r="L88" i="37"/>
  <c r="D48" i="38"/>
  <c r="J11" i="13"/>
  <c r="H30" i="13"/>
  <c r="J67" i="13"/>
  <c r="K117" i="13"/>
  <c r="K124" i="13"/>
  <c r="H117" i="13"/>
  <c r="D56" i="76"/>
  <c r="J121" i="18"/>
  <c r="H124" i="18"/>
  <c r="D7" i="13"/>
  <c r="G107" i="4"/>
  <c r="J125" i="18"/>
  <c r="D22" i="16"/>
  <c r="D55" i="4"/>
  <c r="H121" i="13"/>
  <c r="C16" i="10"/>
  <c r="K16" i="10" s="1"/>
  <c r="E28" i="37"/>
  <c r="H117" i="4"/>
  <c r="H24" i="4"/>
  <c r="H39" i="4"/>
  <c r="H74" i="4"/>
  <c r="I95" i="4"/>
  <c r="K22" i="13"/>
  <c r="K24" i="13"/>
  <c r="K76" i="13"/>
  <c r="D124" i="13"/>
  <c r="D8" i="19"/>
  <c r="K28" i="24"/>
  <c r="K34" i="35"/>
  <c r="J113" i="35"/>
  <c r="L8" i="16"/>
  <c r="D8" i="25"/>
  <c r="J8" i="25"/>
  <c r="L8" i="25" s="1"/>
  <c r="K30" i="20"/>
  <c r="M117" i="8"/>
  <c r="K134" i="26"/>
  <c r="K136" i="26"/>
  <c r="D137" i="34"/>
  <c r="K25" i="35"/>
  <c r="D57" i="16"/>
  <c r="H121" i="23"/>
  <c r="H125" i="23"/>
  <c r="K109" i="33"/>
  <c r="L109" i="33" s="1"/>
  <c r="H108" i="18"/>
  <c r="H25" i="13"/>
  <c r="J112" i="13"/>
  <c r="J116" i="13"/>
  <c r="L116" i="13" s="1"/>
  <c r="K78" i="23"/>
  <c r="J78" i="18"/>
  <c r="K23" i="13"/>
  <c r="J7" i="23"/>
  <c r="G30" i="4"/>
  <c r="I74" i="4"/>
  <c r="G12" i="4"/>
  <c r="G42" i="10"/>
  <c r="I109" i="4"/>
  <c r="G15" i="10"/>
  <c r="K124" i="18"/>
  <c r="D24" i="13"/>
  <c r="D28" i="13"/>
  <c r="D39" i="13"/>
  <c r="J97" i="13"/>
  <c r="K107" i="13"/>
  <c r="J113" i="23"/>
  <c r="J117" i="23"/>
  <c r="D48" i="25"/>
  <c r="K10" i="41"/>
  <c r="D48" i="41"/>
  <c r="F119" i="4"/>
  <c r="J22" i="51"/>
  <c r="K107" i="29"/>
  <c r="K109" i="29"/>
  <c r="K135" i="34"/>
  <c r="J67" i="27"/>
  <c r="D48" i="51"/>
  <c r="H113" i="29"/>
  <c r="H10" i="35"/>
  <c r="H12" i="35"/>
  <c r="K22" i="35"/>
  <c r="H29" i="35"/>
  <c r="H31" i="35"/>
  <c r="K107" i="35"/>
  <c r="K109" i="35"/>
  <c r="J125" i="35"/>
  <c r="J23" i="33"/>
  <c r="J31" i="33"/>
  <c r="L31" i="33" s="1"/>
  <c r="K76" i="33"/>
  <c r="H86" i="33"/>
  <c r="D113" i="33"/>
  <c r="H22" i="37"/>
  <c r="H26" i="37"/>
  <c r="H35" i="37"/>
  <c r="D86" i="37"/>
  <c r="H112" i="37"/>
  <c r="J11" i="35"/>
  <c r="J10" i="33"/>
  <c r="K67" i="33"/>
  <c r="J96" i="33"/>
  <c r="K135" i="37"/>
  <c r="H107" i="35"/>
  <c r="K12" i="33"/>
  <c r="H25" i="33"/>
  <c r="J32" i="37"/>
  <c r="H34" i="37"/>
  <c r="K67" i="37"/>
  <c r="D100" i="29"/>
  <c r="H11" i="35"/>
  <c r="H34" i="35"/>
  <c r="H12" i="33"/>
  <c r="J26" i="33"/>
  <c r="J30" i="33"/>
  <c r="H109" i="33"/>
  <c r="H7" i="37"/>
  <c r="D31" i="37"/>
  <c r="J75" i="37"/>
  <c r="D78" i="37"/>
  <c r="K110" i="37"/>
  <c r="J7" i="74"/>
  <c r="J96" i="37"/>
  <c r="K24" i="24"/>
  <c r="H134" i="26"/>
  <c r="H136" i="26"/>
  <c r="H121" i="27"/>
  <c r="H23" i="35"/>
  <c r="H113" i="35"/>
  <c r="H22" i="33"/>
  <c r="D108" i="33"/>
  <c r="L8" i="37"/>
  <c r="H10" i="37"/>
  <c r="D24" i="37"/>
  <c r="D28" i="37"/>
  <c r="H33" i="37"/>
  <c r="D35" i="37"/>
  <c r="AK12" i="71"/>
  <c r="AH19" i="70"/>
  <c r="AG37" i="70"/>
  <c r="AH13" i="70"/>
  <c r="AH18" i="70"/>
  <c r="AH30" i="70"/>
  <c r="AH17" i="70"/>
  <c r="AN42" i="69"/>
  <c r="AL50" i="69"/>
  <c r="AN16" i="69"/>
  <c r="AN36" i="69"/>
  <c r="AN37" i="69"/>
  <c r="AN32" i="69"/>
  <c r="AN25" i="69"/>
  <c r="AN18" i="69"/>
  <c r="AN44" i="69"/>
  <c r="AT81" i="62"/>
  <c r="B16" i="58"/>
  <c r="C33" i="58"/>
  <c r="D33" i="58" s="1"/>
  <c r="AT61" i="62"/>
  <c r="C35" i="58"/>
  <c r="C37" i="58"/>
  <c r="AT19" i="62"/>
  <c r="AT18" i="62"/>
  <c r="AT25" i="62"/>
  <c r="AT44" i="62"/>
  <c r="AT73" i="62"/>
  <c r="AT41" i="62"/>
  <c r="AT53" i="62"/>
  <c r="AT68" i="62"/>
  <c r="AT31" i="68"/>
  <c r="AR45" i="68"/>
  <c r="AT19" i="68"/>
  <c r="AQ12" i="68"/>
  <c r="AK43" i="68"/>
  <c r="AK38" i="68"/>
  <c r="AS42" i="68"/>
  <c r="AQ32" i="67"/>
  <c r="AQ36" i="67"/>
  <c r="AQ52" i="67"/>
  <c r="AQ57" i="67"/>
  <c r="AQ85" i="67"/>
  <c r="AT90" i="67"/>
  <c r="AT98" i="67"/>
  <c r="AQ106" i="67"/>
  <c r="AT124" i="67"/>
  <c r="AT127" i="67"/>
  <c r="AQ136" i="67"/>
  <c r="AR44" i="68"/>
  <c r="AQ48" i="67"/>
  <c r="AQ86" i="67"/>
  <c r="AT105" i="67"/>
  <c r="AT118" i="67"/>
  <c r="AS39" i="68"/>
  <c r="AK39" i="68"/>
  <c r="AQ53" i="67"/>
  <c r="AT55" i="67"/>
  <c r="AQ82" i="67"/>
  <c r="AT86" i="67"/>
  <c r="AQ101" i="67"/>
  <c r="AT108" i="67"/>
  <c r="AQ16" i="67"/>
  <c r="AT41" i="67"/>
  <c r="AQ65" i="67"/>
  <c r="AQ94" i="67"/>
  <c r="AQ99" i="67"/>
  <c r="AT100" i="67"/>
  <c r="AQ125" i="67"/>
  <c r="AT62" i="67"/>
  <c r="AT65" i="67"/>
  <c r="AT94" i="67"/>
  <c r="AQ98" i="67"/>
  <c r="AT99" i="67"/>
  <c r="AQ123" i="67"/>
  <c r="AQ124" i="67"/>
  <c r="AT125" i="67"/>
  <c r="AQ132" i="67"/>
  <c r="AT138" i="67"/>
  <c r="AQ140" i="67"/>
  <c r="AT33" i="66"/>
  <c r="AQ50" i="66"/>
  <c r="AT88" i="66"/>
  <c r="AQ100" i="66"/>
  <c r="AP44" i="68"/>
  <c r="AT41" i="66"/>
  <c r="AQ48" i="66"/>
  <c r="AT50" i="66"/>
  <c r="AP41" i="68"/>
  <c r="AT71" i="66"/>
  <c r="AT76" i="66"/>
  <c r="AQ17" i="66"/>
  <c r="AT91" i="66"/>
  <c r="AQ103" i="66"/>
  <c r="AQ105" i="66"/>
  <c r="AK40" i="68"/>
  <c r="AK47" i="68"/>
  <c r="AT21" i="66"/>
  <c r="AQ34" i="66"/>
  <c r="AQ36" i="66"/>
  <c r="AQ57" i="66"/>
  <c r="AT78" i="66"/>
  <c r="AT93" i="66"/>
  <c r="AT95" i="66"/>
  <c r="AT103" i="66"/>
  <c r="AT105" i="66"/>
  <c r="AT11" i="65"/>
  <c r="AQ16" i="65"/>
  <c r="AQ30" i="65"/>
  <c r="AQ15" i="65"/>
  <c r="AT19" i="65"/>
  <c r="AT20" i="65"/>
  <c r="AQ26" i="65"/>
  <c r="AQ12" i="65"/>
  <c r="AT15" i="65"/>
  <c r="AT16" i="65"/>
  <c r="AQ42" i="65"/>
  <c r="AT13" i="65"/>
  <c r="AQ24" i="65"/>
  <c r="AQ44" i="65"/>
  <c r="K117" i="18"/>
  <c r="K25" i="13"/>
  <c r="K32" i="13"/>
  <c r="K34" i="13"/>
  <c r="J39" i="13"/>
  <c r="H22" i="18"/>
  <c r="H24" i="18"/>
  <c r="H23" i="13"/>
  <c r="H32" i="13"/>
  <c r="H34" i="13"/>
  <c r="D76" i="13"/>
  <c r="D99" i="13"/>
  <c r="L8" i="19"/>
  <c r="H11" i="18"/>
  <c r="D112" i="18"/>
  <c r="D54" i="76"/>
  <c r="J22" i="13"/>
  <c r="L22" i="13" s="1"/>
  <c r="K29" i="13"/>
  <c r="D31" i="13"/>
  <c r="J35" i="13"/>
  <c r="K113" i="13"/>
  <c r="D10" i="18"/>
  <c r="H23" i="18"/>
  <c r="H12" i="13"/>
  <c r="H29" i="13"/>
  <c r="K86" i="13"/>
  <c r="K99" i="13"/>
  <c r="D109" i="13"/>
  <c r="J113" i="13"/>
  <c r="J121" i="13"/>
  <c r="E35" i="37"/>
  <c r="F21" i="10"/>
  <c r="H21" i="10" s="1"/>
  <c r="D99" i="18"/>
  <c r="J108" i="18"/>
  <c r="H113" i="13"/>
  <c r="H122" i="4"/>
  <c r="H97" i="4"/>
  <c r="I25" i="35"/>
  <c r="H31" i="4"/>
  <c r="H36" i="4"/>
  <c r="H11" i="13"/>
  <c r="J7" i="19"/>
  <c r="D9" i="16"/>
  <c r="D8" i="20"/>
  <c r="K22" i="20"/>
  <c r="J88" i="23"/>
  <c r="J31" i="24"/>
  <c r="D57" i="25"/>
  <c r="J22" i="20"/>
  <c r="K32" i="23"/>
  <c r="K88" i="23"/>
  <c r="K120" i="23"/>
  <c r="J26" i="23"/>
  <c r="D22" i="24"/>
  <c r="D24" i="24"/>
  <c r="K29" i="16"/>
  <c r="K7" i="20"/>
  <c r="J23" i="20"/>
  <c r="J29" i="23"/>
  <c r="J30" i="20"/>
  <c r="H113" i="20"/>
  <c r="D56" i="21"/>
  <c r="K10" i="23"/>
  <c r="L10" i="23" s="1"/>
  <c r="H25" i="23"/>
  <c r="J35" i="23"/>
  <c r="D28" i="24"/>
  <c r="D54" i="25"/>
  <c r="D53" i="77"/>
  <c r="K67" i="18"/>
  <c r="D88" i="18"/>
  <c r="K109" i="18"/>
  <c r="H113" i="18"/>
  <c r="H117" i="18"/>
  <c r="D9" i="13"/>
  <c r="K11" i="13"/>
  <c r="H24" i="13"/>
  <c r="K28" i="13"/>
  <c r="H35" i="13"/>
  <c r="K121" i="13"/>
  <c r="K10" i="19"/>
  <c r="K28" i="16"/>
  <c r="D53" i="16"/>
  <c r="K7" i="51"/>
  <c r="K7" i="41"/>
  <c r="D135" i="26"/>
  <c r="J137" i="26"/>
  <c r="B49" i="4"/>
  <c r="D108" i="27"/>
  <c r="H125" i="27"/>
  <c r="K22" i="29"/>
  <c r="K26" i="29"/>
  <c r="C49" i="4"/>
  <c r="F93" i="4"/>
  <c r="J109" i="27"/>
  <c r="J134" i="26"/>
  <c r="F72" i="4"/>
  <c r="J117" i="27"/>
  <c r="E119" i="4"/>
  <c r="J29" i="51"/>
  <c r="N142" i="8"/>
  <c r="L8" i="51"/>
  <c r="H24" i="9"/>
  <c r="H66" i="9" s="1"/>
  <c r="K10" i="16"/>
  <c r="D29" i="16"/>
  <c r="D23" i="20"/>
  <c r="J25" i="20"/>
  <c r="J121" i="20"/>
  <c r="J7" i="22"/>
  <c r="K7" i="23"/>
  <c r="L7" i="23" s="1"/>
  <c r="D7" i="24"/>
  <c r="D9" i="24"/>
  <c r="H20" i="9"/>
  <c r="J7" i="51"/>
  <c r="K29" i="29"/>
  <c r="K31" i="29"/>
  <c r="K33" i="29"/>
  <c r="K35" i="29"/>
  <c r="K137" i="34"/>
  <c r="K10" i="72"/>
  <c r="H12" i="29"/>
  <c r="D8" i="33"/>
  <c r="K125" i="37"/>
  <c r="K11" i="35"/>
  <c r="J86" i="37"/>
  <c r="H26" i="29"/>
  <c r="J86" i="29"/>
  <c r="L86" i="29" s="1"/>
  <c r="K125" i="29"/>
  <c r="K136" i="34"/>
  <c r="D48" i="72"/>
  <c r="K113" i="37"/>
  <c r="M143" i="8"/>
  <c r="K30" i="33"/>
  <c r="D89" i="33"/>
  <c r="J121" i="33"/>
  <c r="J125" i="33"/>
  <c r="D8" i="51"/>
  <c r="D10" i="51"/>
  <c r="K28" i="51"/>
  <c r="L8" i="29"/>
  <c r="J67" i="29"/>
  <c r="K97" i="29"/>
  <c r="L97" i="29" s="1"/>
  <c r="N118" i="8"/>
  <c r="D135" i="34"/>
  <c r="K32" i="33"/>
  <c r="K114" i="33"/>
  <c r="J12" i="37"/>
  <c r="H32" i="37"/>
  <c r="J99" i="37"/>
  <c r="K107" i="37"/>
  <c r="D107" i="37"/>
  <c r="J136" i="37"/>
  <c r="J34" i="35"/>
  <c r="H35" i="35"/>
  <c r="H113" i="33"/>
  <c r="D10" i="37"/>
  <c r="J67" i="37"/>
  <c r="L67" i="37" s="1"/>
  <c r="D110" i="37"/>
  <c r="D8" i="74"/>
  <c r="H109" i="35"/>
  <c r="L9" i="33"/>
  <c r="J35" i="33"/>
  <c r="D109" i="33"/>
  <c r="D114" i="33"/>
  <c r="D116" i="33"/>
  <c r="K22" i="37"/>
  <c r="K26" i="37"/>
  <c r="K28" i="37"/>
  <c r="K30" i="37"/>
  <c r="D67" i="37"/>
  <c r="H113" i="37"/>
  <c r="D135" i="37"/>
  <c r="J26" i="35"/>
  <c r="L26" i="35" s="1"/>
  <c r="H7" i="33"/>
  <c r="H35" i="33"/>
  <c r="H24" i="37"/>
  <c r="D109" i="37"/>
  <c r="D114" i="37"/>
  <c r="D124" i="37"/>
  <c r="H7" i="35"/>
  <c r="H33" i="35"/>
  <c r="J121" i="35"/>
  <c r="K10" i="33"/>
  <c r="K23" i="33"/>
  <c r="K25" i="33"/>
  <c r="H32" i="33"/>
  <c r="D88" i="33"/>
  <c r="K108" i="33"/>
  <c r="J117" i="33"/>
  <c r="H11" i="37"/>
  <c r="K23" i="37"/>
  <c r="H114" i="37"/>
  <c r="H124" i="37"/>
  <c r="I37" i="4"/>
  <c r="M37" i="13" s="1"/>
  <c r="C26" i="10"/>
  <c r="K26" i="10" s="1"/>
  <c r="D47" i="76"/>
  <c r="F20" i="10"/>
  <c r="I39" i="4"/>
  <c r="C45" i="10"/>
  <c r="K45" i="10" s="1"/>
  <c r="F15" i="10"/>
  <c r="H15" i="10" s="1"/>
  <c r="G41" i="10"/>
  <c r="I81" i="4"/>
  <c r="K24" i="18"/>
  <c r="H26" i="18"/>
  <c r="D32" i="13"/>
  <c r="J36" i="13"/>
  <c r="D36" i="13"/>
  <c r="F31" i="10"/>
  <c r="H31" i="10" s="1"/>
  <c r="D7" i="4"/>
  <c r="I105" i="4"/>
  <c r="M105" i="29" s="1"/>
  <c r="B33" i="10"/>
  <c r="H32" i="4"/>
  <c r="E54" i="22"/>
  <c r="I71" i="4"/>
  <c r="I78" i="4"/>
  <c r="H86" i="4"/>
  <c r="I91" i="4"/>
  <c r="D53" i="76"/>
  <c r="C33" i="10"/>
  <c r="I9" i="4"/>
  <c r="D108" i="4"/>
  <c r="H7" i="18"/>
  <c r="K9" i="18"/>
  <c r="L9" i="18" s="1"/>
  <c r="K23" i="18"/>
  <c r="J25" i="18"/>
  <c r="K26" i="18"/>
  <c r="H30" i="18"/>
  <c r="H32" i="18"/>
  <c r="H34" i="18"/>
  <c r="H7" i="13"/>
  <c r="D11" i="13"/>
  <c r="D22" i="13"/>
  <c r="D25" i="13"/>
  <c r="D116" i="13"/>
  <c r="K125" i="13"/>
  <c r="D7" i="19"/>
  <c r="L8" i="18"/>
  <c r="J120" i="18"/>
  <c r="K125" i="18"/>
  <c r="L125" i="18" s="1"/>
  <c r="D57" i="13"/>
  <c r="D78" i="13"/>
  <c r="K109" i="13"/>
  <c r="D8" i="18"/>
  <c r="K10" i="18"/>
  <c r="K12" i="18"/>
  <c r="K29" i="18"/>
  <c r="H125" i="18"/>
  <c r="D8" i="13"/>
  <c r="J8" i="13"/>
  <c r="L8" i="13" s="1"/>
  <c r="J10" i="13"/>
  <c r="D10" i="13"/>
  <c r="H22" i="13"/>
  <c r="D37" i="13"/>
  <c r="D53" i="13"/>
  <c r="H109" i="13"/>
  <c r="D112" i="13"/>
  <c r="J117" i="18"/>
  <c r="J23" i="13"/>
  <c r="K35" i="13"/>
  <c r="K78" i="13"/>
  <c r="J108" i="13"/>
  <c r="D113" i="4"/>
  <c r="K22" i="18"/>
  <c r="D35" i="13"/>
  <c r="K67" i="13"/>
  <c r="K108" i="13"/>
  <c r="B16" i="10"/>
  <c r="J16" i="10" s="1"/>
  <c r="D7" i="18"/>
  <c r="J11" i="18"/>
  <c r="J30" i="18"/>
  <c r="J32" i="18"/>
  <c r="J34" i="18"/>
  <c r="J88" i="18"/>
  <c r="H10" i="13"/>
  <c r="D23" i="13"/>
  <c r="J29" i="13"/>
  <c r="J32" i="13"/>
  <c r="L32" i="13" s="1"/>
  <c r="D67" i="13"/>
  <c r="D86" i="13"/>
  <c r="D97" i="13"/>
  <c r="D108" i="13"/>
  <c r="K112" i="13"/>
  <c r="I94" i="4"/>
  <c r="D34" i="13"/>
  <c r="J34" i="13"/>
  <c r="D107" i="13"/>
  <c r="H108" i="13"/>
  <c r="D120" i="13"/>
  <c r="J120" i="13"/>
  <c r="D8" i="16"/>
  <c r="K22" i="16"/>
  <c r="D54" i="16"/>
  <c r="D25" i="20"/>
  <c r="J113" i="20"/>
  <c r="D113" i="20"/>
  <c r="H29" i="18"/>
  <c r="H109" i="18"/>
  <c r="K120" i="18"/>
  <c r="J7" i="13"/>
  <c r="D12" i="13"/>
  <c r="D30" i="13"/>
  <c r="H31" i="13"/>
  <c r="J88" i="13"/>
  <c r="H107" i="13"/>
  <c r="K120" i="13"/>
  <c r="L9" i="19"/>
  <c r="J10" i="16"/>
  <c r="H22" i="20"/>
  <c r="D10" i="16"/>
  <c r="J124" i="13"/>
  <c r="L124" i="13" s="1"/>
  <c r="H125" i="13"/>
  <c r="D10" i="19"/>
  <c r="K7" i="16"/>
  <c r="L9" i="16"/>
  <c r="K29" i="20"/>
  <c r="D121" i="20"/>
  <c r="D54" i="21"/>
  <c r="D7" i="16"/>
  <c r="D22" i="20"/>
  <c r="L26" i="20"/>
  <c r="H121" i="20"/>
  <c r="L8" i="20"/>
  <c r="D49" i="77"/>
  <c r="J8" i="22"/>
  <c r="L8" i="22" s="1"/>
  <c r="D8" i="22"/>
  <c r="K10" i="22"/>
  <c r="D29" i="23"/>
  <c r="H32" i="23"/>
  <c r="H34" i="23"/>
  <c r="J28" i="25"/>
  <c r="J8" i="41"/>
  <c r="L8" i="41" s="1"/>
  <c r="K11" i="23"/>
  <c r="D22" i="23"/>
  <c r="H29" i="23"/>
  <c r="H113" i="23"/>
  <c r="H117" i="23"/>
  <c r="J9" i="25"/>
  <c r="L9" i="25" s="1"/>
  <c r="D9" i="25"/>
  <c r="J24" i="23"/>
  <c r="L24" i="23" s="1"/>
  <c r="D28" i="23"/>
  <c r="K29" i="23"/>
  <c r="H33" i="23"/>
  <c r="H109" i="23"/>
  <c r="D116" i="23"/>
  <c r="L8" i="24"/>
  <c r="K10" i="24"/>
  <c r="K22" i="24"/>
  <c r="J7" i="41"/>
  <c r="L7" i="41" s="1"/>
  <c r="K112" i="23"/>
  <c r="K116" i="23"/>
  <c r="J121" i="23"/>
  <c r="J125" i="23"/>
  <c r="J29" i="24"/>
  <c r="D31" i="24"/>
  <c r="D56" i="25"/>
  <c r="J12" i="23"/>
  <c r="H24" i="23"/>
  <c r="D108" i="23"/>
  <c r="D8" i="24"/>
  <c r="J22" i="24"/>
  <c r="J10" i="25"/>
  <c r="D10" i="25"/>
  <c r="K28" i="25"/>
  <c r="J10" i="22"/>
  <c r="D10" i="22"/>
  <c r="H30" i="23"/>
  <c r="D53" i="25"/>
  <c r="J10" i="41"/>
  <c r="F90" i="4"/>
  <c r="J125" i="27"/>
  <c r="D9" i="51"/>
  <c r="J9" i="51"/>
  <c r="L9" i="51" s="1"/>
  <c r="D7" i="22"/>
  <c r="H7" i="23"/>
  <c r="K12" i="23"/>
  <c r="H26" i="23"/>
  <c r="K30" i="23"/>
  <c r="K67" i="23"/>
  <c r="D86" i="23"/>
  <c r="K99" i="23"/>
  <c r="K7" i="24"/>
  <c r="K29" i="24"/>
  <c r="K31" i="24"/>
  <c r="L31" i="24" s="1"/>
  <c r="J78" i="27"/>
  <c r="L78" i="27" s="1"/>
  <c r="H113" i="27"/>
  <c r="K22" i="51"/>
  <c r="H119" i="27"/>
  <c r="C111" i="4"/>
  <c r="D56" i="40"/>
  <c r="J121" i="27"/>
  <c r="K10" i="51"/>
  <c r="D48" i="40"/>
  <c r="D54" i="40"/>
  <c r="D57" i="40"/>
  <c r="L134" i="26"/>
  <c r="D134" i="26"/>
  <c r="H135" i="26"/>
  <c r="D137" i="26"/>
  <c r="C56" i="4"/>
  <c r="E90" i="4"/>
  <c r="J108" i="27"/>
  <c r="L108" i="27" s="1"/>
  <c r="D7" i="51"/>
  <c r="J28" i="51"/>
  <c r="J7" i="29"/>
  <c r="D8" i="29"/>
  <c r="K10" i="29"/>
  <c r="C26" i="9"/>
  <c r="N24" i="8" s="1"/>
  <c r="K120" i="29"/>
  <c r="J135" i="26"/>
  <c r="H109" i="27"/>
  <c r="K28" i="29"/>
  <c r="K30" i="29"/>
  <c r="K32" i="29"/>
  <c r="K34" i="29"/>
  <c r="K113" i="29"/>
  <c r="J117" i="29"/>
  <c r="J134" i="34"/>
  <c r="J12" i="29"/>
  <c r="H30" i="29"/>
  <c r="H32" i="29"/>
  <c r="H34" i="29"/>
  <c r="D107" i="29"/>
  <c r="D109" i="29"/>
  <c r="K117" i="29"/>
  <c r="K12" i="29"/>
  <c r="J7" i="72"/>
  <c r="D7" i="72"/>
  <c r="J11" i="29"/>
  <c r="L11" i="29" s="1"/>
  <c r="D29" i="29"/>
  <c r="D31" i="29"/>
  <c r="D76" i="29"/>
  <c r="H86" i="29"/>
  <c r="D120" i="29"/>
  <c r="K76" i="29"/>
  <c r="J88" i="29"/>
  <c r="H111" i="29"/>
  <c r="J10" i="29"/>
  <c r="D10" i="29"/>
  <c r="N143" i="8"/>
  <c r="D29" i="33"/>
  <c r="J29" i="33"/>
  <c r="K7" i="29"/>
  <c r="H22" i="29"/>
  <c r="K24" i="29"/>
  <c r="D28" i="29"/>
  <c r="D30" i="29"/>
  <c r="K67" i="29"/>
  <c r="J99" i="29"/>
  <c r="H107" i="29"/>
  <c r="H109" i="29"/>
  <c r="J112" i="29"/>
  <c r="K121" i="29"/>
  <c r="L121" i="29" s="1"/>
  <c r="K7" i="72"/>
  <c r="J23" i="35"/>
  <c r="K113" i="35"/>
  <c r="K125" i="35"/>
  <c r="K11" i="33"/>
  <c r="J22" i="33"/>
  <c r="K29" i="33"/>
  <c r="D96" i="33"/>
  <c r="D110" i="33"/>
  <c r="D9" i="37"/>
  <c r="J9" i="37"/>
  <c r="L9" i="37" s="1"/>
  <c r="L9" i="72"/>
  <c r="J10" i="35"/>
  <c r="H22" i="35"/>
  <c r="K30" i="35"/>
  <c r="K33" i="35"/>
  <c r="H125" i="35"/>
  <c r="K22" i="33"/>
  <c r="D24" i="33"/>
  <c r="H29" i="33"/>
  <c r="K24" i="35"/>
  <c r="J31" i="35"/>
  <c r="K35" i="35"/>
  <c r="K117" i="35"/>
  <c r="K121" i="35"/>
  <c r="H11" i="33"/>
  <c r="K24" i="33"/>
  <c r="K26" i="33"/>
  <c r="K34" i="33"/>
  <c r="J78" i="33"/>
  <c r="D23" i="37"/>
  <c r="J23" i="37"/>
  <c r="J12" i="35"/>
  <c r="J25" i="35"/>
  <c r="L25" i="35" s="1"/>
  <c r="H30" i="35"/>
  <c r="H117" i="35"/>
  <c r="H121" i="35"/>
  <c r="D7" i="33"/>
  <c r="D10" i="33"/>
  <c r="D30" i="33"/>
  <c r="K33" i="33"/>
  <c r="L33" i="33" s="1"/>
  <c r="H34" i="33"/>
  <c r="H75" i="33"/>
  <c r="K78" i="33"/>
  <c r="D97" i="33"/>
  <c r="D10" i="72"/>
  <c r="J7" i="35"/>
  <c r="K23" i="35"/>
  <c r="K29" i="35"/>
  <c r="K7" i="33"/>
  <c r="J67" i="33"/>
  <c r="K107" i="33"/>
  <c r="L107" i="33" s="1"/>
  <c r="D120" i="33"/>
  <c r="H30" i="33"/>
  <c r="J34" i="33"/>
  <c r="H107" i="33"/>
  <c r="D23" i="33"/>
  <c r="D67" i="33"/>
  <c r="D112" i="33"/>
  <c r="K113" i="33"/>
  <c r="K136" i="37"/>
  <c r="D57" i="39"/>
  <c r="D7" i="74"/>
  <c r="J117" i="35"/>
  <c r="J12" i="33"/>
  <c r="L12" i="33" s="1"/>
  <c r="H24" i="33"/>
  <c r="H26" i="33"/>
  <c r="K88" i="33"/>
  <c r="J113" i="33"/>
  <c r="H114" i="33"/>
  <c r="D121" i="33"/>
  <c r="D125" i="33"/>
  <c r="D7" i="37"/>
  <c r="K11" i="37"/>
  <c r="D34" i="37"/>
  <c r="J34" i="37"/>
  <c r="L34" i="37" s="1"/>
  <c r="D37" i="37"/>
  <c r="K96" i="37"/>
  <c r="J107" i="37"/>
  <c r="D116" i="37"/>
  <c r="D136" i="37"/>
  <c r="D54" i="39"/>
  <c r="H29" i="37"/>
  <c r="D97" i="37"/>
  <c r="J113" i="37"/>
  <c r="D30" i="37"/>
  <c r="J30" i="37"/>
  <c r="L30" i="37" s="1"/>
  <c r="J110" i="37"/>
  <c r="L110" i="37" s="1"/>
  <c r="D48" i="39"/>
  <c r="H23" i="37"/>
  <c r="K25" i="37"/>
  <c r="J33" i="37"/>
  <c r="H75" i="37"/>
  <c r="K134" i="37"/>
  <c r="J28" i="37"/>
  <c r="K75" i="37"/>
  <c r="L75" i="37" s="1"/>
  <c r="K112" i="37"/>
  <c r="D125" i="37"/>
  <c r="D134" i="37"/>
  <c r="J8" i="74"/>
  <c r="L8" i="74" s="1"/>
  <c r="H12" i="37"/>
  <c r="J22" i="37"/>
  <c r="D22" i="37"/>
  <c r="K32" i="37"/>
  <c r="D57" i="37"/>
  <c r="D96" i="37"/>
  <c r="D122" i="37"/>
  <c r="D53" i="39"/>
  <c r="K99" i="33"/>
  <c r="H117" i="33"/>
  <c r="H25" i="37"/>
  <c r="K33" i="37"/>
  <c r="D76" i="37"/>
  <c r="K99" i="37"/>
  <c r="L99" i="37" s="1"/>
  <c r="K109" i="37"/>
  <c r="J121" i="37"/>
  <c r="L121" i="37" s="1"/>
  <c r="K124" i="37"/>
  <c r="J10" i="37"/>
  <c r="K29" i="37"/>
  <c r="J35" i="37"/>
  <c r="K86" i="37"/>
  <c r="D108" i="37"/>
  <c r="H121" i="37"/>
  <c r="N52" i="9"/>
  <c r="N72" i="9"/>
  <c r="M65" i="9"/>
  <c r="M54" i="9"/>
  <c r="M58" i="9"/>
  <c r="M60" i="9"/>
  <c r="M62" i="9"/>
  <c r="M64" i="9"/>
  <c r="M66" i="9"/>
  <c r="M68" i="9"/>
  <c r="M73" i="9"/>
  <c r="O75" i="9"/>
  <c r="O47" i="9"/>
  <c r="N53" i="9"/>
  <c r="L75" i="9"/>
  <c r="N65" i="9"/>
  <c r="N54" i="9"/>
  <c r="N58" i="9"/>
  <c r="N60" i="9"/>
  <c r="N62" i="9"/>
  <c r="N64" i="9"/>
  <c r="N66" i="9"/>
  <c r="N68" i="9"/>
  <c r="N73" i="9"/>
  <c r="L74" i="9"/>
  <c r="L71" i="9"/>
  <c r="L73" i="9"/>
  <c r="N55" i="9"/>
  <c r="N67" i="9"/>
  <c r="O66" i="9"/>
  <c r="O68" i="9"/>
  <c r="O73" i="9"/>
  <c r="M74" i="9"/>
  <c r="M71" i="9"/>
  <c r="L47" i="9"/>
  <c r="O63" i="9"/>
  <c r="O65" i="9"/>
  <c r="O58" i="9"/>
  <c r="O60" i="9"/>
  <c r="L52" i="9"/>
  <c r="L55" i="9"/>
  <c r="L59" i="9"/>
  <c r="L61" i="9"/>
  <c r="L63" i="9"/>
  <c r="L53" i="9"/>
  <c r="L67" i="9"/>
  <c r="L69" i="9"/>
  <c r="L72" i="9"/>
  <c r="N74" i="9"/>
  <c r="N71" i="9"/>
  <c r="N59" i="9"/>
  <c r="N69" i="9"/>
  <c r="O52" i="9"/>
  <c r="O54" i="9"/>
  <c r="O62" i="9"/>
  <c r="O64" i="9"/>
  <c r="L51" i="9"/>
  <c r="L77" i="9" s="1"/>
  <c r="L34" i="9"/>
  <c r="M51" i="9"/>
  <c r="M77" i="9" s="1"/>
  <c r="M34" i="9"/>
  <c r="M52" i="9"/>
  <c r="M55" i="9"/>
  <c r="M59" i="9"/>
  <c r="M61" i="9"/>
  <c r="M63" i="9"/>
  <c r="M53" i="9"/>
  <c r="M67" i="9"/>
  <c r="M69" i="9"/>
  <c r="M72" i="9"/>
  <c r="O74" i="9"/>
  <c r="O71" i="9"/>
  <c r="N61" i="9"/>
  <c r="O55" i="9"/>
  <c r="O61" i="9"/>
  <c r="O67" i="9"/>
  <c r="M47" i="9"/>
  <c r="N51" i="9"/>
  <c r="N77" i="9" s="1"/>
  <c r="N34" i="9"/>
  <c r="N63" i="9"/>
  <c r="O51" i="9"/>
  <c r="O77" i="9" s="1"/>
  <c r="O34" i="9"/>
  <c r="O59" i="9"/>
  <c r="O53" i="9"/>
  <c r="O69" i="9"/>
  <c r="O72" i="9"/>
  <c r="M75" i="9"/>
  <c r="L65" i="9"/>
  <c r="L54" i="9"/>
  <c r="L58" i="9"/>
  <c r="L60" i="9"/>
  <c r="L62" i="9"/>
  <c r="L64" i="9"/>
  <c r="L66" i="9"/>
  <c r="L68" i="9"/>
  <c r="N75" i="9"/>
  <c r="N47" i="9"/>
  <c r="H9" i="9"/>
  <c r="C24" i="58"/>
  <c r="H8" i="4"/>
  <c r="E107" i="37"/>
  <c r="E107" i="29"/>
  <c r="E107" i="23"/>
  <c r="E107" i="13"/>
  <c r="D48" i="76"/>
  <c r="H31" i="18"/>
  <c r="K35" i="18"/>
  <c r="L35" i="18" s="1"/>
  <c r="D67" i="18"/>
  <c r="J67" i="18"/>
  <c r="B30" i="10"/>
  <c r="B36" i="58"/>
  <c r="I24" i="37"/>
  <c r="I24" i="33"/>
  <c r="I24" i="35"/>
  <c r="I24" i="23"/>
  <c r="I24" i="13"/>
  <c r="I24" i="18"/>
  <c r="I26" i="35"/>
  <c r="I29" i="37"/>
  <c r="I29" i="33"/>
  <c r="I29" i="35"/>
  <c r="I29" i="29"/>
  <c r="I29" i="23"/>
  <c r="I29" i="13"/>
  <c r="I29" i="18"/>
  <c r="I34" i="37"/>
  <c r="H121" i="18"/>
  <c r="I121" i="4"/>
  <c r="C10" i="10"/>
  <c r="E7" i="33"/>
  <c r="E67" i="33"/>
  <c r="E86" i="13"/>
  <c r="E121" i="33"/>
  <c r="J112" i="18"/>
  <c r="G112" i="4"/>
  <c r="D9" i="58"/>
  <c r="D13" i="58"/>
  <c r="B35" i="58"/>
  <c r="H11" i="4"/>
  <c r="I125" i="18"/>
  <c r="I134" i="26"/>
  <c r="K25" i="18"/>
  <c r="N137" i="8"/>
  <c r="E9" i="13"/>
  <c r="I25" i="4"/>
  <c r="D22" i="18"/>
  <c r="H25" i="18"/>
  <c r="K30" i="18"/>
  <c r="K78" i="18"/>
  <c r="E10" i="33"/>
  <c r="E10" i="37"/>
  <c r="E10" i="72"/>
  <c r="E10" i="29"/>
  <c r="E10" i="51"/>
  <c r="E10" i="25"/>
  <c r="E10" i="24"/>
  <c r="E10" i="22"/>
  <c r="E10" i="20"/>
  <c r="E10" i="16"/>
  <c r="E10" i="19"/>
  <c r="E10" i="13"/>
  <c r="E136" i="37"/>
  <c r="E136" i="34"/>
  <c r="E136" i="26"/>
  <c r="I109" i="37"/>
  <c r="I109" i="33"/>
  <c r="I109" i="35"/>
  <c r="I109" i="29"/>
  <c r="I109" i="27"/>
  <c r="I109" i="23"/>
  <c r="I109" i="18"/>
  <c r="I109" i="13"/>
  <c r="K32" i="18"/>
  <c r="K88" i="18"/>
  <c r="K113" i="18"/>
  <c r="I8" i="35"/>
  <c r="E22" i="33"/>
  <c r="E22" i="37"/>
  <c r="E22" i="29"/>
  <c r="E22" i="51"/>
  <c r="E22" i="24"/>
  <c r="E22" i="23"/>
  <c r="E22" i="20"/>
  <c r="E22" i="16"/>
  <c r="E22" i="18"/>
  <c r="E22" i="13"/>
  <c r="E23" i="33"/>
  <c r="E23" i="29"/>
  <c r="E23" i="23"/>
  <c r="E23" i="20"/>
  <c r="E23" i="13"/>
  <c r="E29" i="24"/>
  <c r="H106" i="4"/>
  <c r="I85" i="27"/>
  <c r="I85" i="23"/>
  <c r="I85" i="18"/>
  <c r="I85" i="20"/>
  <c r="I106" i="4"/>
  <c r="K31" i="18"/>
  <c r="K34" i="18"/>
  <c r="B24" i="58"/>
  <c r="D24" i="58" s="1"/>
  <c r="I9" i="35"/>
  <c r="E37" i="37"/>
  <c r="E37" i="13"/>
  <c r="E113" i="33"/>
  <c r="E113" i="20"/>
  <c r="E10" i="18"/>
  <c r="D28" i="18"/>
  <c r="K33" i="18"/>
  <c r="K121" i="18"/>
  <c r="L121" i="18" s="1"/>
  <c r="E108" i="37"/>
  <c r="E108" i="33"/>
  <c r="E108" i="29"/>
  <c r="E108" i="27"/>
  <c r="E108" i="23"/>
  <c r="E108" i="18"/>
  <c r="I110" i="4"/>
  <c r="I113" i="37"/>
  <c r="I113" i="33"/>
  <c r="I113" i="35"/>
  <c r="I113" i="29"/>
  <c r="I113" i="27"/>
  <c r="I113" i="23"/>
  <c r="I113" i="20"/>
  <c r="I113" i="18"/>
  <c r="J7" i="18"/>
  <c r="L7" i="18" s="1"/>
  <c r="J10" i="18"/>
  <c r="J12" i="18"/>
  <c r="L12" i="18" s="1"/>
  <c r="D29" i="18"/>
  <c r="D78" i="18"/>
  <c r="J99" i="18"/>
  <c r="L99" i="18" s="1"/>
  <c r="D108" i="18"/>
  <c r="K112" i="18"/>
  <c r="J78" i="13"/>
  <c r="L78" i="13" s="1"/>
  <c r="K88" i="13"/>
  <c r="K7" i="19"/>
  <c r="E134" i="26"/>
  <c r="C39" i="9"/>
  <c r="N40" i="8" s="1"/>
  <c r="K97" i="13"/>
  <c r="L97" i="13" s="1"/>
  <c r="J109" i="13"/>
  <c r="J117" i="13"/>
  <c r="L117" i="13" s="1"/>
  <c r="J125" i="13"/>
  <c r="E110" i="37"/>
  <c r="E110" i="33"/>
  <c r="D57" i="76"/>
  <c r="J22" i="18"/>
  <c r="L22" i="18" s="1"/>
  <c r="J24" i="18"/>
  <c r="L24" i="18" s="1"/>
  <c r="J26" i="18"/>
  <c r="L26" i="18" s="1"/>
  <c r="J28" i="18"/>
  <c r="D48" i="18"/>
  <c r="K7" i="13"/>
  <c r="J9" i="13"/>
  <c r="L9" i="13" s="1"/>
  <c r="J24" i="13"/>
  <c r="L24" i="13" s="1"/>
  <c r="D29" i="13"/>
  <c r="K30" i="13"/>
  <c r="J86" i="13"/>
  <c r="L86" i="13" s="1"/>
  <c r="D88" i="13"/>
  <c r="J99" i="13"/>
  <c r="L99" i="13" s="1"/>
  <c r="D55" i="77"/>
  <c r="J22" i="16"/>
  <c r="L22" i="16" s="1"/>
  <c r="J10" i="19"/>
  <c r="L10" i="19" s="1"/>
  <c r="I12" i="37"/>
  <c r="I12" i="33"/>
  <c r="I12" i="35"/>
  <c r="I12" i="29"/>
  <c r="I12" i="23"/>
  <c r="H115" i="4"/>
  <c r="J111" i="18"/>
  <c r="I12" i="13"/>
  <c r="J28" i="13"/>
  <c r="L28" i="13" s="1"/>
  <c r="J31" i="13"/>
  <c r="L31" i="13" s="1"/>
  <c r="E108" i="13"/>
  <c r="I113" i="13"/>
  <c r="E124" i="13"/>
  <c r="K11" i="18"/>
  <c r="J12" i="13"/>
  <c r="D48" i="13"/>
  <c r="D54" i="13"/>
  <c r="D9" i="19"/>
  <c r="D51" i="16"/>
  <c r="E114" i="37"/>
  <c r="E122" i="37"/>
  <c r="E122" i="33"/>
  <c r="K12" i="13"/>
  <c r="K119" i="13"/>
  <c r="J28" i="16"/>
  <c r="D28" i="16"/>
  <c r="I12" i="18"/>
  <c r="K10" i="13"/>
  <c r="J107" i="13"/>
  <c r="J29" i="16"/>
  <c r="D7" i="20"/>
  <c r="K23" i="20"/>
  <c r="H26" i="20"/>
  <c r="H40" i="9"/>
  <c r="N90" i="8" s="1"/>
  <c r="D79" i="20"/>
  <c r="K10" i="20"/>
  <c r="D9" i="20"/>
  <c r="D28" i="20"/>
  <c r="D30" i="20"/>
  <c r="L25" i="20"/>
  <c r="J29" i="20"/>
  <c r="H25" i="20"/>
  <c r="K25" i="23"/>
  <c r="K33" i="23"/>
  <c r="J119" i="23"/>
  <c r="J22" i="23"/>
  <c r="L22" i="23" s="1"/>
  <c r="J30" i="23"/>
  <c r="J86" i="23"/>
  <c r="J23" i="23"/>
  <c r="L23" i="23" s="1"/>
  <c r="K26" i="23"/>
  <c r="J31" i="23"/>
  <c r="K34" i="23"/>
  <c r="L34" i="23" s="1"/>
  <c r="K35" i="23"/>
  <c r="J9" i="22"/>
  <c r="L9" i="22" s="1"/>
  <c r="J32" i="23"/>
  <c r="J78" i="23"/>
  <c r="L78" i="23" s="1"/>
  <c r="J25" i="23"/>
  <c r="K28" i="23"/>
  <c r="J33" i="23"/>
  <c r="J67" i="23"/>
  <c r="L67" i="23" s="1"/>
  <c r="D78" i="23"/>
  <c r="D48" i="22"/>
  <c r="D67" i="23"/>
  <c r="D88" i="23"/>
  <c r="K98" i="23"/>
  <c r="K86" i="23"/>
  <c r="H22" i="23"/>
  <c r="J28" i="23"/>
  <c r="K107" i="23"/>
  <c r="L107" i="23" s="1"/>
  <c r="K109" i="23"/>
  <c r="K113" i="23"/>
  <c r="K117" i="23"/>
  <c r="K121" i="23"/>
  <c r="K125" i="23"/>
  <c r="E100" i="4"/>
  <c r="D23" i="23"/>
  <c r="J9" i="24"/>
  <c r="L9" i="24" s="1"/>
  <c r="D29" i="24"/>
  <c r="J24" i="24"/>
  <c r="L24" i="24" s="1"/>
  <c r="J99" i="23"/>
  <c r="L99" i="23" s="1"/>
  <c r="J108" i="23"/>
  <c r="J112" i="23"/>
  <c r="L112" i="23" s="1"/>
  <c r="J116" i="23"/>
  <c r="J120" i="23"/>
  <c r="L120" i="23" s="1"/>
  <c r="J7" i="25"/>
  <c r="J28" i="24"/>
  <c r="L28" i="24" s="1"/>
  <c r="K7" i="25"/>
  <c r="J11" i="23"/>
  <c r="L11" i="23" s="1"/>
  <c r="D99" i="23"/>
  <c r="D112" i="23"/>
  <c r="D120" i="23"/>
  <c r="J7" i="24"/>
  <c r="L7" i="24" s="1"/>
  <c r="J10" i="24"/>
  <c r="L10" i="24" s="1"/>
  <c r="J9" i="41"/>
  <c r="L9" i="41" s="1"/>
  <c r="K10" i="25"/>
  <c r="D136" i="26"/>
  <c r="F69" i="4"/>
  <c r="J88" i="27"/>
  <c r="B87" i="4"/>
  <c r="D48" i="26"/>
  <c r="K137" i="26"/>
  <c r="D67" i="27"/>
  <c r="J99" i="27"/>
  <c r="L99" i="27" s="1"/>
  <c r="D99" i="27"/>
  <c r="C47" i="4"/>
  <c r="C53" i="4"/>
  <c r="C89" i="4"/>
  <c r="K135" i="26"/>
  <c r="E111" i="4"/>
  <c r="D78" i="27"/>
  <c r="J136" i="26"/>
  <c r="L136" i="26" s="1"/>
  <c r="J10" i="51"/>
  <c r="L10" i="51" s="1"/>
  <c r="D29" i="51"/>
  <c r="F80" i="4"/>
  <c r="D22" i="51"/>
  <c r="C100" i="4"/>
  <c r="J112" i="27"/>
  <c r="B111" i="4"/>
  <c r="B119" i="4"/>
  <c r="K23" i="29"/>
  <c r="J34" i="29"/>
  <c r="J35" i="29"/>
  <c r="L35" i="29" s="1"/>
  <c r="C43" i="9"/>
  <c r="J76" i="29"/>
  <c r="D22" i="29"/>
  <c r="H23" i="29"/>
  <c r="J30" i="29"/>
  <c r="L30" i="29" s="1"/>
  <c r="J23" i="29"/>
  <c r="K25" i="29"/>
  <c r="D78" i="29"/>
  <c r="D9" i="29"/>
  <c r="J9" i="29"/>
  <c r="L9" i="29" s="1"/>
  <c r="D24" i="29"/>
  <c r="H25" i="29"/>
  <c r="J29" i="29"/>
  <c r="L29" i="29" s="1"/>
  <c r="J25" i="29"/>
  <c r="J28" i="29"/>
  <c r="L28" i="29" s="1"/>
  <c r="J31" i="29"/>
  <c r="L31" i="29" s="1"/>
  <c r="D67" i="29"/>
  <c r="J32" i="29"/>
  <c r="J33" i="29"/>
  <c r="L33" i="29" s="1"/>
  <c r="J78" i="29"/>
  <c r="K88" i="29"/>
  <c r="K99" i="29"/>
  <c r="K112" i="29"/>
  <c r="J125" i="29"/>
  <c r="L125" i="29" s="1"/>
  <c r="D32" i="29"/>
  <c r="D34" i="29"/>
  <c r="D86" i="29"/>
  <c r="D88" i="29"/>
  <c r="D97" i="29"/>
  <c r="D99" i="29"/>
  <c r="D108" i="29"/>
  <c r="D112" i="29"/>
  <c r="J107" i="29"/>
  <c r="L107" i="29" s="1"/>
  <c r="J109" i="29"/>
  <c r="J111" i="29"/>
  <c r="J113" i="29"/>
  <c r="H121" i="29"/>
  <c r="J120" i="29"/>
  <c r="L120" i="29" s="1"/>
  <c r="D134" i="34"/>
  <c r="J33" i="35"/>
  <c r="L33" i="35" s="1"/>
  <c r="J135" i="34"/>
  <c r="L135" i="34" s="1"/>
  <c r="J24" i="35"/>
  <c r="L24" i="35" s="1"/>
  <c r="J29" i="35"/>
  <c r="L29" i="35" s="1"/>
  <c r="J30" i="35"/>
  <c r="L30" i="35" s="1"/>
  <c r="J35" i="35"/>
  <c r="L35" i="35" s="1"/>
  <c r="J136" i="34"/>
  <c r="L136" i="34" s="1"/>
  <c r="J10" i="72"/>
  <c r="L10" i="72" s="1"/>
  <c r="J9" i="35"/>
  <c r="L9" i="35" s="1"/>
  <c r="K134" i="34"/>
  <c r="J137" i="34"/>
  <c r="L137" i="34" s="1"/>
  <c r="D9" i="72"/>
  <c r="J22" i="35"/>
  <c r="L22" i="35" s="1"/>
  <c r="J7" i="33"/>
  <c r="K111" i="35"/>
  <c r="H23" i="33"/>
  <c r="K86" i="33"/>
  <c r="K110" i="33"/>
  <c r="K112" i="33"/>
  <c r="J25" i="33"/>
  <c r="D35" i="33"/>
  <c r="D76" i="33"/>
  <c r="K96" i="33"/>
  <c r="L96" i="33" s="1"/>
  <c r="K117" i="33"/>
  <c r="K7" i="35"/>
  <c r="K10" i="35"/>
  <c r="K12" i="35"/>
  <c r="J24" i="33"/>
  <c r="L24" i="33" s="1"/>
  <c r="K111" i="33"/>
  <c r="K116" i="33"/>
  <c r="K121" i="33"/>
  <c r="D9" i="33"/>
  <c r="J11" i="33"/>
  <c r="D31" i="33"/>
  <c r="H33" i="33"/>
  <c r="K75" i="33"/>
  <c r="K89" i="33"/>
  <c r="K97" i="33"/>
  <c r="K120" i="33"/>
  <c r="K31" i="37"/>
  <c r="H31" i="37"/>
  <c r="H31" i="33"/>
  <c r="K122" i="33"/>
  <c r="K24" i="37"/>
  <c r="J26" i="37"/>
  <c r="L26" i="37" s="1"/>
  <c r="K125" i="33"/>
  <c r="L125" i="33" s="1"/>
  <c r="J107" i="35"/>
  <c r="D22" i="33"/>
  <c r="J32" i="33"/>
  <c r="L32" i="33" s="1"/>
  <c r="J11" i="37"/>
  <c r="L11" i="37" s="1"/>
  <c r="J24" i="37"/>
  <c r="D29" i="37"/>
  <c r="J75" i="33"/>
  <c r="J86" i="33"/>
  <c r="J88" i="33"/>
  <c r="J97" i="33"/>
  <c r="J99" i="33"/>
  <c r="L99" i="33" s="1"/>
  <c r="J108" i="33"/>
  <c r="J110" i="33"/>
  <c r="J112" i="33"/>
  <c r="J114" i="33"/>
  <c r="J116" i="33"/>
  <c r="J120" i="33"/>
  <c r="J122" i="33"/>
  <c r="D8" i="37"/>
  <c r="D48" i="37"/>
  <c r="J31" i="37"/>
  <c r="K35" i="37"/>
  <c r="K7" i="37"/>
  <c r="L7" i="37" s="1"/>
  <c r="K10" i="37"/>
  <c r="K12" i="37"/>
  <c r="D36" i="37"/>
  <c r="J97" i="37"/>
  <c r="J78" i="37"/>
  <c r="D88" i="37"/>
  <c r="K97" i="37"/>
  <c r="H109" i="37"/>
  <c r="D112" i="37"/>
  <c r="J114" i="37"/>
  <c r="L114" i="37" s="1"/>
  <c r="H117" i="37"/>
  <c r="D120" i="37"/>
  <c r="J122" i="37"/>
  <c r="L122" i="37" s="1"/>
  <c r="H125" i="37"/>
  <c r="K78" i="37"/>
  <c r="J108" i="37"/>
  <c r="L108" i="37" s="1"/>
  <c r="J109" i="37"/>
  <c r="L109" i="37" s="1"/>
  <c r="J116" i="37"/>
  <c r="L116" i="37" s="1"/>
  <c r="J117" i="37"/>
  <c r="L117" i="37" s="1"/>
  <c r="J124" i="37"/>
  <c r="L124" i="37" s="1"/>
  <c r="J125" i="37"/>
  <c r="L125" i="37" s="1"/>
  <c r="D54" i="37"/>
  <c r="J76" i="37"/>
  <c r="L76" i="37" s="1"/>
  <c r="H96" i="37"/>
  <c r="D99" i="37"/>
  <c r="J134" i="37"/>
  <c r="L134" i="37" s="1"/>
  <c r="J135" i="37"/>
  <c r="L135" i="37" s="1"/>
  <c r="J112" i="37"/>
  <c r="L112" i="37" s="1"/>
  <c r="J120" i="37"/>
  <c r="L120" i="37" s="1"/>
  <c r="C32" i="9"/>
  <c r="AS14" i="65"/>
  <c r="AP14" i="65"/>
  <c r="I41" i="65"/>
  <c r="I43" i="65" s="1"/>
  <c r="I45" i="65" s="1"/>
  <c r="K41" i="65"/>
  <c r="AQ19" i="65"/>
  <c r="AP57" i="65"/>
  <c r="AO29" i="65"/>
  <c r="K7" i="74"/>
  <c r="AO21" i="65"/>
  <c r="AN21" i="65"/>
  <c r="C29" i="65"/>
  <c r="C34" i="65" s="1"/>
  <c r="U34" i="65"/>
  <c r="E57" i="65"/>
  <c r="AO57" i="65" s="1"/>
  <c r="AK32" i="66"/>
  <c r="AR32" i="66"/>
  <c r="T46" i="68"/>
  <c r="V44" i="66"/>
  <c r="E34" i="65"/>
  <c r="N34" i="65"/>
  <c r="AF34" i="65"/>
  <c r="AO40" i="65"/>
  <c r="AQ40" i="65" s="1"/>
  <c r="R46" i="68"/>
  <c r="S46" i="68" s="1"/>
  <c r="AJ46" i="68"/>
  <c r="AK20" i="66"/>
  <c r="J14" i="65"/>
  <c r="AB14" i="65"/>
  <c r="P21" i="65"/>
  <c r="AH21" i="65"/>
  <c r="AP21" i="65"/>
  <c r="O34" i="65"/>
  <c r="AG34" i="65"/>
  <c r="AL46" i="68"/>
  <c r="AN20" i="66"/>
  <c r="S14" i="65"/>
  <c r="AK14" i="65"/>
  <c r="AO33" i="65"/>
  <c r="AQ33" i="65" s="1"/>
  <c r="H34" i="65"/>
  <c r="Z34" i="65"/>
  <c r="AT13" i="66"/>
  <c r="C46" i="68"/>
  <c r="AP20" i="66"/>
  <c r="AS20" i="66"/>
  <c r="AP32" i="66"/>
  <c r="AS32" i="66"/>
  <c r="AQ43" i="66"/>
  <c r="AO11" i="65"/>
  <c r="AQ11" i="65" s="1"/>
  <c r="AR21" i="65"/>
  <c r="P29" i="65"/>
  <c r="Q34" i="65"/>
  <c r="AA34" i="65"/>
  <c r="AT14" i="66"/>
  <c r="AO20" i="66"/>
  <c r="AO32" i="66"/>
  <c r="AB44" i="66"/>
  <c r="AK56" i="66"/>
  <c r="AN70" i="66"/>
  <c r="D20" i="67"/>
  <c r="M14" i="65"/>
  <c r="AE14" i="65"/>
  <c r="S21" i="65"/>
  <c r="AK21" i="65"/>
  <c r="AB29" i="65"/>
  <c r="AR20" i="66"/>
  <c r="AT22" i="66"/>
  <c r="AB70" i="66"/>
  <c r="AC34" i="65"/>
  <c r="AN44" i="65"/>
  <c r="P44" i="66"/>
  <c r="AO70" i="66"/>
  <c r="J70" i="66"/>
  <c r="AR70" i="66"/>
  <c r="D11" i="65"/>
  <c r="D21" i="65"/>
  <c r="M21" i="65"/>
  <c r="L34" i="65"/>
  <c r="M34" i="65" s="1"/>
  <c r="T34" i="65"/>
  <c r="AD34" i="65"/>
  <c r="B46" i="68"/>
  <c r="AR44" i="66"/>
  <c r="D44" i="66"/>
  <c r="AO44" i="66"/>
  <c r="D56" i="66"/>
  <c r="AR56" i="66"/>
  <c r="AO56" i="66"/>
  <c r="O46" i="68"/>
  <c r="AI46" i="68"/>
  <c r="AS44" i="66"/>
  <c r="J56" i="66"/>
  <c r="AB56" i="66"/>
  <c r="AN56" i="66"/>
  <c r="AR82" i="66"/>
  <c r="AB106" i="66"/>
  <c r="AN106" i="66"/>
  <c r="AS40" i="68"/>
  <c r="AP40" i="68"/>
  <c r="AP14" i="67"/>
  <c r="X46" i="68"/>
  <c r="Y46" i="68" s="1"/>
  <c r="AK56" i="67"/>
  <c r="AK80" i="67"/>
  <c r="S92" i="67"/>
  <c r="AT116" i="67"/>
  <c r="AP46" i="66"/>
  <c r="AQ46" i="66" s="1"/>
  <c r="AS70" i="66"/>
  <c r="AS82" i="66"/>
  <c r="AP83" i="66"/>
  <c r="AQ83" i="66" s="1"/>
  <c r="AO94" i="66"/>
  <c r="AO106" i="66"/>
  <c r="D14" i="67"/>
  <c r="E46" i="68"/>
  <c r="AP21" i="67"/>
  <c r="AQ21" i="67" s="1"/>
  <c r="D21" i="67"/>
  <c r="AT21" i="67"/>
  <c r="AQ46" i="67"/>
  <c r="AS50" i="67"/>
  <c r="AT50" i="67" s="1"/>
  <c r="AP50" i="67"/>
  <c r="AQ50" i="67" s="1"/>
  <c r="D50" i="67"/>
  <c r="U46" i="68"/>
  <c r="M46" i="66"/>
  <c r="AP56" i="66"/>
  <c r="AP94" i="66"/>
  <c r="AS106" i="66"/>
  <c r="AP106" i="66"/>
  <c r="AT107" i="66"/>
  <c r="AR12" i="67"/>
  <c r="AT12" i="67" s="1"/>
  <c r="H40" i="68"/>
  <c r="J40" i="68" s="1"/>
  <c r="J14" i="67"/>
  <c r="AS20" i="67"/>
  <c r="AP20" i="67"/>
  <c r="D56" i="67"/>
  <c r="AP68" i="67"/>
  <c r="AS47" i="68"/>
  <c r="AP47" i="68"/>
  <c r="J12" i="67"/>
  <c r="AQ13" i="67"/>
  <c r="H20" i="67"/>
  <c r="B48" i="68"/>
  <c r="AO22" i="67"/>
  <c r="AQ22" i="67" s="1"/>
  <c r="AR22" i="67"/>
  <c r="AT22" i="67" s="1"/>
  <c r="J56" i="67"/>
  <c r="AP56" i="67"/>
  <c r="AQ56" i="67" s="1"/>
  <c r="D58" i="67"/>
  <c r="AS68" i="67"/>
  <c r="AT77" i="67"/>
  <c r="AT89" i="67"/>
  <c r="Z46" i="68"/>
  <c r="AM46" i="68"/>
  <c r="AS46" i="66"/>
  <c r="AT46" i="66" s="1"/>
  <c r="D82" i="66"/>
  <c r="D83" i="66"/>
  <c r="AS83" i="66"/>
  <c r="AT83" i="66" s="1"/>
  <c r="AR94" i="66"/>
  <c r="AK106" i="66"/>
  <c r="AR106" i="66"/>
  <c r="H42" i="68"/>
  <c r="AR16" i="67"/>
  <c r="AT16" i="67" s="1"/>
  <c r="J16" i="67"/>
  <c r="AQ37" i="67"/>
  <c r="AO44" i="67"/>
  <c r="AK44" i="67"/>
  <c r="AR44" i="67"/>
  <c r="AS56" i="67"/>
  <c r="AS58" i="67"/>
  <c r="AT58" i="67" s="1"/>
  <c r="AP58" i="67"/>
  <c r="I46" i="68"/>
  <c r="AA46" i="68"/>
  <c r="AP44" i="66"/>
  <c r="AS56" i="66"/>
  <c r="AO82" i="66"/>
  <c r="AS94" i="66"/>
  <c r="AB20" i="67"/>
  <c r="AP70" i="66"/>
  <c r="AP82" i="66"/>
  <c r="C43" i="68"/>
  <c r="D43" i="68" s="1"/>
  <c r="AS17" i="67"/>
  <c r="AT17" i="67" s="1"/>
  <c r="AQ17" i="67"/>
  <c r="AP32" i="67"/>
  <c r="AO92" i="67"/>
  <c r="L46" i="68"/>
  <c r="M46" i="68" s="1"/>
  <c r="AG46" i="68"/>
  <c r="B38" i="68"/>
  <c r="AO12" i="67"/>
  <c r="AQ12" i="67" s="1"/>
  <c r="B40" i="68"/>
  <c r="AR14" i="67"/>
  <c r="AT14" i="67" s="1"/>
  <c r="AO14" i="67"/>
  <c r="AP44" i="67"/>
  <c r="AQ61" i="67"/>
  <c r="AO68" i="67"/>
  <c r="AK68" i="67"/>
  <c r="AR68" i="67"/>
  <c r="AS104" i="67"/>
  <c r="AT104" i="67" s="1"/>
  <c r="AS130" i="67"/>
  <c r="AS20" i="68"/>
  <c r="D32" i="68"/>
  <c r="AO32" i="68"/>
  <c r="AO58" i="67"/>
  <c r="AR92" i="67"/>
  <c r="D104" i="67"/>
  <c r="AK104" i="67"/>
  <c r="AP116" i="67"/>
  <c r="AQ116" i="67" s="1"/>
  <c r="AO142" i="67"/>
  <c r="K29" i="62"/>
  <c r="M27" i="62"/>
  <c r="AR15" i="67"/>
  <c r="AT15" i="67" s="1"/>
  <c r="AO43" i="68"/>
  <c r="AR43" i="68"/>
  <c r="AD46" i="68"/>
  <c r="AE46" i="68" s="1"/>
  <c r="J22" i="67"/>
  <c r="AR56" i="67"/>
  <c r="AP80" i="67"/>
  <c r="AS92" i="67"/>
  <c r="AP142" i="67"/>
  <c r="J20" i="68"/>
  <c r="AK20" i="68"/>
  <c r="J32" i="68"/>
  <c r="Y38" i="68"/>
  <c r="AN130" i="67"/>
  <c r="AN20" i="68"/>
  <c r="K22" i="68"/>
  <c r="AP32" i="68"/>
  <c r="M20" i="68"/>
  <c r="Y20" i="68"/>
  <c r="AS38" i="68"/>
  <c r="AT45" i="68"/>
  <c r="C29" i="62"/>
  <c r="D27" i="62"/>
  <c r="P29" i="62"/>
  <c r="AH29" i="62"/>
  <c r="AS80" i="67"/>
  <c r="AN92" i="67"/>
  <c r="AP104" i="67"/>
  <c r="AQ104" i="67" s="1"/>
  <c r="AP130" i="67"/>
  <c r="AS142" i="67"/>
  <c r="AO20" i="68"/>
  <c r="AB32" i="68"/>
  <c r="AO39" i="68"/>
  <c r="AO41" i="68"/>
  <c r="AP20" i="68"/>
  <c r="AR32" i="68"/>
  <c r="AR34" i="68"/>
  <c r="AO34" i="68"/>
  <c r="AR39" i="68"/>
  <c r="AT39" i="68" s="1"/>
  <c r="J39" i="68"/>
  <c r="AO15" i="67"/>
  <c r="AQ15" i="67" s="1"/>
  <c r="AR47" i="68"/>
  <c r="AT47" i="68" s="1"/>
  <c r="D47" i="68"/>
  <c r="AO47" i="68"/>
  <c r="C48" i="68"/>
  <c r="AP92" i="67"/>
  <c r="AN116" i="67"/>
  <c r="AE130" i="67"/>
  <c r="AR130" i="67"/>
  <c r="AR20" i="68"/>
  <c r="D41" i="68"/>
  <c r="AR41" i="68"/>
  <c r="AS44" i="68"/>
  <c r="AT44" i="68" s="1"/>
  <c r="R27" i="62"/>
  <c r="R29" i="62" s="1"/>
  <c r="G20" i="62"/>
  <c r="AS28" i="62"/>
  <c r="C45" i="62"/>
  <c r="AS35" i="62"/>
  <c r="AE35" i="62"/>
  <c r="B45" i="62"/>
  <c r="D39" i="62"/>
  <c r="AN45" i="62"/>
  <c r="AC91" i="62"/>
  <c r="AE79" i="62"/>
  <c r="AS41" i="68"/>
  <c r="AO45" i="68"/>
  <c r="B29" i="62"/>
  <c r="G35" i="62"/>
  <c r="E45" i="62"/>
  <c r="AT36" i="62"/>
  <c r="AS39" i="62"/>
  <c r="AG62" i="62"/>
  <c r="AP45" i="68"/>
  <c r="J27" i="62"/>
  <c r="R45" i="62"/>
  <c r="S35" i="62"/>
  <c r="C60" i="62"/>
  <c r="K91" i="62"/>
  <c r="M79" i="62"/>
  <c r="L34" i="68"/>
  <c r="M34" i="68" s="1"/>
  <c r="AN16" i="62"/>
  <c r="AE20" i="62"/>
  <c r="AR20" i="62"/>
  <c r="AT20" i="62" s="1"/>
  <c r="AD45" i="62"/>
  <c r="AS34" i="62"/>
  <c r="AE34" i="62"/>
  <c r="J35" i="62"/>
  <c r="H45" i="62"/>
  <c r="AR35" i="62"/>
  <c r="AR39" i="62"/>
  <c r="AT76" i="62"/>
  <c r="C91" i="62"/>
  <c r="AS79" i="62"/>
  <c r="AP39" i="68"/>
  <c r="AO44" i="68"/>
  <c r="AQ44" i="68" s="1"/>
  <c r="D45" i="68"/>
  <c r="S29" i="62"/>
  <c r="I62" i="62"/>
  <c r="AK35" i="62"/>
  <c r="AT52" i="62"/>
  <c r="P91" i="62"/>
  <c r="AT14" i="62"/>
  <c r="AT15" i="62"/>
  <c r="AR22" i="62"/>
  <c r="AN22" i="62"/>
  <c r="H29" i="62"/>
  <c r="T64" i="62"/>
  <c r="V29" i="62"/>
  <c r="K45" i="62"/>
  <c r="Z45" i="62"/>
  <c r="AB35" i="62"/>
  <c r="J60" i="62"/>
  <c r="AF62" i="62"/>
  <c r="AF64" i="62" s="1"/>
  <c r="AH60" i="62"/>
  <c r="AS16" i="62"/>
  <c r="AT16" i="62" s="1"/>
  <c r="AA45" i="62"/>
  <c r="L45" i="62"/>
  <c r="AS54" i="62"/>
  <c r="AN91" i="62"/>
  <c r="D44" i="68"/>
  <c r="P20" i="62"/>
  <c r="Z27" i="62"/>
  <c r="AB20" i="62"/>
  <c r="P27" i="62"/>
  <c r="AD27" i="62"/>
  <c r="AD29" i="62" s="1"/>
  <c r="AR28" i="62"/>
  <c r="N45" i="62"/>
  <c r="M39" i="62"/>
  <c r="AT49" i="62"/>
  <c r="S11" i="69"/>
  <c r="Q47" i="69"/>
  <c r="AJ47" i="69"/>
  <c r="AS50" i="62"/>
  <c r="D54" i="62"/>
  <c r="G60" i="62"/>
  <c r="AB60" i="62"/>
  <c r="D79" i="62"/>
  <c r="AN79" i="62"/>
  <c r="I91" i="62"/>
  <c r="Q91" i="62"/>
  <c r="AA91" i="62"/>
  <c r="J11" i="69"/>
  <c r="Q60" i="62"/>
  <c r="AR79" i="62"/>
  <c r="B91" i="62"/>
  <c r="R91" i="62"/>
  <c r="AK91" i="62"/>
  <c r="O45" i="62"/>
  <c r="R60" i="62"/>
  <c r="U47" i="69"/>
  <c r="B23" i="69"/>
  <c r="AL27" i="69"/>
  <c r="C31" i="69"/>
  <c r="AM31" i="69" s="1"/>
  <c r="AN31" i="69" s="1"/>
  <c r="C51" i="69"/>
  <c r="AM51" i="69" s="1"/>
  <c r="M23" i="69"/>
  <c r="AB54" i="62"/>
  <c r="B60" i="62"/>
  <c r="L91" i="62"/>
  <c r="C49" i="69"/>
  <c r="AM49" i="69" s="1"/>
  <c r="C11" i="69"/>
  <c r="D11" i="69" s="1"/>
  <c r="C27" i="69"/>
  <c r="AM15" i="69"/>
  <c r="AN15" i="69" s="1"/>
  <c r="P39" i="62"/>
  <c r="Q45" i="62"/>
  <c r="AC45" i="62"/>
  <c r="P79" i="62"/>
  <c r="E91" i="62"/>
  <c r="U91" i="62"/>
  <c r="AF91" i="62"/>
  <c r="AG91" i="62"/>
  <c r="AF47" i="69"/>
  <c r="AH11" i="69"/>
  <c r="S23" i="69"/>
  <c r="AI38" i="70"/>
  <c r="AL11" i="69"/>
  <c r="G11" i="69"/>
  <c r="AJ36" i="70"/>
  <c r="AK12" i="69"/>
  <c r="AK48" i="69" s="1"/>
  <c r="J19" i="69"/>
  <c r="AK19" i="69"/>
  <c r="AK51" i="69" s="1"/>
  <c r="P23" i="69"/>
  <c r="AE35" i="69"/>
  <c r="AL35" i="69"/>
  <c r="B47" i="69"/>
  <c r="V49" i="69"/>
  <c r="AH51" i="69"/>
  <c r="AM52" i="69"/>
  <c r="AJ40" i="70" s="1"/>
  <c r="Y54" i="69"/>
  <c r="I11" i="70"/>
  <c r="J11" i="70" s="1"/>
  <c r="AF39" i="70"/>
  <c r="AG21" i="70"/>
  <c r="P31" i="70"/>
  <c r="AH33" i="70"/>
  <c r="X35" i="70"/>
  <c r="AB36" i="70"/>
  <c r="AH38" i="70"/>
  <c r="AI40" i="70"/>
  <c r="AL12" i="69"/>
  <c r="AN12" i="69" s="1"/>
  <c r="AL19" i="69"/>
  <c r="AN19" i="69" s="1"/>
  <c r="AL41" i="69"/>
  <c r="AH41" i="69"/>
  <c r="R47" i="69"/>
  <c r="Y50" i="69"/>
  <c r="G51" i="69"/>
  <c r="AL54" i="69"/>
  <c r="P54" i="69"/>
  <c r="S16" i="70"/>
  <c r="AF31" i="70"/>
  <c r="D31" i="70"/>
  <c r="N35" i="70"/>
  <c r="AB35" i="70"/>
  <c r="Z47" i="69"/>
  <c r="U35" i="70"/>
  <c r="AC36" i="70"/>
  <c r="AE36" i="70" s="1"/>
  <c r="D41" i="69"/>
  <c r="B49" i="69"/>
  <c r="AH49" i="69"/>
  <c r="AM50" i="69"/>
  <c r="AJ38" i="70" s="1"/>
  <c r="P53" i="69"/>
  <c r="D54" i="69"/>
  <c r="P11" i="70"/>
  <c r="V11" i="70"/>
  <c r="AF12" i="70"/>
  <c r="AH12" i="70" s="1"/>
  <c r="AG16" i="70"/>
  <c r="AE18" i="70"/>
  <c r="S26" i="70"/>
  <c r="AH26" i="70"/>
  <c r="S35" i="70"/>
  <c r="AD35" i="70"/>
  <c r="I39" i="70"/>
  <c r="AG39" i="70" s="1"/>
  <c r="AJ39" i="70" s="1"/>
  <c r="J12" i="69"/>
  <c r="J15" i="69"/>
  <c r="I23" i="69"/>
  <c r="AM24" i="69"/>
  <c r="AN24" i="69" s="1"/>
  <c r="AM35" i="69"/>
  <c r="J38" i="69"/>
  <c r="AL38" i="69"/>
  <c r="AN38" i="69" s="1"/>
  <c r="AK41" i="69"/>
  <c r="K47" i="69"/>
  <c r="AD47" i="69"/>
  <c r="D50" i="69"/>
  <c r="AL53" i="69"/>
  <c r="AN53" i="69" s="1"/>
  <c r="AF37" i="70"/>
  <c r="AA47" i="69"/>
  <c r="D51" i="69"/>
  <c r="D35" i="69"/>
  <c r="I41" i="69"/>
  <c r="Y41" i="69"/>
  <c r="AM43" i="69"/>
  <c r="AN43" i="69" s="1"/>
  <c r="L47" i="69"/>
  <c r="W47" i="69"/>
  <c r="D48" i="69"/>
  <c r="AL48" i="69"/>
  <c r="AN48" i="69" s="1"/>
  <c r="AH48" i="69"/>
  <c r="J49" i="69"/>
  <c r="J50" i="69"/>
  <c r="AB54" i="69"/>
  <c r="B35" i="70"/>
  <c r="D11" i="70"/>
  <c r="J14" i="70"/>
  <c r="AF14" i="70"/>
  <c r="AH14" i="70" s="1"/>
  <c r="P16" i="70"/>
  <c r="J31" i="70"/>
  <c r="X47" i="69"/>
  <c r="J53" i="69"/>
  <c r="E35" i="70"/>
  <c r="AK52" i="69"/>
  <c r="J35" i="69"/>
  <c r="S35" i="69"/>
  <c r="AB35" i="69"/>
  <c r="AK35" i="69"/>
  <c r="O47" i="69"/>
  <c r="AG47" i="69"/>
  <c r="AF16" i="70"/>
  <c r="O35" i="70"/>
  <c r="AQ14" i="67" l="1"/>
  <c r="L28" i="20"/>
  <c r="E80" i="4"/>
  <c r="C66" i="4"/>
  <c r="C68" i="4"/>
  <c r="B77" i="4"/>
  <c r="B79" i="4"/>
  <c r="E83" i="4"/>
  <c r="B66" i="4"/>
  <c r="B68" i="4"/>
  <c r="C119" i="4"/>
  <c r="B98" i="4"/>
  <c r="B100" i="4"/>
  <c r="E69" i="4"/>
  <c r="C77" i="4"/>
  <c r="C79" i="4"/>
  <c r="E93" i="4"/>
  <c r="F104" i="4"/>
  <c r="E72" i="4"/>
  <c r="N138" i="8"/>
  <c r="F111" i="4"/>
  <c r="B56" i="4"/>
  <c r="B53" i="4"/>
  <c r="D112" i="4"/>
  <c r="I7" i="29"/>
  <c r="I96" i="33"/>
  <c r="E28" i="23"/>
  <c r="I7" i="35"/>
  <c r="I96" i="37"/>
  <c r="I34" i="18"/>
  <c r="I34" i="29"/>
  <c r="I25" i="23"/>
  <c r="E28" i="24"/>
  <c r="I7" i="33"/>
  <c r="I34" i="35"/>
  <c r="I25" i="37"/>
  <c r="C9" i="10"/>
  <c r="K9" i="10" s="1"/>
  <c r="I7" i="37"/>
  <c r="I34" i="13"/>
  <c r="I7" i="13"/>
  <c r="I34" i="23"/>
  <c r="I34" i="33"/>
  <c r="M109" i="23"/>
  <c r="D88" i="4"/>
  <c r="I7" i="18"/>
  <c r="E109" i="37"/>
  <c r="E7" i="18"/>
  <c r="I95" i="27"/>
  <c r="I7" i="23"/>
  <c r="E29" i="33"/>
  <c r="D135" i="4"/>
  <c r="E55" i="77"/>
  <c r="E55" i="37"/>
  <c r="D57" i="4"/>
  <c r="G53" i="10"/>
  <c r="I124" i="18"/>
  <c r="I124" i="37"/>
  <c r="M37" i="37"/>
  <c r="D23" i="4"/>
  <c r="G10" i="4"/>
  <c r="G11" i="4"/>
  <c r="I11" i="18"/>
  <c r="I12" i="4"/>
  <c r="M12" i="33" s="1"/>
  <c r="I124" i="4"/>
  <c r="M124" i="37" s="1"/>
  <c r="E28" i="13"/>
  <c r="K21" i="10"/>
  <c r="I28" i="4"/>
  <c r="M28" i="37" s="1"/>
  <c r="E28" i="51"/>
  <c r="I22" i="35"/>
  <c r="E28" i="18"/>
  <c r="E28" i="29"/>
  <c r="E28" i="20"/>
  <c r="E28" i="16"/>
  <c r="E28" i="25"/>
  <c r="E29" i="37"/>
  <c r="E9" i="16"/>
  <c r="E9" i="29"/>
  <c r="I26" i="18"/>
  <c r="E29" i="51"/>
  <c r="E9" i="20"/>
  <c r="I26" i="20"/>
  <c r="I26" i="33"/>
  <c r="I33" i="4"/>
  <c r="E29" i="18"/>
  <c r="E9" i="24"/>
  <c r="E9" i="72"/>
  <c r="I26" i="23"/>
  <c r="I26" i="37"/>
  <c r="E29" i="13"/>
  <c r="E9" i="25"/>
  <c r="E9" i="33"/>
  <c r="E29" i="16"/>
  <c r="E29" i="29"/>
  <c r="E9" i="18"/>
  <c r="E9" i="37"/>
  <c r="G33" i="4"/>
  <c r="E29" i="20"/>
  <c r="E9" i="19"/>
  <c r="E9" i="51"/>
  <c r="I29" i="4"/>
  <c r="M29" i="13" s="1"/>
  <c r="E29" i="23"/>
  <c r="E9" i="22"/>
  <c r="G26" i="4"/>
  <c r="I25" i="33"/>
  <c r="I25" i="29"/>
  <c r="G25" i="4"/>
  <c r="E25" i="29"/>
  <c r="I25" i="13"/>
  <c r="E25" i="13"/>
  <c r="I25" i="18"/>
  <c r="E25" i="20"/>
  <c r="I25" i="20"/>
  <c r="D137" i="4"/>
  <c r="H136" i="4"/>
  <c r="E54" i="40"/>
  <c r="G84" i="4"/>
  <c r="I136" i="4"/>
  <c r="I136" i="26"/>
  <c r="F44" i="10"/>
  <c r="E57" i="76"/>
  <c r="E57" i="22"/>
  <c r="E48" i="38"/>
  <c r="E48" i="20"/>
  <c r="L30" i="23"/>
  <c r="I32" i="13"/>
  <c r="L31" i="23"/>
  <c r="I35" i="37"/>
  <c r="H82" i="4"/>
  <c r="I122" i="4"/>
  <c r="J122" i="4" s="1"/>
  <c r="M39" i="13"/>
  <c r="L22" i="20"/>
  <c r="H9" i="10"/>
  <c r="I135" i="26"/>
  <c r="H30" i="4"/>
  <c r="H23" i="4"/>
  <c r="J31" i="10"/>
  <c r="D72" i="4"/>
  <c r="H34" i="4"/>
  <c r="D36" i="4"/>
  <c r="E36" i="13"/>
  <c r="L16" i="10"/>
  <c r="D16" i="10"/>
  <c r="H88" i="4"/>
  <c r="I75" i="33"/>
  <c r="I75" i="37"/>
  <c r="H76" i="4"/>
  <c r="D75" i="4"/>
  <c r="J74" i="4"/>
  <c r="I107" i="13"/>
  <c r="I107" i="29"/>
  <c r="I107" i="4"/>
  <c r="M107" i="35" s="1"/>
  <c r="I107" i="35"/>
  <c r="H99" i="4"/>
  <c r="H121" i="4"/>
  <c r="J121" i="4" s="1"/>
  <c r="L109" i="13"/>
  <c r="I118" i="4"/>
  <c r="I126" i="4"/>
  <c r="D121" i="4"/>
  <c r="E124" i="37"/>
  <c r="M92" i="29"/>
  <c r="L76" i="13"/>
  <c r="L107" i="13"/>
  <c r="L113" i="13"/>
  <c r="E67" i="27"/>
  <c r="H35" i="4"/>
  <c r="H109" i="4"/>
  <c r="J109" i="4" s="1"/>
  <c r="H118" i="4"/>
  <c r="E48" i="16"/>
  <c r="E48" i="25"/>
  <c r="E48" i="18"/>
  <c r="E48" i="39"/>
  <c r="J111" i="33"/>
  <c r="H135" i="4"/>
  <c r="L122" i="33"/>
  <c r="AR14" i="65"/>
  <c r="AT14" i="65" s="1"/>
  <c r="E99" i="37"/>
  <c r="I35" i="33"/>
  <c r="L35" i="13"/>
  <c r="AT85" i="62"/>
  <c r="AL51" i="69"/>
  <c r="AN51" i="69" s="1"/>
  <c r="D14" i="65"/>
  <c r="E31" i="24"/>
  <c r="I30" i="29"/>
  <c r="AH46" i="68"/>
  <c r="AQ41" i="68"/>
  <c r="E29" i="62"/>
  <c r="G29" i="62" s="1"/>
  <c r="E31" i="29"/>
  <c r="I35" i="18"/>
  <c r="AR27" i="62"/>
  <c r="AQ47" i="68"/>
  <c r="B34" i="65"/>
  <c r="D34" i="65" s="1"/>
  <c r="J111" i="35"/>
  <c r="L111" i="35" s="1"/>
  <c r="D68" i="20"/>
  <c r="E31" i="13"/>
  <c r="I35" i="13"/>
  <c r="I35" i="23"/>
  <c r="I35" i="29"/>
  <c r="I31" i="4"/>
  <c r="M31" i="24" s="1"/>
  <c r="L125" i="35"/>
  <c r="N71" i="8"/>
  <c r="M109" i="35"/>
  <c r="P46" i="68"/>
  <c r="L121" i="33"/>
  <c r="K100" i="33"/>
  <c r="I30" i="18"/>
  <c r="J51" i="69"/>
  <c r="AN54" i="69"/>
  <c r="AG11" i="70"/>
  <c r="AJ37" i="70"/>
  <c r="AI42" i="70"/>
  <c r="AK42" i="70" s="1"/>
  <c r="AO14" i="65"/>
  <c r="AQ14" i="65" s="1"/>
  <c r="E31" i="33"/>
  <c r="E99" i="18"/>
  <c r="L7" i="74"/>
  <c r="E31" i="37"/>
  <c r="I35" i="35"/>
  <c r="C22" i="9"/>
  <c r="B37" i="9"/>
  <c r="N139" i="8"/>
  <c r="AE47" i="69"/>
  <c r="D29" i="65"/>
  <c r="AE29" i="65"/>
  <c r="Y64" i="62"/>
  <c r="S27" i="62"/>
  <c r="AF11" i="70"/>
  <c r="B37" i="58"/>
  <c r="D37" i="58" s="1"/>
  <c r="N57" i="8"/>
  <c r="J39" i="70"/>
  <c r="D31" i="69"/>
  <c r="J41" i="69"/>
  <c r="AM41" i="69"/>
  <c r="V47" i="69"/>
  <c r="AL29" i="69"/>
  <c r="AN29" i="69" s="1"/>
  <c r="D29" i="69"/>
  <c r="D27" i="69"/>
  <c r="AG64" i="62"/>
  <c r="AH64" i="62" s="1"/>
  <c r="G109" i="4"/>
  <c r="D109" i="4"/>
  <c r="M115" i="8"/>
  <c r="C46" i="9"/>
  <c r="N47" i="8" s="1"/>
  <c r="K119" i="35"/>
  <c r="L32" i="29"/>
  <c r="L7" i="19"/>
  <c r="L10" i="18"/>
  <c r="E30" i="20"/>
  <c r="E11" i="13"/>
  <c r="D99" i="4"/>
  <c r="E8" i="19"/>
  <c r="E8" i="22"/>
  <c r="L67" i="33"/>
  <c r="K111" i="23"/>
  <c r="F42" i="10"/>
  <c r="H42" i="10" s="1"/>
  <c r="J111" i="23"/>
  <c r="D119" i="23"/>
  <c r="L137" i="26"/>
  <c r="K89" i="13"/>
  <c r="E30" i="37"/>
  <c r="I82" i="4"/>
  <c r="E8" i="18"/>
  <c r="E8" i="25"/>
  <c r="E8" i="74"/>
  <c r="I22" i="20"/>
  <c r="I22" i="33"/>
  <c r="D56" i="16"/>
  <c r="H10" i="10"/>
  <c r="G35" i="4"/>
  <c r="E30" i="33"/>
  <c r="E8" i="13"/>
  <c r="E8" i="29"/>
  <c r="C30" i="10"/>
  <c r="D30" i="10" s="1"/>
  <c r="I22" i="37"/>
  <c r="G7" i="4"/>
  <c r="H111" i="20"/>
  <c r="H114" i="4"/>
  <c r="L108" i="33"/>
  <c r="D68" i="33"/>
  <c r="C45" i="9"/>
  <c r="N46" i="8" s="1"/>
  <c r="L29" i="20"/>
  <c r="E8" i="24"/>
  <c r="K10" i="10"/>
  <c r="L35" i="33"/>
  <c r="L107" i="35"/>
  <c r="I67" i="4"/>
  <c r="E30" i="29"/>
  <c r="E8" i="16"/>
  <c r="I22" i="23"/>
  <c r="I8" i="4"/>
  <c r="J8" i="4" s="1"/>
  <c r="H119" i="35"/>
  <c r="L10" i="41"/>
  <c r="D53" i="40"/>
  <c r="L32" i="23"/>
  <c r="E30" i="13"/>
  <c r="E30" i="23"/>
  <c r="E8" i="20"/>
  <c r="E8" i="33"/>
  <c r="I22" i="18"/>
  <c r="L125" i="27"/>
  <c r="L78" i="29"/>
  <c r="E114" i="33"/>
  <c r="H84" i="4"/>
  <c r="J84" i="4" s="1"/>
  <c r="E8" i="51"/>
  <c r="E8" i="37"/>
  <c r="I22" i="13"/>
  <c r="I22" i="29"/>
  <c r="H78" i="4"/>
  <c r="J78" i="4" s="1"/>
  <c r="L32" i="37"/>
  <c r="D56" i="13"/>
  <c r="M78" i="37"/>
  <c r="L109" i="29"/>
  <c r="C40" i="9"/>
  <c r="N41" i="8" s="1"/>
  <c r="E24" i="13"/>
  <c r="E24" i="24"/>
  <c r="E48" i="13"/>
  <c r="E48" i="41"/>
  <c r="E48" i="74"/>
  <c r="I117" i="18"/>
  <c r="L121" i="27"/>
  <c r="L108" i="23"/>
  <c r="I114" i="4"/>
  <c r="L125" i="13"/>
  <c r="E134" i="37"/>
  <c r="D52" i="4"/>
  <c r="E48" i="34"/>
  <c r="D83" i="4"/>
  <c r="I117" i="35"/>
  <c r="E48" i="76"/>
  <c r="E48" i="72"/>
  <c r="I11" i="4"/>
  <c r="E109" i="29"/>
  <c r="H28" i="4"/>
  <c r="I117" i="27"/>
  <c r="I117" i="33"/>
  <c r="L113" i="20"/>
  <c r="D56" i="39"/>
  <c r="D24" i="4"/>
  <c r="L88" i="27"/>
  <c r="D111" i="23"/>
  <c r="L29" i="16"/>
  <c r="E24" i="33"/>
  <c r="M78" i="18"/>
  <c r="E48" i="26"/>
  <c r="I114" i="33"/>
  <c r="E109" i="13"/>
  <c r="H26" i="4"/>
  <c r="L31" i="35"/>
  <c r="M91" i="13"/>
  <c r="I117" i="4"/>
  <c r="M117" i="23" s="1"/>
  <c r="L28" i="18"/>
  <c r="D51" i="4"/>
  <c r="E24" i="37"/>
  <c r="E48" i="77"/>
  <c r="E78" i="33"/>
  <c r="H108" i="4"/>
  <c r="I117" i="13"/>
  <c r="I117" i="37"/>
  <c r="M78" i="23"/>
  <c r="L11" i="13"/>
  <c r="L108" i="29"/>
  <c r="C27" i="9"/>
  <c r="N25" i="8" s="1"/>
  <c r="D111" i="13"/>
  <c r="E134" i="34"/>
  <c r="D76" i="4"/>
  <c r="E48" i="21"/>
  <c r="E48" i="51"/>
  <c r="E48" i="37"/>
  <c r="I114" i="37"/>
  <c r="E109" i="33"/>
  <c r="I117" i="23"/>
  <c r="I117" i="29"/>
  <c r="I70" i="4"/>
  <c r="H113" i="4"/>
  <c r="L113" i="29"/>
  <c r="L28" i="16"/>
  <c r="L33" i="18"/>
  <c r="E24" i="29"/>
  <c r="E48" i="22"/>
  <c r="E48" i="40"/>
  <c r="L121" i="20"/>
  <c r="H137" i="4"/>
  <c r="D10" i="4"/>
  <c r="F14" i="10"/>
  <c r="H14" i="10" s="1"/>
  <c r="G75" i="4"/>
  <c r="G114" i="4"/>
  <c r="G116" i="4"/>
  <c r="G108" i="4"/>
  <c r="H105" i="4"/>
  <c r="J105" i="4" s="1"/>
  <c r="G105" i="4"/>
  <c r="H94" i="4"/>
  <c r="J94" i="4" s="1"/>
  <c r="G94" i="4"/>
  <c r="G74" i="4"/>
  <c r="D11" i="4"/>
  <c r="G124" i="4"/>
  <c r="G113" i="4"/>
  <c r="H73" i="4"/>
  <c r="G73" i="4"/>
  <c r="H92" i="4"/>
  <c r="J92" i="4" s="1"/>
  <c r="G92" i="4"/>
  <c r="H95" i="4"/>
  <c r="J95" i="4" s="1"/>
  <c r="G95" i="4"/>
  <c r="G106" i="4"/>
  <c r="H85" i="4"/>
  <c r="J85" i="4" s="1"/>
  <c r="G85" i="4"/>
  <c r="G121" i="4"/>
  <c r="H70" i="4"/>
  <c r="G70" i="4"/>
  <c r="H91" i="4"/>
  <c r="J91" i="4" s="1"/>
  <c r="G91" i="4"/>
  <c r="F24" i="10"/>
  <c r="H24" i="10" s="1"/>
  <c r="G96" i="4"/>
  <c r="H81" i="4"/>
  <c r="H71" i="4"/>
  <c r="J71" i="4" s="1"/>
  <c r="G71" i="4"/>
  <c r="G86" i="4"/>
  <c r="G125" i="4"/>
  <c r="G117" i="4"/>
  <c r="D122" i="4"/>
  <c r="I24" i="4"/>
  <c r="I76" i="4"/>
  <c r="I27" i="4"/>
  <c r="D32" i="4"/>
  <c r="D8" i="4"/>
  <c r="G136" i="4"/>
  <c r="I22" i="4"/>
  <c r="D31" i="4"/>
  <c r="I115" i="4"/>
  <c r="G22" i="4"/>
  <c r="G134" i="4"/>
  <c r="I99" i="4"/>
  <c r="M99" i="33" s="1"/>
  <c r="J39" i="4"/>
  <c r="D48" i="4"/>
  <c r="I23" i="4"/>
  <c r="I113" i="4"/>
  <c r="D97" i="4"/>
  <c r="I123" i="4"/>
  <c r="D9" i="4"/>
  <c r="G135" i="4"/>
  <c r="D54" i="4"/>
  <c r="D33" i="10"/>
  <c r="G31" i="4"/>
  <c r="I97" i="4"/>
  <c r="J97" i="4" s="1"/>
  <c r="H112" i="4"/>
  <c r="J106" i="4"/>
  <c r="G23" i="4"/>
  <c r="D30" i="4"/>
  <c r="D29" i="4"/>
  <c r="G32" i="4"/>
  <c r="D86" i="4"/>
  <c r="G34" i="4"/>
  <c r="D28" i="4"/>
  <c r="D136" i="4"/>
  <c r="G24" i="4"/>
  <c r="I108" i="4"/>
  <c r="D78" i="4"/>
  <c r="D34" i="4"/>
  <c r="D114" i="4"/>
  <c r="D124" i="4"/>
  <c r="I30" i="4"/>
  <c r="H75" i="4"/>
  <c r="L23" i="37"/>
  <c r="L28" i="51"/>
  <c r="L33" i="23"/>
  <c r="L107" i="37"/>
  <c r="B44" i="10"/>
  <c r="L34" i="13"/>
  <c r="F33" i="10"/>
  <c r="J33" i="10" s="1"/>
  <c r="L109" i="27"/>
  <c r="L10" i="22"/>
  <c r="L7" i="51"/>
  <c r="K119" i="23"/>
  <c r="L119" i="23" s="1"/>
  <c r="M85" i="37"/>
  <c r="M85" i="13"/>
  <c r="M85" i="33"/>
  <c r="M85" i="27"/>
  <c r="M85" i="29"/>
  <c r="M85" i="18"/>
  <c r="M85" i="23"/>
  <c r="M85" i="20"/>
  <c r="M78" i="27"/>
  <c r="D56" i="37"/>
  <c r="L108" i="18"/>
  <c r="E78" i="37"/>
  <c r="M78" i="33"/>
  <c r="D98" i="29"/>
  <c r="L10" i="16"/>
  <c r="D89" i="13"/>
  <c r="F41" i="10"/>
  <c r="F52" i="10" s="1"/>
  <c r="D53" i="37"/>
  <c r="N116" i="8"/>
  <c r="L25" i="13"/>
  <c r="L11" i="35"/>
  <c r="L22" i="29"/>
  <c r="E78" i="18"/>
  <c r="E78" i="23"/>
  <c r="M78" i="29"/>
  <c r="D89" i="29"/>
  <c r="L22" i="24"/>
  <c r="C15" i="10"/>
  <c r="K15" i="10" s="1"/>
  <c r="L28" i="23"/>
  <c r="E78" i="29"/>
  <c r="M78" i="13"/>
  <c r="L28" i="37"/>
  <c r="G29" i="4"/>
  <c r="N141" i="8"/>
  <c r="E78" i="13"/>
  <c r="E78" i="27"/>
  <c r="L26" i="33"/>
  <c r="L117" i="27"/>
  <c r="E89" i="4"/>
  <c r="L23" i="13"/>
  <c r="I134" i="4"/>
  <c r="H111" i="23"/>
  <c r="B14" i="10"/>
  <c r="D93" i="4"/>
  <c r="I86" i="33"/>
  <c r="I86" i="29"/>
  <c r="H96" i="4"/>
  <c r="D96" i="4"/>
  <c r="B24" i="10"/>
  <c r="D22" i="4"/>
  <c r="B10" i="10"/>
  <c r="J10" i="10" s="1"/>
  <c r="H22" i="4"/>
  <c r="C41" i="10"/>
  <c r="K41" i="10" s="1"/>
  <c r="E12" i="13"/>
  <c r="H12" i="4"/>
  <c r="B41" i="10"/>
  <c r="B52" i="10" s="1"/>
  <c r="D12" i="4"/>
  <c r="K79" i="37"/>
  <c r="D77" i="37"/>
  <c r="I32" i="4"/>
  <c r="E32" i="29"/>
  <c r="E32" i="13"/>
  <c r="E54" i="37"/>
  <c r="E54" i="21"/>
  <c r="E54" i="16"/>
  <c r="E54" i="77"/>
  <c r="E54" i="25"/>
  <c r="E54" i="76"/>
  <c r="E54" i="13"/>
  <c r="E54" i="39"/>
  <c r="D25" i="4"/>
  <c r="H25" i="4"/>
  <c r="J25" i="4" s="1"/>
  <c r="E57" i="16"/>
  <c r="I125" i="35"/>
  <c r="E75" i="33"/>
  <c r="E121" i="20"/>
  <c r="L67" i="13"/>
  <c r="H33" i="4"/>
  <c r="I125" i="27"/>
  <c r="I125" i="33"/>
  <c r="C56" i="10"/>
  <c r="K56" i="10" s="1"/>
  <c r="H10" i="4"/>
  <c r="E75" i="37"/>
  <c r="L121" i="35"/>
  <c r="D47" i="51"/>
  <c r="L7" i="16"/>
  <c r="B21" i="10"/>
  <c r="J21" i="10" s="1"/>
  <c r="C14" i="10"/>
  <c r="K14" i="10" s="1"/>
  <c r="I38" i="4"/>
  <c r="E39" i="13"/>
  <c r="E57" i="21"/>
  <c r="E57" i="37"/>
  <c r="I125" i="13"/>
  <c r="I125" i="37"/>
  <c r="L112" i="13"/>
  <c r="I73" i="4"/>
  <c r="H29" i="4"/>
  <c r="I75" i="4"/>
  <c r="L34" i="35"/>
  <c r="B20" i="10"/>
  <c r="J20" i="10" s="1"/>
  <c r="E57" i="40"/>
  <c r="I125" i="23"/>
  <c r="D111" i="18"/>
  <c r="L67" i="18"/>
  <c r="L25" i="37"/>
  <c r="L23" i="33"/>
  <c r="E57" i="13"/>
  <c r="I125" i="29"/>
  <c r="L109" i="18"/>
  <c r="L10" i="33"/>
  <c r="L7" i="20"/>
  <c r="L26" i="29"/>
  <c r="E57" i="25"/>
  <c r="E57" i="39"/>
  <c r="L22" i="51"/>
  <c r="L76" i="33"/>
  <c r="L109" i="35"/>
  <c r="J79" i="13"/>
  <c r="M109" i="29"/>
  <c r="M109" i="37"/>
  <c r="M109" i="27"/>
  <c r="M109" i="13"/>
  <c r="I32" i="29"/>
  <c r="I32" i="23"/>
  <c r="I32" i="18"/>
  <c r="I32" i="37"/>
  <c r="I32" i="33"/>
  <c r="D37" i="4"/>
  <c r="H37" i="4"/>
  <c r="J37" i="4" s="1"/>
  <c r="B26" i="10"/>
  <c r="G25" i="10"/>
  <c r="H25" i="10" s="1"/>
  <c r="G20" i="10"/>
  <c r="H20" i="10" s="1"/>
  <c r="I10" i="37"/>
  <c r="I10" i="35"/>
  <c r="I10" i="33"/>
  <c r="I10" i="18"/>
  <c r="I10" i="29"/>
  <c r="I10" i="13"/>
  <c r="D104" i="4"/>
  <c r="G30" i="10"/>
  <c r="H30" i="10" s="1"/>
  <c r="I11" i="35"/>
  <c r="I11" i="37"/>
  <c r="I11" i="33"/>
  <c r="I11" i="23"/>
  <c r="I11" i="29"/>
  <c r="I11" i="13"/>
  <c r="H125" i="4"/>
  <c r="D125" i="4"/>
  <c r="D69" i="4"/>
  <c r="H120" i="4"/>
  <c r="D120" i="4"/>
  <c r="L113" i="27"/>
  <c r="I30" i="37"/>
  <c r="I30" i="33"/>
  <c r="I30" i="35"/>
  <c r="I30" i="13"/>
  <c r="M84" i="29"/>
  <c r="G22" i="9"/>
  <c r="E7" i="37"/>
  <c r="E7" i="20"/>
  <c r="E7" i="72"/>
  <c r="E7" i="25"/>
  <c r="E7" i="16"/>
  <c r="I7" i="4"/>
  <c r="M7" i="33" s="1"/>
  <c r="E7" i="13"/>
  <c r="E7" i="74"/>
  <c r="E7" i="19"/>
  <c r="E7" i="29"/>
  <c r="E7" i="24"/>
  <c r="E7" i="22"/>
  <c r="I10" i="4"/>
  <c r="C20" i="10"/>
  <c r="I108" i="18"/>
  <c r="I108" i="37"/>
  <c r="I108" i="13"/>
  <c r="D35" i="4"/>
  <c r="B42" i="10"/>
  <c r="B53" i="10" s="1"/>
  <c r="E86" i="29"/>
  <c r="E86" i="23"/>
  <c r="E86" i="37"/>
  <c r="I86" i="4"/>
  <c r="J86" i="4" s="1"/>
  <c r="L25" i="23"/>
  <c r="E99" i="27"/>
  <c r="E99" i="33"/>
  <c r="L29" i="23"/>
  <c r="L29" i="18"/>
  <c r="L29" i="37"/>
  <c r="L30" i="33"/>
  <c r="L75" i="33"/>
  <c r="E99" i="23"/>
  <c r="E99" i="29"/>
  <c r="E99" i="13"/>
  <c r="M109" i="33"/>
  <c r="L113" i="35"/>
  <c r="L96" i="37"/>
  <c r="L24" i="29"/>
  <c r="L29" i="51"/>
  <c r="G37" i="9"/>
  <c r="D53" i="21"/>
  <c r="N144" i="8"/>
  <c r="L86" i="37"/>
  <c r="L113" i="37"/>
  <c r="L29" i="13"/>
  <c r="L23" i="18"/>
  <c r="L67" i="29"/>
  <c r="L10" i="29"/>
  <c r="L7" i="22"/>
  <c r="AT50" i="62"/>
  <c r="L86" i="33"/>
  <c r="L136" i="37"/>
  <c r="L110" i="33"/>
  <c r="L117" i="35"/>
  <c r="L34" i="33"/>
  <c r="L124" i="18"/>
  <c r="M74" i="20"/>
  <c r="M74" i="27"/>
  <c r="M74" i="33"/>
  <c r="M74" i="13"/>
  <c r="M74" i="29"/>
  <c r="M74" i="18"/>
  <c r="M74" i="23"/>
  <c r="M95" i="13"/>
  <c r="M95" i="29"/>
  <c r="M95" i="27"/>
  <c r="M95" i="37"/>
  <c r="G23" i="9"/>
  <c r="M70" i="8" s="1"/>
  <c r="L114" i="33"/>
  <c r="L97" i="33"/>
  <c r="M95" i="33"/>
  <c r="L25" i="33"/>
  <c r="M95" i="23"/>
  <c r="D47" i="38"/>
  <c r="N119" i="8"/>
  <c r="L30" i="20"/>
  <c r="L112" i="33"/>
  <c r="K66" i="33"/>
  <c r="L7" i="33"/>
  <c r="L116" i="23"/>
  <c r="I74" i="23"/>
  <c r="I95" i="23"/>
  <c r="E67" i="37"/>
  <c r="B34" i="10"/>
  <c r="L117" i="18"/>
  <c r="H38" i="4"/>
  <c r="M71" i="29"/>
  <c r="N146" i="8"/>
  <c r="I35" i="4"/>
  <c r="L76" i="29"/>
  <c r="K119" i="37"/>
  <c r="L26" i="23"/>
  <c r="E35" i="13"/>
  <c r="I95" i="18"/>
  <c r="M95" i="18"/>
  <c r="E67" i="18"/>
  <c r="E67" i="23"/>
  <c r="D39" i="4"/>
  <c r="B45" i="10"/>
  <c r="L88" i="33"/>
  <c r="L11" i="33"/>
  <c r="L23" i="29"/>
  <c r="K68" i="29"/>
  <c r="C11" i="9"/>
  <c r="N9" i="8" s="1"/>
  <c r="D47" i="25"/>
  <c r="E36" i="37"/>
  <c r="I74" i="18"/>
  <c r="E67" i="29"/>
  <c r="M109" i="18"/>
  <c r="L22" i="37"/>
  <c r="K111" i="29"/>
  <c r="L111" i="29" s="1"/>
  <c r="D111" i="29"/>
  <c r="G33" i="10"/>
  <c r="G55" i="10" s="1"/>
  <c r="H119" i="37"/>
  <c r="K119" i="33"/>
  <c r="D100" i="33"/>
  <c r="E35" i="33"/>
  <c r="E67" i="13"/>
  <c r="M74" i="37"/>
  <c r="L24" i="37"/>
  <c r="L34" i="29"/>
  <c r="L67" i="27"/>
  <c r="I36" i="4"/>
  <c r="I74" i="20"/>
  <c r="I74" i="27"/>
  <c r="AN50" i="69"/>
  <c r="H28" i="9"/>
  <c r="H70" i="9" s="1"/>
  <c r="M116" i="8"/>
  <c r="H100" i="29"/>
  <c r="D116" i="4"/>
  <c r="H116" i="4"/>
  <c r="C42" i="10"/>
  <c r="K42" i="10" s="1"/>
  <c r="N140" i="8"/>
  <c r="H62" i="9"/>
  <c r="N67" i="8"/>
  <c r="L116" i="33"/>
  <c r="K77" i="23"/>
  <c r="L29" i="33"/>
  <c r="L88" i="23"/>
  <c r="H29" i="9"/>
  <c r="N75" i="8" s="1"/>
  <c r="J77" i="13"/>
  <c r="L121" i="13"/>
  <c r="H25" i="9"/>
  <c r="H33" i="9"/>
  <c r="K77" i="33"/>
  <c r="K79" i="33"/>
  <c r="D98" i="23"/>
  <c r="M94" i="35"/>
  <c r="M94" i="29"/>
  <c r="L78" i="37"/>
  <c r="L117" i="33"/>
  <c r="L113" i="33"/>
  <c r="C28" i="9"/>
  <c r="H111" i="33"/>
  <c r="M145" i="8"/>
  <c r="L7" i="72"/>
  <c r="H119" i="23"/>
  <c r="M141" i="8"/>
  <c r="D47" i="77"/>
  <c r="L108" i="13"/>
  <c r="L31" i="18"/>
  <c r="L111" i="33"/>
  <c r="L86" i="23"/>
  <c r="L22" i="33"/>
  <c r="L112" i="29"/>
  <c r="H119" i="29"/>
  <c r="G27" i="9"/>
  <c r="K119" i="29"/>
  <c r="J68" i="29"/>
  <c r="L12" i="23"/>
  <c r="L34" i="18"/>
  <c r="D100" i="13"/>
  <c r="D50" i="4"/>
  <c r="L30" i="13"/>
  <c r="L97" i="37"/>
  <c r="L31" i="37"/>
  <c r="L120" i="33"/>
  <c r="L112" i="27"/>
  <c r="K100" i="23"/>
  <c r="L12" i="13"/>
  <c r="J119" i="33"/>
  <c r="D119" i="33"/>
  <c r="L12" i="35"/>
  <c r="L78" i="33"/>
  <c r="L23" i="35"/>
  <c r="L117" i="29"/>
  <c r="H22" i="9"/>
  <c r="D47" i="34"/>
  <c r="L10" i="25"/>
  <c r="L125" i="23"/>
  <c r="L35" i="23"/>
  <c r="L109" i="23"/>
  <c r="L7" i="13"/>
  <c r="L32" i="18"/>
  <c r="H9" i="4"/>
  <c r="J9" i="4" s="1"/>
  <c r="K98" i="33"/>
  <c r="C29" i="9"/>
  <c r="L25" i="29"/>
  <c r="H39" i="9"/>
  <c r="N89" i="8" s="1"/>
  <c r="D49" i="39"/>
  <c r="L33" i="37"/>
  <c r="L12" i="37"/>
  <c r="D87" i="29"/>
  <c r="G26" i="9"/>
  <c r="C23" i="9"/>
  <c r="N20" i="8" s="1"/>
  <c r="L117" i="23"/>
  <c r="L28" i="25"/>
  <c r="L10" i="20"/>
  <c r="L30" i="18"/>
  <c r="C10" i="9"/>
  <c r="N8" i="8" s="1"/>
  <c r="L10" i="13"/>
  <c r="J25" i="10"/>
  <c r="L78" i="18"/>
  <c r="H79" i="23"/>
  <c r="C9" i="9"/>
  <c r="L35" i="37"/>
  <c r="D89" i="37"/>
  <c r="D111" i="33"/>
  <c r="M119" i="8"/>
  <c r="L10" i="35"/>
  <c r="L99" i="29"/>
  <c r="L88" i="29"/>
  <c r="L135" i="26"/>
  <c r="N117" i="8"/>
  <c r="L113" i="23"/>
  <c r="L121" i="23"/>
  <c r="D47" i="41"/>
  <c r="L120" i="13"/>
  <c r="L11" i="18"/>
  <c r="L23" i="20"/>
  <c r="L120" i="18"/>
  <c r="C33" i="9"/>
  <c r="H111" i="35"/>
  <c r="M144" i="8"/>
  <c r="L7" i="29"/>
  <c r="G18" i="9"/>
  <c r="D77" i="23"/>
  <c r="H13" i="9"/>
  <c r="L88" i="13"/>
  <c r="H67" i="4"/>
  <c r="D67" i="4"/>
  <c r="L88" i="18"/>
  <c r="J119" i="18"/>
  <c r="D119" i="18"/>
  <c r="M113" i="8"/>
  <c r="L25" i="18"/>
  <c r="H7" i="4"/>
  <c r="B9" i="10"/>
  <c r="D119" i="13"/>
  <c r="L7" i="25"/>
  <c r="L112" i="18"/>
  <c r="L10" i="37"/>
  <c r="D47" i="39"/>
  <c r="H119" i="33"/>
  <c r="L12" i="29"/>
  <c r="N114" i="8"/>
  <c r="D49" i="22"/>
  <c r="H119" i="20"/>
  <c r="M140" i="8"/>
  <c r="H12" i="9"/>
  <c r="N60" i="8" s="1"/>
  <c r="H79" i="13"/>
  <c r="H119" i="18"/>
  <c r="H31" i="9"/>
  <c r="C31" i="9"/>
  <c r="L7" i="35"/>
  <c r="L134" i="34"/>
  <c r="K66" i="29"/>
  <c r="L29" i="24"/>
  <c r="D98" i="13"/>
  <c r="L113" i="18"/>
  <c r="D47" i="26"/>
  <c r="M106" i="37"/>
  <c r="M106" i="33"/>
  <c r="M106" i="29"/>
  <c r="M106" i="27"/>
  <c r="M106" i="23"/>
  <c r="M106" i="18"/>
  <c r="M106" i="13"/>
  <c r="G20" i="9"/>
  <c r="G28" i="9"/>
  <c r="C42" i="9"/>
  <c r="D77" i="27"/>
  <c r="AH11" i="70"/>
  <c r="H43" i="9"/>
  <c r="N93" i="8" s="1"/>
  <c r="K89" i="29"/>
  <c r="D66" i="27"/>
  <c r="B11" i="9"/>
  <c r="K98" i="29"/>
  <c r="K100" i="29"/>
  <c r="D77" i="29"/>
  <c r="AE16" i="70"/>
  <c r="G35" i="70"/>
  <c r="P35" i="70"/>
  <c r="T41" i="65"/>
  <c r="V34" i="65"/>
  <c r="D47" i="74"/>
  <c r="B33" i="9"/>
  <c r="D98" i="33"/>
  <c r="H100" i="23"/>
  <c r="H98" i="23"/>
  <c r="M121" i="37"/>
  <c r="M121" i="35"/>
  <c r="M121" i="33"/>
  <c r="M121" i="29"/>
  <c r="M121" i="27"/>
  <c r="M121" i="23"/>
  <c r="M121" i="20"/>
  <c r="M121" i="13"/>
  <c r="M121" i="18"/>
  <c r="I23" i="37"/>
  <c r="I23" i="33"/>
  <c r="I23" i="35"/>
  <c r="I23" i="29"/>
  <c r="I23" i="13"/>
  <c r="I23" i="18"/>
  <c r="M9" i="37"/>
  <c r="M9" i="35"/>
  <c r="M9" i="33"/>
  <c r="M9" i="72"/>
  <c r="M9" i="29"/>
  <c r="M9" i="51"/>
  <c r="M9" i="25"/>
  <c r="M9" i="24"/>
  <c r="M9" i="41"/>
  <c r="M9" i="22"/>
  <c r="M9" i="16"/>
  <c r="M9" i="20"/>
  <c r="M9" i="18"/>
  <c r="M9" i="13"/>
  <c r="M9" i="19"/>
  <c r="Y35" i="70"/>
  <c r="V35" i="70"/>
  <c r="G47" i="69"/>
  <c r="V91" i="62"/>
  <c r="AL23" i="69"/>
  <c r="AN52" i="69"/>
  <c r="S47" i="69"/>
  <c r="AA62" i="62"/>
  <c r="M91" i="62"/>
  <c r="R62" i="62"/>
  <c r="AT54" i="62"/>
  <c r="AQ20" i="68"/>
  <c r="AT56" i="67"/>
  <c r="AQ142" i="67"/>
  <c r="AQ58" i="67"/>
  <c r="AQ44" i="67"/>
  <c r="AB46" i="68"/>
  <c r="AQ94" i="66"/>
  <c r="L41" i="65"/>
  <c r="L43" i="65" s="1"/>
  <c r="L45" i="65" s="1"/>
  <c r="AP29" i="65"/>
  <c r="H111" i="37"/>
  <c r="M146" i="8"/>
  <c r="K68" i="37"/>
  <c r="D66" i="37"/>
  <c r="D66" i="33"/>
  <c r="H45" i="9"/>
  <c r="N145" i="8"/>
  <c r="D47" i="72"/>
  <c r="B28" i="9"/>
  <c r="C41" i="9"/>
  <c r="N42" i="8" s="1"/>
  <c r="I72" i="4"/>
  <c r="I83" i="4"/>
  <c r="J79" i="18"/>
  <c r="E125" i="37"/>
  <c r="E125" i="33"/>
  <c r="I125" i="4"/>
  <c r="AH16" i="70"/>
  <c r="AR40" i="68"/>
  <c r="AT40" i="68" s="1"/>
  <c r="D40" i="68"/>
  <c r="AO40" i="68"/>
  <c r="AQ40" i="68" s="1"/>
  <c r="AQ82" i="66"/>
  <c r="AT94" i="66"/>
  <c r="U41" i="65"/>
  <c r="U43" i="65" s="1"/>
  <c r="U45" i="65" s="1"/>
  <c r="B41" i="9"/>
  <c r="C18" i="9"/>
  <c r="H17" i="9"/>
  <c r="C14" i="9"/>
  <c r="D66" i="13"/>
  <c r="K68" i="13"/>
  <c r="I93" i="4"/>
  <c r="M25" i="37"/>
  <c r="M25" i="33"/>
  <c r="M25" i="35"/>
  <c r="M25" i="29"/>
  <c r="M25" i="23"/>
  <c r="M25" i="20"/>
  <c r="M25" i="13"/>
  <c r="M25" i="18"/>
  <c r="AH31" i="70"/>
  <c r="AH39" i="70"/>
  <c r="AI39" i="70"/>
  <c r="AK39" i="70" s="1"/>
  <c r="AK38" i="70"/>
  <c r="G91" i="62"/>
  <c r="D60" i="62"/>
  <c r="AR60" i="62"/>
  <c r="J23" i="69"/>
  <c r="J91" i="62"/>
  <c r="I47" i="69"/>
  <c r="Z62" i="62"/>
  <c r="AB45" i="62"/>
  <c r="AT22" i="62"/>
  <c r="B10" i="58"/>
  <c r="AT39" i="62"/>
  <c r="AT34" i="62"/>
  <c r="C20" i="58"/>
  <c r="E62" i="62"/>
  <c r="G45" i="62"/>
  <c r="C62" i="62"/>
  <c r="C64" i="62" s="1"/>
  <c r="AS45" i="62"/>
  <c r="G20" i="58" s="1"/>
  <c r="AT20" i="68"/>
  <c r="I64" i="62"/>
  <c r="AR38" i="68"/>
  <c r="AT38" i="68" s="1"/>
  <c r="D38" i="68"/>
  <c r="AO38" i="68"/>
  <c r="AQ38" i="68" s="1"/>
  <c r="AQ92" i="67"/>
  <c r="AS43" i="68"/>
  <c r="AT43" i="68" s="1"/>
  <c r="AP43" i="68"/>
  <c r="AQ43" i="68" s="1"/>
  <c r="D48" i="68"/>
  <c r="AK46" i="68"/>
  <c r="AQ44" i="66"/>
  <c r="H26" i="9"/>
  <c r="J119" i="27"/>
  <c r="L119" i="27" s="1"/>
  <c r="C98" i="4"/>
  <c r="G21" i="9"/>
  <c r="D47" i="22"/>
  <c r="B18" i="9"/>
  <c r="J111" i="13"/>
  <c r="H111" i="13"/>
  <c r="M139" i="8"/>
  <c r="C15" i="9"/>
  <c r="I104" i="4"/>
  <c r="E112" i="37"/>
  <c r="E112" i="33"/>
  <c r="E112" i="29"/>
  <c r="E112" i="27"/>
  <c r="E112" i="23"/>
  <c r="E112" i="18"/>
  <c r="I112" i="4"/>
  <c r="E112" i="13"/>
  <c r="K119" i="18"/>
  <c r="E135" i="37"/>
  <c r="E135" i="34"/>
  <c r="E135" i="26"/>
  <c r="I135" i="4"/>
  <c r="C25" i="10"/>
  <c r="K111" i="18"/>
  <c r="L111" i="18" s="1"/>
  <c r="N113" i="8"/>
  <c r="H123" i="4"/>
  <c r="H51" i="9"/>
  <c r="I121" i="37"/>
  <c r="I121" i="33"/>
  <c r="I121" i="35"/>
  <c r="I121" i="29"/>
  <c r="I121" i="27"/>
  <c r="I121" i="23"/>
  <c r="I121" i="18"/>
  <c r="I121" i="13"/>
  <c r="I121" i="20"/>
  <c r="P47" i="69"/>
  <c r="D35" i="70"/>
  <c r="AK40" i="70"/>
  <c r="I35" i="70"/>
  <c r="AN35" i="69"/>
  <c r="AR91" i="62"/>
  <c r="D91" i="62"/>
  <c r="Z29" i="62"/>
  <c r="AB27" i="62"/>
  <c r="AD62" i="62"/>
  <c r="AS60" i="62"/>
  <c r="AQ45" i="68"/>
  <c r="C14" i="58"/>
  <c r="AQ68" i="67"/>
  <c r="J20" i="67"/>
  <c r="AQ70" i="66"/>
  <c r="AC41" i="65"/>
  <c r="AE34" i="65"/>
  <c r="AQ32" i="66"/>
  <c r="AA41" i="65"/>
  <c r="AA43" i="65" s="1"/>
  <c r="AA45" i="65" s="1"/>
  <c r="AN34" i="65"/>
  <c r="B31" i="9"/>
  <c r="J119" i="35"/>
  <c r="J79" i="29"/>
  <c r="D79" i="29"/>
  <c r="J100" i="27"/>
  <c r="C20" i="9"/>
  <c r="D87" i="23"/>
  <c r="G19" i="9"/>
  <c r="C19" i="9"/>
  <c r="B20" i="9"/>
  <c r="H15" i="9"/>
  <c r="G10" i="9"/>
  <c r="M110" i="37"/>
  <c r="M110" i="33"/>
  <c r="D35" i="58"/>
  <c r="H111" i="18"/>
  <c r="M137" i="8"/>
  <c r="H110" i="4"/>
  <c r="J110" i="4" s="1"/>
  <c r="D110" i="4"/>
  <c r="J66" i="18"/>
  <c r="D66" i="18"/>
  <c r="AD64" i="62"/>
  <c r="AQ80" i="67"/>
  <c r="H19" i="9"/>
  <c r="C13" i="9"/>
  <c r="AQ20" i="66"/>
  <c r="V46" i="68"/>
  <c r="B29" i="9"/>
  <c r="J100" i="29"/>
  <c r="D119" i="29"/>
  <c r="J119" i="29"/>
  <c r="M118" i="8"/>
  <c r="D68" i="29"/>
  <c r="D111" i="27"/>
  <c r="J111" i="27"/>
  <c r="M114" i="8"/>
  <c r="F79" i="4"/>
  <c r="I80" i="4"/>
  <c r="F68" i="4"/>
  <c r="I69" i="4"/>
  <c r="B22" i="9"/>
  <c r="I90" i="4"/>
  <c r="G13" i="9"/>
  <c r="B13" i="9"/>
  <c r="H27" i="4"/>
  <c r="E34" i="37"/>
  <c r="E34" i="29"/>
  <c r="E34" i="13"/>
  <c r="I34" i="4"/>
  <c r="C31" i="10"/>
  <c r="D31" i="10" s="1"/>
  <c r="AH91" i="62"/>
  <c r="AN27" i="62"/>
  <c r="AT92" i="67"/>
  <c r="G33" i="9"/>
  <c r="H21" i="9"/>
  <c r="D47" i="20"/>
  <c r="B16" i="9"/>
  <c r="AF36" i="70"/>
  <c r="Y47" i="69"/>
  <c r="AT79" i="62"/>
  <c r="AR45" i="62"/>
  <c r="B62" i="62"/>
  <c r="B64" i="62" s="1"/>
  <c r="D45" i="62"/>
  <c r="AQ56" i="66"/>
  <c r="AT20" i="66"/>
  <c r="S34" i="65"/>
  <c r="Q41" i="65"/>
  <c r="AB34" i="65"/>
  <c r="Z41" i="65"/>
  <c r="AG41" i="65"/>
  <c r="AG43" i="65" s="1"/>
  <c r="AG45" i="65" s="1"/>
  <c r="AF41" i="65"/>
  <c r="AH34" i="65"/>
  <c r="J79" i="33"/>
  <c r="AK11" i="69"/>
  <c r="AK47" i="69" s="1"/>
  <c r="AI47" i="69"/>
  <c r="AB47" i="69"/>
  <c r="AC35" i="70"/>
  <c r="AE11" i="70"/>
  <c r="S45" i="62"/>
  <c r="Q62" i="62"/>
  <c r="C47" i="69"/>
  <c r="D47" i="69" s="1"/>
  <c r="AM11" i="69"/>
  <c r="N62" i="62"/>
  <c r="P45" i="62"/>
  <c r="K62" i="62"/>
  <c r="K64" i="62" s="1"/>
  <c r="M45" i="62"/>
  <c r="AK45" i="62"/>
  <c r="D29" i="62"/>
  <c r="AT41" i="68"/>
  <c r="AS29" i="62"/>
  <c r="M29" i="62"/>
  <c r="AT44" i="67"/>
  <c r="AQ106" i="66"/>
  <c r="AT44" i="66"/>
  <c r="AR20" i="67"/>
  <c r="J34" i="65"/>
  <c r="H41" i="65"/>
  <c r="O41" i="65"/>
  <c r="O43" i="65" s="1"/>
  <c r="O45" i="65" s="1"/>
  <c r="N41" i="65"/>
  <c r="P34" i="65"/>
  <c r="AT32" i="66"/>
  <c r="J119" i="37"/>
  <c r="L119" i="37" s="1"/>
  <c r="D119" i="37"/>
  <c r="D47" i="37"/>
  <c r="B30" i="9"/>
  <c r="D79" i="33"/>
  <c r="C68" i="9"/>
  <c r="N44" i="8"/>
  <c r="H111" i="27"/>
  <c r="M138" i="8"/>
  <c r="D98" i="27"/>
  <c r="J100" i="23"/>
  <c r="J79" i="23"/>
  <c r="E137" i="34"/>
  <c r="E137" i="26"/>
  <c r="I137" i="4"/>
  <c r="C44" i="10"/>
  <c r="D47" i="13"/>
  <c r="B12" i="9"/>
  <c r="H107" i="4"/>
  <c r="D107" i="4"/>
  <c r="E96" i="37"/>
  <c r="E96" i="33"/>
  <c r="I96" i="4"/>
  <c r="C24" i="10"/>
  <c r="K24" i="10" s="1"/>
  <c r="H126" i="4"/>
  <c r="G31" i="9"/>
  <c r="K111" i="37"/>
  <c r="N120" i="8"/>
  <c r="AE45" i="62"/>
  <c r="AC62" i="62"/>
  <c r="S91" i="62"/>
  <c r="AE27" i="62"/>
  <c r="AP46" i="68"/>
  <c r="AS46" i="68"/>
  <c r="J100" i="37"/>
  <c r="M47" i="69"/>
  <c r="AL49" i="69"/>
  <c r="AN49" i="69" s="1"/>
  <c r="D49" i="69"/>
  <c r="AI41" i="70"/>
  <c r="AK41" i="70" s="1"/>
  <c r="AH47" i="69"/>
  <c r="AH62" i="62"/>
  <c r="AT35" i="62"/>
  <c r="AS34" i="68"/>
  <c r="AP34" i="68"/>
  <c r="AN62" i="62"/>
  <c r="AE91" i="62"/>
  <c r="AK27" i="62"/>
  <c r="AT32" i="68"/>
  <c r="AT80" i="67"/>
  <c r="AS27" i="62"/>
  <c r="AE29" i="62"/>
  <c r="AT106" i="66"/>
  <c r="G46" i="68"/>
  <c r="L48" i="68"/>
  <c r="AT56" i="66"/>
  <c r="D46" i="68"/>
  <c r="AO20" i="67"/>
  <c r="AT21" i="65"/>
  <c r="E41" i="65"/>
  <c r="G34" i="65"/>
  <c r="AK41" i="65"/>
  <c r="K43" i="65"/>
  <c r="C41" i="65"/>
  <c r="AP34" i="65"/>
  <c r="D100" i="37"/>
  <c r="D87" i="33"/>
  <c r="G29" i="9"/>
  <c r="H44" i="9"/>
  <c r="K89" i="35"/>
  <c r="C24" i="9"/>
  <c r="E98" i="4"/>
  <c r="G11" i="9"/>
  <c r="H23" i="9"/>
  <c r="J68" i="23"/>
  <c r="K79" i="23"/>
  <c r="D119" i="20"/>
  <c r="J119" i="20"/>
  <c r="L119" i="20" s="1"/>
  <c r="J119" i="13"/>
  <c r="L119" i="13" s="1"/>
  <c r="H119" i="13"/>
  <c r="K111" i="13"/>
  <c r="N115" i="8"/>
  <c r="D49" i="16"/>
  <c r="M122" i="37"/>
  <c r="M122" i="33"/>
  <c r="G9" i="9"/>
  <c r="I26" i="4"/>
  <c r="B9" i="9"/>
  <c r="M7" i="8" s="1"/>
  <c r="I106" i="27"/>
  <c r="I106" i="23"/>
  <c r="I106" i="18"/>
  <c r="M28" i="29"/>
  <c r="M28" i="51"/>
  <c r="M28" i="23"/>
  <c r="M28" i="25"/>
  <c r="M28" i="16"/>
  <c r="M28" i="13"/>
  <c r="M28" i="18"/>
  <c r="H134" i="4"/>
  <c r="J134" i="4" s="1"/>
  <c r="D134" i="4"/>
  <c r="B15" i="10"/>
  <c r="J30" i="10"/>
  <c r="AN60" i="62"/>
  <c r="L62" i="62"/>
  <c r="J29" i="62"/>
  <c r="AQ130" i="67"/>
  <c r="AQ32" i="68"/>
  <c r="AN46" i="68"/>
  <c r="G17" i="9"/>
  <c r="AM27" i="69"/>
  <c r="AN27" i="69" s="1"/>
  <c r="C23" i="69"/>
  <c r="D23" i="69" s="1"/>
  <c r="AT82" i="66"/>
  <c r="B41" i="65"/>
  <c r="AH37" i="70"/>
  <c r="O62" i="62"/>
  <c r="S60" i="62"/>
  <c r="AT28" i="62"/>
  <c r="B14" i="58"/>
  <c r="AS91" i="62"/>
  <c r="J45" i="62"/>
  <c r="H62" i="62"/>
  <c r="H64" i="62" s="1"/>
  <c r="AB91" i="62"/>
  <c r="AT130" i="67"/>
  <c r="AQ39" i="68"/>
  <c r="AT142" i="67"/>
  <c r="K48" i="68"/>
  <c r="AR22" i="68"/>
  <c r="AT22" i="68" s="1"/>
  <c r="AO22" i="68"/>
  <c r="AQ22" i="68" s="1"/>
  <c r="M22" i="68"/>
  <c r="AT68" i="67"/>
  <c r="AR42" i="68"/>
  <c r="AT42" i="68" s="1"/>
  <c r="AO42" i="68"/>
  <c r="AQ42" i="68" s="1"/>
  <c r="J42" i="68"/>
  <c r="AD41" i="65"/>
  <c r="AD43" i="65" s="1"/>
  <c r="AD45" i="65" s="1"/>
  <c r="AT70" i="66"/>
  <c r="H46" i="68"/>
  <c r="AR46" i="68" s="1"/>
  <c r="AQ21" i="65"/>
  <c r="AK34" i="65"/>
  <c r="C75" i="9"/>
  <c r="N30" i="8"/>
  <c r="J111" i="37"/>
  <c r="D111" i="37"/>
  <c r="M120" i="8"/>
  <c r="H30" i="9"/>
  <c r="D49" i="37"/>
  <c r="G44" i="9"/>
  <c r="J89" i="35"/>
  <c r="H89" i="35"/>
  <c r="K68" i="33"/>
  <c r="M142" i="8"/>
  <c r="D49" i="26"/>
  <c r="C64" i="9"/>
  <c r="N23" i="8"/>
  <c r="D66" i="23"/>
  <c r="J66" i="23"/>
  <c r="B19" i="9"/>
  <c r="D111" i="20"/>
  <c r="J111" i="20"/>
  <c r="L111" i="20" s="1"/>
  <c r="D87" i="13"/>
  <c r="G12" i="9"/>
  <c r="K79" i="13"/>
  <c r="L79" i="13" s="1"/>
  <c r="E120" i="37"/>
  <c r="E120" i="33"/>
  <c r="E120" i="29"/>
  <c r="E120" i="23"/>
  <c r="E120" i="18"/>
  <c r="I120" i="4"/>
  <c r="E120" i="13"/>
  <c r="E88" i="37"/>
  <c r="E88" i="33"/>
  <c r="E88" i="29"/>
  <c r="E88" i="27"/>
  <c r="E88" i="23"/>
  <c r="E88" i="18"/>
  <c r="E88" i="13"/>
  <c r="I88" i="4"/>
  <c r="J88" i="4" s="1"/>
  <c r="E116" i="37"/>
  <c r="E116" i="33"/>
  <c r="E116" i="23"/>
  <c r="I116" i="4"/>
  <c r="E116" i="13"/>
  <c r="I31" i="33"/>
  <c r="I31" i="37"/>
  <c r="I31" i="35"/>
  <c r="I31" i="29"/>
  <c r="I31" i="23"/>
  <c r="I31" i="18"/>
  <c r="I31" i="13"/>
  <c r="AO34" i="65" l="1"/>
  <c r="M41" i="65"/>
  <c r="L111" i="23"/>
  <c r="F98" i="4"/>
  <c r="F100" i="4"/>
  <c r="J68" i="27"/>
  <c r="E68" i="4"/>
  <c r="D87" i="27"/>
  <c r="C87" i="4"/>
  <c r="J79" i="27"/>
  <c r="E79" i="4"/>
  <c r="F89" i="4"/>
  <c r="B47" i="4"/>
  <c r="M86" i="23"/>
  <c r="M28" i="24"/>
  <c r="M28" i="20"/>
  <c r="D10" i="10"/>
  <c r="M86" i="37"/>
  <c r="M67" i="18"/>
  <c r="L21" i="10"/>
  <c r="J29" i="4"/>
  <c r="L10" i="10"/>
  <c r="M29" i="16"/>
  <c r="M31" i="29"/>
  <c r="M107" i="37"/>
  <c r="M107" i="13"/>
  <c r="M107" i="23"/>
  <c r="J107" i="4"/>
  <c r="M107" i="29"/>
  <c r="M107" i="33"/>
  <c r="M86" i="13"/>
  <c r="M86" i="29"/>
  <c r="M86" i="33"/>
  <c r="J28" i="4"/>
  <c r="M29" i="51"/>
  <c r="J12" i="4"/>
  <c r="M12" i="29"/>
  <c r="M12" i="18"/>
  <c r="M12" i="35"/>
  <c r="M12" i="23"/>
  <c r="M12" i="13"/>
  <c r="M12" i="37"/>
  <c r="J124" i="4"/>
  <c r="M124" i="13"/>
  <c r="M124" i="18"/>
  <c r="L119" i="29"/>
  <c r="M29" i="18"/>
  <c r="M29" i="37"/>
  <c r="J33" i="4"/>
  <c r="M29" i="23"/>
  <c r="M11" i="35"/>
  <c r="M29" i="24"/>
  <c r="M29" i="35"/>
  <c r="M29" i="29"/>
  <c r="M29" i="20"/>
  <c r="M29" i="33"/>
  <c r="M31" i="33"/>
  <c r="M11" i="33"/>
  <c r="J135" i="4"/>
  <c r="M31" i="37"/>
  <c r="M7" i="22"/>
  <c r="J44" i="10"/>
  <c r="M136" i="37"/>
  <c r="J136" i="4"/>
  <c r="M136" i="34"/>
  <c r="M136" i="26"/>
  <c r="E53" i="22"/>
  <c r="E56" i="22"/>
  <c r="M31" i="18"/>
  <c r="M31" i="23"/>
  <c r="M31" i="13"/>
  <c r="M7" i="24"/>
  <c r="M7" i="72"/>
  <c r="M7" i="16"/>
  <c r="M7" i="51"/>
  <c r="M7" i="35"/>
  <c r="M114" i="33"/>
  <c r="M117" i="37"/>
  <c r="J76" i="4"/>
  <c r="J34" i="4"/>
  <c r="M31" i="35"/>
  <c r="M30" i="33"/>
  <c r="F53" i="10"/>
  <c r="H53" i="10" s="1"/>
  <c r="M7" i="19"/>
  <c r="K30" i="10"/>
  <c r="L30" i="10" s="1"/>
  <c r="M11" i="13"/>
  <c r="M7" i="25"/>
  <c r="M11" i="18"/>
  <c r="J11" i="4"/>
  <c r="M7" i="13"/>
  <c r="M7" i="41"/>
  <c r="M7" i="37"/>
  <c r="M11" i="37"/>
  <c r="M11" i="29"/>
  <c r="M117" i="18"/>
  <c r="M117" i="27"/>
  <c r="M117" i="13"/>
  <c r="M117" i="29"/>
  <c r="J24" i="10"/>
  <c r="L24" i="10" s="1"/>
  <c r="J67" i="4"/>
  <c r="M67" i="27"/>
  <c r="M67" i="33"/>
  <c r="M67" i="29"/>
  <c r="H54" i="9"/>
  <c r="J31" i="4"/>
  <c r="M7" i="18"/>
  <c r="M7" i="23"/>
  <c r="M7" i="29"/>
  <c r="M7" i="74"/>
  <c r="M11" i="23"/>
  <c r="M7" i="20"/>
  <c r="M114" i="37"/>
  <c r="J70" i="4"/>
  <c r="M8" i="19"/>
  <c r="M8" i="37"/>
  <c r="M8" i="33"/>
  <c r="M8" i="22"/>
  <c r="M8" i="51"/>
  <c r="M8" i="24"/>
  <c r="M8" i="13"/>
  <c r="M8" i="25"/>
  <c r="M8" i="29"/>
  <c r="M8" i="74"/>
  <c r="M8" i="18"/>
  <c r="M8" i="20"/>
  <c r="M8" i="41"/>
  <c r="M8" i="16"/>
  <c r="M8" i="35"/>
  <c r="J114" i="4"/>
  <c r="J22" i="4"/>
  <c r="J26" i="4"/>
  <c r="D41" i="10"/>
  <c r="J68" i="18"/>
  <c r="K77" i="37"/>
  <c r="H79" i="18"/>
  <c r="H89" i="27"/>
  <c r="C52" i="10"/>
  <c r="D52" i="10" s="1"/>
  <c r="E53" i="40"/>
  <c r="L119" i="35"/>
  <c r="J7" i="4"/>
  <c r="K87" i="29"/>
  <c r="M67" i="13"/>
  <c r="E53" i="76"/>
  <c r="J137" i="4"/>
  <c r="E53" i="13"/>
  <c r="C72" i="9"/>
  <c r="M113" i="27"/>
  <c r="E53" i="39"/>
  <c r="M113" i="35"/>
  <c r="M67" i="37"/>
  <c r="AT27" i="62"/>
  <c r="E53" i="25"/>
  <c r="R64" i="62"/>
  <c r="M67" i="23"/>
  <c r="M36" i="13"/>
  <c r="C51" i="9"/>
  <c r="N7" i="8"/>
  <c r="M22" i="23"/>
  <c r="AN41" i="69"/>
  <c r="M57" i="8"/>
  <c r="N27" i="8"/>
  <c r="C56" i="9"/>
  <c r="N12" i="8"/>
  <c r="F55" i="10"/>
  <c r="H55" i="10" s="1"/>
  <c r="D21" i="10"/>
  <c r="M32" i="37"/>
  <c r="J14" i="10"/>
  <c r="L14" i="10" s="1"/>
  <c r="M32" i="18"/>
  <c r="H68" i="23"/>
  <c r="L100" i="27"/>
  <c r="K25" i="10"/>
  <c r="L25" i="10" s="1"/>
  <c r="H98" i="27"/>
  <c r="M99" i="37"/>
  <c r="K66" i="23"/>
  <c r="L66" i="23" s="1"/>
  <c r="J117" i="4"/>
  <c r="M117" i="33"/>
  <c r="L111" i="37"/>
  <c r="L100" i="23"/>
  <c r="C69" i="9"/>
  <c r="K100" i="18"/>
  <c r="M70" i="29"/>
  <c r="M117" i="35"/>
  <c r="M24" i="33"/>
  <c r="F43" i="10"/>
  <c r="F46" i="10" s="1"/>
  <c r="G119" i="4"/>
  <c r="J108" i="4"/>
  <c r="H83" i="4"/>
  <c r="J83" i="4" s="1"/>
  <c r="G83" i="4"/>
  <c r="H90" i="4"/>
  <c r="J90" i="4" s="1"/>
  <c r="G90" i="4"/>
  <c r="H69" i="4"/>
  <c r="J69" i="4" s="1"/>
  <c r="G69" i="4"/>
  <c r="H104" i="4"/>
  <c r="J104" i="4" s="1"/>
  <c r="G104" i="4"/>
  <c r="F32" i="10"/>
  <c r="F35" i="10" s="1"/>
  <c r="G111" i="4"/>
  <c r="D14" i="10"/>
  <c r="M22" i="24"/>
  <c r="M23" i="20"/>
  <c r="J24" i="4"/>
  <c r="H93" i="4"/>
  <c r="J93" i="4" s="1"/>
  <c r="G93" i="4"/>
  <c r="M24" i="37"/>
  <c r="H72" i="4"/>
  <c r="J72" i="4" s="1"/>
  <c r="G72" i="4"/>
  <c r="H80" i="4"/>
  <c r="M83" i="37"/>
  <c r="M83" i="27"/>
  <c r="M83" i="33"/>
  <c r="M83" i="18"/>
  <c r="M83" i="20"/>
  <c r="M83" i="29"/>
  <c r="M72" i="23"/>
  <c r="M72" i="29"/>
  <c r="M72" i="27"/>
  <c r="M72" i="37"/>
  <c r="M72" i="18"/>
  <c r="M72" i="20"/>
  <c r="M72" i="13"/>
  <c r="M69" i="29"/>
  <c r="M93" i="23"/>
  <c r="M93" i="27"/>
  <c r="M93" i="33"/>
  <c r="M93" i="37"/>
  <c r="M90" i="29"/>
  <c r="M90" i="13"/>
  <c r="M104" i="18"/>
  <c r="M104" i="27"/>
  <c r="M104" i="37"/>
  <c r="M104" i="23"/>
  <c r="M104" i="33"/>
  <c r="M104" i="13"/>
  <c r="M113" i="18"/>
  <c r="M108" i="27"/>
  <c r="M108" i="18"/>
  <c r="M108" i="37"/>
  <c r="M108" i="33"/>
  <c r="M108" i="23"/>
  <c r="M108" i="29"/>
  <c r="D25" i="10"/>
  <c r="M23" i="37"/>
  <c r="M23" i="23"/>
  <c r="M23" i="33"/>
  <c r="M23" i="13"/>
  <c r="M22" i="51"/>
  <c r="J35" i="4"/>
  <c r="M99" i="29"/>
  <c r="M93" i="18"/>
  <c r="M83" i="13"/>
  <c r="D20" i="10"/>
  <c r="M30" i="37"/>
  <c r="M30" i="29"/>
  <c r="J36" i="4"/>
  <c r="M30" i="35"/>
  <c r="M30" i="18"/>
  <c r="M113" i="29"/>
  <c r="M30" i="13"/>
  <c r="M93" i="35"/>
  <c r="M104" i="29"/>
  <c r="J116" i="4"/>
  <c r="M22" i="20"/>
  <c r="J99" i="4"/>
  <c r="M72" i="33"/>
  <c r="M93" i="29"/>
  <c r="M30" i="20"/>
  <c r="M113" i="23"/>
  <c r="M30" i="23"/>
  <c r="M23" i="35"/>
  <c r="J73" i="4"/>
  <c r="M83" i="23"/>
  <c r="D24" i="10"/>
  <c r="H33" i="10"/>
  <c r="M113" i="37"/>
  <c r="J23" i="4"/>
  <c r="M99" i="23"/>
  <c r="M22" i="35"/>
  <c r="M24" i="18"/>
  <c r="M113" i="33"/>
  <c r="M23" i="18"/>
  <c r="J112" i="4"/>
  <c r="M22" i="37"/>
  <c r="J32" i="4"/>
  <c r="M23" i="29"/>
  <c r="M108" i="13"/>
  <c r="J96" i="4"/>
  <c r="M113" i="20"/>
  <c r="M113" i="13"/>
  <c r="M22" i="13"/>
  <c r="M22" i="29"/>
  <c r="M22" i="33"/>
  <c r="M22" i="16"/>
  <c r="M22" i="18"/>
  <c r="J120" i="4"/>
  <c r="J125" i="4"/>
  <c r="J10" i="4"/>
  <c r="J75" i="4"/>
  <c r="J113" i="4"/>
  <c r="J30" i="4"/>
  <c r="M99" i="18"/>
  <c r="M99" i="13"/>
  <c r="M99" i="27"/>
  <c r="M24" i="24"/>
  <c r="M24" i="13"/>
  <c r="M24" i="23"/>
  <c r="M24" i="35"/>
  <c r="M24" i="29"/>
  <c r="K20" i="10"/>
  <c r="L20" i="10" s="1"/>
  <c r="D44" i="10"/>
  <c r="B55" i="10"/>
  <c r="H89" i="18"/>
  <c r="C49" i="10"/>
  <c r="K49" i="10" s="1"/>
  <c r="E56" i="21"/>
  <c r="E56" i="37"/>
  <c r="J87" i="18"/>
  <c r="J87" i="35"/>
  <c r="M10" i="37"/>
  <c r="E56" i="40"/>
  <c r="E56" i="13"/>
  <c r="E56" i="39"/>
  <c r="J89" i="18"/>
  <c r="E56" i="76"/>
  <c r="L119" i="33"/>
  <c r="H41" i="10"/>
  <c r="L68" i="29"/>
  <c r="E56" i="25"/>
  <c r="L79" i="33"/>
  <c r="E56" i="16"/>
  <c r="B24" i="9"/>
  <c r="B66" i="9" s="1"/>
  <c r="J41" i="10"/>
  <c r="L41" i="10" s="1"/>
  <c r="E53" i="16"/>
  <c r="C38" i="10"/>
  <c r="K38" i="10" s="1"/>
  <c r="E53" i="21"/>
  <c r="E53" i="37"/>
  <c r="L111" i="27"/>
  <c r="E53" i="77"/>
  <c r="M32" i="33"/>
  <c r="E87" i="4"/>
  <c r="J89" i="27"/>
  <c r="L89" i="27" s="1"/>
  <c r="M134" i="34"/>
  <c r="M134" i="26"/>
  <c r="M134" i="37"/>
  <c r="M75" i="37"/>
  <c r="M73" i="29"/>
  <c r="H100" i="27"/>
  <c r="M32" i="23"/>
  <c r="M32" i="29"/>
  <c r="M32" i="13"/>
  <c r="M75" i="33"/>
  <c r="L89" i="35"/>
  <c r="H77" i="13"/>
  <c r="M10" i="35"/>
  <c r="M10" i="25"/>
  <c r="M10" i="29"/>
  <c r="M10" i="16"/>
  <c r="M10" i="51"/>
  <c r="M10" i="19"/>
  <c r="M10" i="18"/>
  <c r="M10" i="23"/>
  <c r="M10" i="41"/>
  <c r="M10" i="33"/>
  <c r="M10" i="72"/>
  <c r="M10" i="24"/>
  <c r="M10" i="22"/>
  <c r="M36" i="37"/>
  <c r="M10" i="13"/>
  <c r="G52" i="10"/>
  <c r="H52" i="10" s="1"/>
  <c r="C25" i="9"/>
  <c r="N22" i="8" s="1"/>
  <c r="M10" i="20"/>
  <c r="B21" i="9"/>
  <c r="M19" i="8" s="1"/>
  <c r="L100" i="29"/>
  <c r="J42" i="10"/>
  <c r="L42" i="10" s="1"/>
  <c r="D42" i="10"/>
  <c r="D26" i="10"/>
  <c r="J26" i="10"/>
  <c r="L26" i="10" s="1"/>
  <c r="M35" i="37"/>
  <c r="M35" i="23"/>
  <c r="H87" i="35"/>
  <c r="B56" i="10"/>
  <c r="J34" i="10"/>
  <c r="K33" i="10"/>
  <c r="L33" i="10" s="1"/>
  <c r="J45" i="10"/>
  <c r="L45" i="10" s="1"/>
  <c r="D45" i="10"/>
  <c r="I23" i="9"/>
  <c r="M35" i="35"/>
  <c r="M35" i="18"/>
  <c r="M35" i="29"/>
  <c r="M35" i="13"/>
  <c r="M35" i="33"/>
  <c r="AI37" i="70"/>
  <c r="AK37" i="70" s="1"/>
  <c r="K87" i="33"/>
  <c r="J98" i="27"/>
  <c r="K87" i="13"/>
  <c r="K77" i="13"/>
  <c r="L77" i="13" s="1"/>
  <c r="D77" i="13"/>
  <c r="H77" i="23"/>
  <c r="J77" i="23"/>
  <c r="L77" i="23" s="1"/>
  <c r="L111" i="13"/>
  <c r="M93" i="13"/>
  <c r="G69" i="9"/>
  <c r="M74" i="8"/>
  <c r="J98" i="23"/>
  <c r="L98" i="23" s="1"/>
  <c r="H67" i="9"/>
  <c r="N72" i="8"/>
  <c r="N77" i="8"/>
  <c r="H74" i="9"/>
  <c r="K79" i="18"/>
  <c r="L79" i="18" s="1"/>
  <c r="K77" i="18"/>
  <c r="D66" i="20"/>
  <c r="D87" i="18"/>
  <c r="G60" i="9"/>
  <c r="J89" i="13"/>
  <c r="L89" i="13" s="1"/>
  <c r="H89" i="13"/>
  <c r="H98" i="29"/>
  <c r="J98" i="29"/>
  <c r="L98" i="29" s="1"/>
  <c r="H66" i="23"/>
  <c r="H79" i="29"/>
  <c r="H79" i="37"/>
  <c r="J79" i="37"/>
  <c r="L79" i="37" s="1"/>
  <c r="H76" i="9"/>
  <c r="N79" i="8"/>
  <c r="K89" i="18"/>
  <c r="C16" i="9"/>
  <c r="D16" i="9" s="1"/>
  <c r="K68" i="23"/>
  <c r="L68" i="23" s="1"/>
  <c r="H100" i="18"/>
  <c r="J100" i="18"/>
  <c r="L100" i="18" s="1"/>
  <c r="K68" i="18"/>
  <c r="L68" i="18" s="1"/>
  <c r="N61" i="8"/>
  <c r="H55" i="9"/>
  <c r="H68" i="18"/>
  <c r="D87" i="37"/>
  <c r="G30" i="9"/>
  <c r="I26" i="9"/>
  <c r="M73" i="8"/>
  <c r="H64" i="9"/>
  <c r="N69" i="8"/>
  <c r="M38" i="8"/>
  <c r="H68" i="13"/>
  <c r="C74" i="9"/>
  <c r="N29" i="8"/>
  <c r="K87" i="35"/>
  <c r="H68" i="29"/>
  <c r="J66" i="29"/>
  <c r="L66" i="29" s="1"/>
  <c r="K79" i="29"/>
  <c r="L79" i="29" s="1"/>
  <c r="K77" i="29"/>
  <c r="H89" i="37"/>
  <c r="J87" i="37"/>
  <c r="J89" i="37"/>
  <c r="D9" i="10"/>
  <c r="J9" i="10"/>
  <c r="L9" i="10" s="1"/>
  <c r="L119" i="18"/>
  <c r="N31" i="8"/>
  <c r="C76" i="9"/>
  <c r="H68" i="37"/>
  <c r="J68" i="37"/>
  <c r="L68" i="37" s="1"/>
  <c r="N26" i="8"/>
  <c r="C70" i="9"/>
  <c r="D49" i="4"/>
  <c r="L79" i="23"/>
  <c r="D77" i="20"/>
  <c r="K98" i="18"/>
  <c r="D98" i="18"/>
  <c r="J68" i="13"/>
  <c r="L68" i="13" s="1"/>
  <c r="G64" i="9"/>
  <c r="M69" i="8"/>
  <c r="I22" i="9"/>
  <c r="AT46" i="68"/>
  <c r="E79" i="33"/>
  <c r="E79" i="29"/>
  <c r="E79" i="20"/>
  <c r="E49" i="39"/>
  <c r="E49" i="37"/>
  <c r="E49" i="26"/>
  <c r="E49" i="22"/>
  <c r="E49" i="16"/>
  <c r="E49" i="77"/>
  <c r="H11" i="9"/>
  <c r="I11" i="9" s="1"/>
  <c r="AQ34" i="65"/>
  <c r="G16" i="9"/>
  <c r="G51" i="9"/>
  <c r="I9" i="9"/>
  <c r="C43" i="65"/>
  <c r="AP41" i="65"/>
  <c r="M77" i="8"/>
  <c r="G74" i="9"/>
  <c r="I74" i="9" s="1"/>
  <c r="I31" i="9"/>
  <c r="G14" i="9"/>
  <c r="G25" i="9"/>
  <c r="H100" i="33"/>
  <c r="J100" i="33"/>
  <c r="L100" i="33" s="1"/>
  <c r="N43" i="65"/>
  <c r="P41" i="65"/>
  <c r="AE35" i="70"/>
  <c r="M27" i="8"/>
  <c r="D29" i="9"/>
  <c r="N17" i="8"/>
  <c r="C61" i="9"/>
  <c r="M29" i="8"/>
  <c r="B74" i="9"/>
  <c r="D31" i="9"/>
  <c r="G30" i="58"/>
  <c r="G26" i="58"/>
  <c r="G28" i="58"/>
  <c r="G27" i="58"/>
  <c r="G29" i="58"/>
  <c r="G25" i="58"/>
  <c r="AF35" i="70"/>
  <c r="E111" i="37"/>
  <c r="E111" i="33"/>
  <c r="E111" i="29"/>
  <c r="E111" i="27"/>
  <c r="E111" i="23"/>
  <c r="E111" i="20"/>
  <c r="E111" i="13"/>
  <c r="I111" i="4"/>
  <c r="E111" i="18"/>
  <c r="C32" i="10"/>
  <c r="C35" i="10" s="1"/>
  <c r="M135" i="37"/>
  <c r="M135" i="34"/>
  <c r="M135" i="26"/>
  <c r="E119" i="37"/>
  <c r="E119" i="33"/>
  <c r="E119" i="29"/>
  <c r="E119" i="23"/>
  <c r="E119" i="20"/>
  <c r="E119" i="13"/>
  <c r="E119" i="18"/>
  <c r="I119" i="4"/>
  <c r="C43" i="10"/>
  <c r="C46" i="10" s="1"/>
  <c r="H18" i="9"/>
  <c r="H60" i="9" s="1"/>
  <c r="B60" i="9"/>
  <c r="M16" i="8"/>
  <c r="D18" i="9"/>
  <c r="H68" i="9"/>
  <c r="N73" i="8"/>
  <c r="I93" i="27"/>
  <c r="I93" i="23"/>
  <c r="I93" i="18"/>
  <c r="B70" i="9"/>
  <c r="D28" i="9"/>
  <c r="M26" i="8"/>
  <c r="D100" i="4"/>
  <c r="M17" i="8"/>
  <c r="B61" i="9"/>
  <c r="D19" i="9"/>
  <c r="I44" i="9"/>
  <c r="G71" i="9"/>
  <c r="M94" i="8"/>
  <c r="M48" i="68"/>
  <c r="O64" i="62"/>
  <c r="D41" i="65"/>
  <c r="B43" i="65"/>
  <c r="AO41" i="65"/>
  <c r="D15" i="10"/>
  <c r="J15" i="10"/>
  <c r="L15" i="10" s="1"/>
  <c r="M26" i="33"/>
  <c r="M26" i="37"/>
  <c r="M26" i="35"/>
  <c r="M26" i="29"/>
  <c r="M26" i="23"/>
  <c r="M26" i="20"/>
  <c r="M26" i="18"/>
  <c r="D119" i="4"/>
  <c r="H119" i="4"/>
  <c r="B43" i="10"/>
  <c r="B46" i="10" s="1"/>
  <c r="D98" i="37"/>
  <c r="K45" i="65"/>
  <c r="M43" i="65"/>
  <c r="G12" i="58"/>
  <c r="G10" i="58"/>
  <c r="G9" i="58"/>
  <c r="G11" i="58"/>
  <c r="G13" i="58"/>
  <c r="Z43" i="65"/>
  <c r="AB41" i="65"/>
  <c r="AH36" i="70"/>
  <c r="AI36" i="70"/>
  <c r="AK36" i="70" s="1"/>
  <c r="G24" i="9"/>
  <c r="M58" i="8"/>
  <c r="G52" i="9"/>
  <c r="H79" i="27"/>
  <c r="E77" i="4"/>
  <c r="M68" i="8"/>
  <c r="G63" i="9"/>
  <c r="I21" i="9"/>
  <c r="AR48" i="68"/>
  <c r="AL47" i="69"/>
  <c r="E68" i="33"/>
  <c r="E68" i="29"/>
  <c r="E68" i="20"/>
  <c r="C13" i="10"/>
  <c r="H79" i="20"/>
  <c r="J79" i="20"/>
  <c r="L79" i="20" s="1"/>
  <c r="AA64" i="62"/>
  <c r="G15" i="9"/>
  <c r="M60" i="8"/>
  <c r="I12" i="9"/>
  <c r="AM23" i="69"/>
  <c r="M65" i="8"/>
  <c r="G59" i="9"/>
  <c r="I59" i="9" s="1"/>
  <c r="I17" i="9"/>
  <c r="J64" i="62"/>
  <c r="D47" i="16"/>
  <c r="B15" i="9"/>
  <c r="H68" i="20"/>
  <c r="J66" i="20"/>
  <c r="L66" i="20" s="1"/>
  <c r="J68" i="20"/>
  <c r="L68" i="20" s="1"/>
  <c r="AQ20" i="67"/>
  <c r="AE62" i="62"/>
  <c r="AC64" i="62"/>
  <c r="K44" i="10"/>
  <c r="C55" i="10"/>
  <c r="K55" i="10" s="1"/>
  <c r="H14" i="9"/>
  <c r="D77" i="33"/>
  <c r="AT34" i="68"/>
  <c r="AM47" i="69"/>
  <c r="AR62" i="62"/>
  <c r="D62" i="62"/>
  <c r="D79" i="4"/>
  <c r="M14" i="8"/>
  <c r="C53" i="10"/>
  <c r="K53" i="10" s="1"/>
  <c r="K31" i="10"/>
  <c r="L31" i="10" s="1"/>
  <c r="M11" i="8"/>
  <c r="B55" i="9"/>
  <c r="D13" i="9"/>
  <c r="N66" i="8"/>
  <c r="M66" i="8"/>
  <c r="I19" i="9"/>
  <c r="AQ34" i="68"/>
  <c r="AT91" i="62"/>
  <c r="C17" i="9"/>
  <c r="D47" i="40"/>
  <c r="B25" i="9"/>
  <c r="G62" i="62"/>
  <c r="B34" i="58"/>
  <c r="D10" i="58"/>
  <c r="B8" i="58"/>
  <c r="AT60" i="62"/>
  <c r="F30" i="58"/>
  <c r="F26" i="58"/>
  <c r="F27" i="58"/>
  <c r="H27" i="58" s="1"/>
  <c r="F28" i="58"/>
  <c r="F29" i="58"/>
  <c r="F25" i="58"/>
  <c r="H59" i="9"/>
  <c r="N65" i="8"/>
  <c r="D56" i="4"/>
  <c r="B49" i="10"/>
  <c r="K66" i="37"/>
  <c r="C30" i="9"/>
  <c r="D30" i="9" s="1"/>
  <c r="D33" i="9"/>
  <c r="M31" i="8"/>
  <c r="B76" i="9"/>
  <c r="K100" i="13"/>
  <c r="I100" i="4"/>
  <c r="K98" i="13"/>
  <c r="D47" i="18"/>
  <c r="B10" i="9"/>
  <c r="M120" i="37"/>
  <c r="M120" i="33"/>
  <c r="M120" i="29"/>
  <c r="M120" i="23"/>
  <c r="M120" i="18"/>
  <c r="M120" i="13"/>
  <c r="J62" i="62"/>
  <c r="M59" i="8"/>
  <c r="C66" i="9"/>
  <c r="N21" i="8"/>
  <c r="J100" i="13"/>
  <c r="H100" i="13"/>
  <c r="D66" i="29"/>
  <c r="M62" i="62"/>
  <c r="S62" i="62"/>
  <c r="Q64" i="62"/>
  <c r="M34" i="33"/>
  <c r="M34" i="37"/>
  <c r="M34" i="35"/>
  <c r="M34" i="29"/>
  <c r="M34" i="23"/>
  <c r="M34" i="13"/>
  <c r="M34" i="18"/>
  <c r="L68" i="27"/>
  <c r="N63" i="8"/>
  <c r="H57" i="9"/>
  <c r="AP48" i="68"/>
  <c r="I104" i="27"/>
  <c r="I104" i="23"/>
  <c r="I104" i="18"/>
  <c r="I83" i="27"/>
  <c r="I83" i="23"/>
  <c r="I83" i="20"/>
  <c r="I83" i="18"/>
  <c r="I72" i="27"/>
  <c r="I72" i="23"/>
  <c r="I72" i="20"/>
  <c r="I72" i="18"/>
  <c r="AQ29" i="65"/>
  <c r="E64" i="62"/>
  <c r="U64" i="62"/>
  <c r="AN11" i="69"/>
  <c r="N43" i="8"/>
  <c r="C65" i="9"/>
  <c r="D47" i="21"/>
  <c r="B17" i="9"/>
  <c r="M116" i="37"/>
  <c r="M116" i="33"/>
  <c r="M116" i="23"/>
  <c r="M116" i="13"/>
  <c r="B23" i="10"/>
  <c r="D89" i="4"/>
  <c r="D111" i="4"/>
  <c r="H111" i="4"/>
  <c r="B32" i="10"/>
  <c r="B35" i="10" s="1"/>
  <c r="H89" i="33"/>
  <c r="J89" i="33"/>
  <c r="L89" i="33" s="1"/>
  <c r="J87" i="33"/>
  <c r="K89" i="37"/>
  <c r="B38" i="58"/>
  <c r="D14" i="58"/>
  <c r="I89" i="4"/>
  <c r="H87" i="18"/>
  <c r="L64" i="62"/>
  <c r="M64" i="62" s="1"/>
  <c r="J52" i="10"/>
  <c r="N70" i="8"/>
  <c r="AK43" i="65"/>
  <c r="AK29" i="62"/>
  <c r="H16" i="9"/>
  <c r="H27" i="9"/>
  <c r="I27" i="9" s="1"/>
  <c r="K98" i="37"/>
  <c r="K100" i="37"/>
  <c r="L100" i="37" s="1"/>
  <c r="H43" i="65"/>
  <c r="J41" i="65"/>
  <c r="AR29" i="62"/>
  <c r="AF43" i="65"/>
  <c r="AH41" i="65"/>
  <c r="Q43" i="65"/>
  <c r="S41" i="65"/>
  <c r="AT45" i="62"/>
  <c r="F21" i="58"/>
  <c r="F17" i="58"/>
  <c r="F22" i="58"/>
  <c r="F18" i="58"/>
  <c r="F19" i="58"/>
  <c r="F20" i="58"/>
  <c r="H20" i="58" s="1"/>
  <c r="M79" i="8"/>
  <c r="I33" i="9"/>
  <c r="G76" i="9"/>
  <c r="M61" i="8"/>
  <c r="I13" i="9"/>
  <c r="G55" i="9"/>
  <c r="I55" i="9" s="1"/>
  <c r="B14" i="9"/>
  <c r="M12" i="8" s="1"/>
  <c r="N11" i="8"/>
  <c r="C55" i="9"/>
  <c r="M18" i="8"/>
  <c r="B62" i="9"/>
  <c r="D20" i="9"/>
  <c r="AS48" i="68"/>
  <c r="M112" i="37"/>
  <c r="M112" i="33"/>
  <c r="M112" i="29"/>
  <c r="M112" i="27"/>
  <c r="M112" i="23"/>
  <c r="M112" i="18"/>
  <c r="M112" i="13"/>
  <c r="C60" i="9"/>
  <c r="N16" i="8"/>
  <c r="C21" i="9"/>
  <c r="J66" i="33"/>
  <c r="L66" i="33" s="1"/>
  <c r="H68" i="33"/>
  <c r="J68" i="33"/>
  <c r="L68" i="33" s="1"/>
  <c r="G70" i="9"/>
  <c r="I70" i="9" s="1"/>
  <c r="I28" i="9"/>
  <c r="J46" i="68"/>
  <c r="N94" i="8"/>
  <c r="H71" i="9"/>
  <c r="H100" i="37"/>
  <c r="J98" i="37"/>
  <c r="I111" i="37"/>
  <c r="I111" i="33"/>
  <c r="I111" i="35"/>
  <c r="I111" i="29"/>
  <c r="I111" i="27"/>
  <c r="I111" i="23"/>
  <c r="I111" i="18"/>
  <c r="I111" i="20"/>
  <c r="I111" i="13"/>
  <c r="G32" i="10"/>
  <c r="M10" i="8"/>
  <c r="M137" i="34"/>
  <c r="M137" i="26"/>
  <c r="B32" i="9"/>
  <c r="M23" i="8"/>
  <c r="B64" i="9"/>
  <c r="D64" i="9" s="1"/>
  <c r="D22" i="9"/>
  <c r="D68" i="4"/>
  <c r="B13" i="10"/>
  <c r="E47" i="74"/>
  <c r="E47" i="39"/>
  <c r="E47" i="38"/>
  <c r="E47" i="37"/>
  <c r="E47" i="34"/>
  <c r="E47" i="72"/>
  <c r="E47" i="40"/>
  <c r="E47" i="51"/>
  <c r="E47" i="41"/>
  <c r="E47" i="26"/>
  <c r="E47" i="25"/>
  <c r="E47" i="21"/>
  <c r="E47" i="22"/>
  <c r="E47" i="20"/>
  <c r="E47" i="16"/>
  <c r="E47" i="77"/>
  <c r="E47" i="18"/>
  <c r="E47" i="13"/>
  <c r="E47" i="76"/>
  <c r="C11" i="10"/>
  <c r="K11" i="10" s="1"/>
  <c r="K89" i="23"/>
  <c r="AN41" i="65"/>
  <c r="C38" i="58"/>
  <c r="C8" i="58"/>
  <c r="M87" i="8"/>
  <c r="C57" i="9"/>
  <c r="N13" i="8"/>
  <c r="B27" i="9"/>
  <c r="C16" i="58"/>
  <c r="D16" i="58" s="1"/>
  <c r="C36" i="58"/>
  <c r="D20" i="58"/>
  <c r="I119" i="37"/>
  <c r="I119" i="33"/>
  <c r="I119" i="35"/>
  <c r="I119" i="29"/>
  <c r="I119" i="27"/>
  <c r="I119" i="23"/>
  <c r="I119" i="18"/>
  <c r="I119" i="20"/>
  <c r="I119" i="13"/>
  <c r="G43" i="10"/>
  <c r="M88" i="37"/>
  <c r="M88" i="33"/>
  <c r="M88" i="29"/>
  <c r="M88" i="27"/>
  <c r="M88" i="23"/>
  <c r="M88" i="18"/>
  <c r="M88" i="13"/>
  <c r="E89" i="37"/>
  <c r="E89" i="33"/>
  <c r="E89" i="29"/>
  <c r="E89" i="13"/>
  <c r="C23" i="10"/>
  <c r="B51" i="9"/>
  <c r="D9" i="9"/>
  <c r="E100" i="37"/>
  <c r="E100" i="33"/>
  <c r="E100" i="29"/>
  <c r="E100" i="13"/>
  <c r="M75" i="8"/>
  <c r="I29" i="9"/>
  <c r="E43" i="65"/>
  <c r="G41" i="65"/>
  <c r="AO46" i="68"/>
  <c r="H68" i="27"/>
  <c r="D64" i="62"/>
  <c r="H79" i="33"/>
  <c r="H77" i="33"/>
  <c r="H63" i="9"/>
  <c r="N68" i="8"/>
  <c r="G14" i="58"/>
  <c r="AG35" i="70"/>
  <c r="J35" i="70"/>
  <c r="G21" i="58"/>
  <c r="G17" i="58"/>
  <c r="G18" i="58"/>
  <c r="G19" i="58"/>
  <c r="G22" i="58"/>
  <c r="AB62" i="62"/>
  <c r="K66" i="13"/>
  <c r="C12" i="9"/>
  <c r="D41" i="9"/>
  <c r="M42" i="8"/>
  <c r="D77" i="18"/>
  <c r="J77" i="18"/>
  <c r="V41" i="65"/>
  <c r="T43" i="65"/>
  <c r="M9" i="8"/>
  <c r="D11" i="9"/>
  <c r="G62" i="9"/>
  <c r="I62" i="9" s="1"/>
  <c r="I20" i="9"/>
  <c r="M67" i="8"/>
  <c r="B23" i="9"/>
  <c r="N76" i="8"/>
  <c r="H10" i="9"/>
  <c r="M96" i="37"/>
  <c r="M96" i="33"/>
  <c r="M28" i="8"/>
  <c r="AT20" i="67"/>
  <c r="AK62" i="62"/>
  <c r="P62" i="62"/>
  <c r="N64" i="62"/>
  <c r="AN29" i="62"/>
  <c r="D53" i="4"/>
  <c r="B38" i="10"/>
  <c r="C62" i="9"/>
  <c r="N18" i="8"/>
  <c r="AE41" i="65"/>
  <c r="AC43" i="65"/>
  <c r="Z64" i="62"/>
  <c r="AB29" i="62"/>
  <c r="B42" i="9"/>
  <c r="B26" i="9"/>
  <c r="AO48" i="68"/>
  <c r="AS62" i="62"/>
  <c r="J47" i="69"/>
  <c r="M125" i="37"/>
  <c r="M125" i="35"/>
  <c r="M125" i="33"/>
  <c r="M125" i="29"/>
  <c r="M125" i="27"/>
  <c r="M125" i="23"/>
  <c r="M125" i="13"/>
  <c r="M125" i="18"/>
  <c r="H89" i="29"/>
  <c r="J89" i="29"/>
  <c r="L89" i="29" s="1"/>
  <c r="J87" i="29"/>
  <c r="L87" i="29" s="1"/>
  <c r="H72" i="9"/>
  <c r="N95" i="8"/>
  <c r="H89" i="23"/>
  <c r="J87" i="23"/>
  <c r="J89" i="23"/>
  <c r="L79" i="27" l="1"/>
  <c r="H32" i="10"/>
  <c r="J66" i="27"/>
  <c r="E66" i="4"/>
  <c r="F77" i="4"/>
  <c r="I77" i="4" s="1"/>
  <c r="F66" i="4"/>
  <c r="I66" i="4" s="1"/>
  <c r="H38" i="9"/>
  <c r="N88" i="8" s="1"/>
  <c r="F87" i="4"/>
  <c r="I87" i="4" s="1"/>
  <c r="L87" i="33"/>
  <c r="F54" i="10"/>
  <c r="F57" i="10" s="1"/>
  <c r="M21" i="8"/>
  <c r="J53" i="10"/>
  <c r="L53" i="10" s="1"/>
  <c r="D21" i="9"/>
  <c r="L44" i="10"/>
  <c r="J35" i="10"/>
  <c r="J111" i="4"/>
  <c r="J46" i="10"/>
  <c r="D24" i="9"/>
  <c r="C34" i="9"/>
  <c r="E9" i="9" s="1"/>
  <c r="B63" i="9"/>
  <c r="C60" i="10"/>
  <c r="K60" i="10" s="1"/>
  <c r="G34" i="9"/>
  <c r="B27" i="10" s="1"/>
  <c r="J55" i="10"/>
  <c r="L55" i="10" s="1"/>
  <c r="H34" i="9"/>
  <c r="J10" i="9" s="1"/>
  <c r="AN23" i="69"/>
  <c r="AR64" i="62"/>
  <c r="H29" i="58"/>
  <c r="H26" i="58"/>
  <c r="H30" i="58"/>
  <c r="L98" i="27"/>
  <c r="D76" i="9"/>
  <c r="E66" i="13"/>
  <c r="H79" i="4"/>
  <c r="G79" i="4"/>
  <c r="L77" i="18"/>
  <c r="L89" i="23"/>
  <c r="H100" i="4"/>
  <c r="J100" i="4" s="1"/>
  <c r="G100" i="4"/>
  <c r="F13" i="10"/>
  <c r="J13" i="10" s="1"/>
  <c r="G68" i="4"/>
  <c r="D35" i="10"/>
  <c r="I79" i="4"/>
  <c r="F23" i="10"/>
  <c r="J23" i="10" s="1"/>
  <c r="G89" i="4"/>
  <c r="I79" i="27"/>
  <c r="D46" i="10"/>
  <c r="H43" i="10"/>
  <c r="G46" i="10"/>
  <c r="K46" i="10" s="1"/>
  <c r="K87" i="18"/>
  <c r="L87" i="18" s="1"/>
  <c r="D53" i="10"/>
  <c r="D61" i="9"/>
  <c r="G35" i="10"/>
  <c r="D55" i="10"/>
  <c r="E66" i="23"/>
  <c r="K52" i="10"/>
  <c r="L52" i="10" s="1"/>
  <c r="B12" i="10"/>
  <c r="I79" i="13"/>
  <c r="D66" i="4"/>
  <c r="E87" i="27"/>
  <c r="E87" i="33"/>
  <c r="L87" i="35"/>
  <c r="E87" i="18"/>
  <c r="E87" i="37"/>
  <c r="C67" i="9"/>
  <c r="I79" i="37"/>
  <c r="E87" i="13"/>
  <c r="N14" i="8"/>
  <c r="I79" i="20"/>
  <c r="L89" i="18"/>
  <c r="C58" i="9"/>
  <c r="E87" i="29"/>
  <c r="C22" i="10"/>
  <c r="H68" i="4"/>
  <c r="D66" i="9"/>
  <c r="D70" i="9"/>
  <c r="E87" i="23"/>
  <c r="J87" i="27"/>
  <c r="L87" i="27" s="1"/>
  <c r="H87" i="27"/>
  <c r="G38" i="9"/>
  <c r="I79" i="18"/>
  <c r="I79" i="29"/>
  <c r="I79" i="33"/>
  <c r="I79" i="23"/>
  <c r="B34" i="9"/>
  <c r="L98" i="37"/>
  <c r="G24" i="58"/>
  <c r="AQ48" i="68"/>
  <c r="AQ41" i="65"/>
  <c r="L100" i="13"/>
  <c r="E66" i="29"/>
  <c r="H46" i="9"/>
  <c r="K87" i="37"/>
  <c r="L87" i="37" s="1"/>
  <c r="E66" i="18"/>
  <c r="J56" i="10"/>
  <c r="L56" i="10" s="1"/>
  <c r="D56" i="10"/>
  <c r="E66" i="20"/>
  <c r="C12" i="10"/>
  <c r="E66" i="27"/>
  <c r="E66" i="33"/>
  <c r="E66" i="37"/>
  <c r="G16" i="58"/>
  <c r="H28" i="58"/>
  <c r="J119" i="4"/>
  <c r="I64" i="9"/>
  <c r="H41" i="9"/>
  <c r="N91" i="8" s="1"/>
  <c r="K87" i="23"/>
  <c r="L87" i="23" s="1"/>
  <c r="D62" i="9"/>
  <c r="C44" i="9"/>
  <c r="N45" i="8" s="1"/>
  <c r="H77" i="20"/>
  <c r="J77" i="20"/>
  <c r="L77" i="20" s="1"/>
  <c r="I10" i="9"/>
  <c r="K66" i="18"/>
  <c r="L66" i="18" s="1"/>
  <c r="H66" i="18"/>
  <c r="C37" i="9"/>
  <c r="H87" i="13"/>
  <c r="G39" i="9"/>
  <c r="J87" i="13"/>
  <c r="L87" i="13" s="1"/>
  <c r="H98" i="13"/>
  <c r="J98" i="13"/>
  <c r="L98" i="13" s="1"/>
  <c r="H77" i="37"/>
  <c r="J77" i="37"/>
  <c r="L77" i="37" s="1"/>
  <c r="J77" i="33"/>
  <c r="L77" i="33" s="1"/>
  <c r="I63" i="9"/>
  <c r="H77" i="27"/>
  <c r="J77" i="27"/>
  <c r="L77" i="27" s="1"/>
  <c r="H98" i="33"/>
  <c r="J98" i="33"/>
  <c r="L98" i="33" s="1"/>
  <c r="I30" i="9"/>
  <c r="M76" i="8"/>
  <c r="D55" i="9"/>
  <c r="H42" i="9"/>
  <c r="H66" i="37"/>
  <c r="B46" i="9"/>
  <c r="J66" i="37"/>
  <c r="L66" i="37" s="1"/>
  <c r="H98" i="18"/>
  <c r="J98" i="18"/>
  <c r="L98" i="18" s="1"/>
  <c r="H77" i="29"/>
  <c r="J77" i="29"/>
  <c r="L77" i="29" s="1"/>
  <c r="I18" i="9"/>
  <c r="I71" i="9"/>
  <c r="L89" i="37"/>
  <c r="I60" i="9"/>
  <c r="H98" i="4"/>
  <c r="D12" i="9"/>
  <c r="H98" i="37"/>
  <c r="D60" i="9"/>
  <c r="H87" i="37"/>
  <c r="G46" i="9"/>
  <c r="H66" i="29"/>
  <c r="B43" i="9"/>
  <c r="B68" i="9" s="1"/>
  <c r="D68" i="9" s="1"/>
  <c r="G42" i="9"/>
  <c r="D74" i="9"/>
  <c r="B39" i="9"/>
  <c r="H66" i="13"/>
  <c r="J66" i="13"/>
  <c r="L66" i="13" s="1"/>
  <c r="H77" i="18"/>
  <c r="AC45" i="65"/>
  <c r="AE43" i="65"/>
  <c r="N19" i="8"/>
  <c r="C63" i="9"/>
  <c r="H17" i="58"/>
  <c r="F16" i="58"/>
  <c r="AT29" i="62"/>
  <c r="F12" i="58"/>
  <c r="H12" i="58" s="1"/>
  <c r="F13" i="58"/>
  <c r="H13" i="58" s="1"/>
  <c r="F9" i="58"/>
  <c r="F11" i="58"/>
  <c r="H11" i="58" s="1"/>
  <c r="F14" i="58"/>
  <c r="H14" i="58" s="1"/>
  <c r="F10" i="58"/>
  <c r="H10" i="58" s="1"/>
  <c r="H37" i="9"/>
  <c r="I37" i="9" s="1"/>
  <c r="D23" i="10"/>
  <c r="B59" i="9"/>
  <c r="D17" i="9"/>
  <c r="M15" i="8"/>
  <c r="S64" i="62"/>
  <c r="D10" i="9"/>
  <c r="B52" i="9"/>
  <c r="M8" i="8"/>
  <c r="D34" i="58"/>
  <c r="B32" i="58"/>
  <c r="F34" i="58" s="1"/>
  <c r="D47" i="4"/>
  <c r="B11" i="10"/>
  <c r="B44" i="9"/>
  <c r="AP43" i="65"/>
  <c r="C45" i="65"/>
  <c r="M25" i="8"/>
  <c r="B69" i="9"/>
  <c r="D69" i="9" s="1"/>
  <c r="D27" i="9"/>
  <c r="B56" i="9"/>
  <c r="D56" i="9" s="1"/>
  <c r="D14" i="9"/>
  <c r="H21" i="58"/>
  <c r="I89" i="37"/>
  <c r="I89" i="33"/>
  <c r="I89" i="35"/>
  <c r="I89" i="29"/>
  <c r="I89" i="27"/>
  <c r="I89" i="23"/>
  <c r="I89" i="18"/>
  <c r="I89" i="13"/>
  <c r="G23" i="10"/>
  <c r="H87" i="33"/>
  <c r="G45" i="9"/>
  <c r="H89" i="4"/>
  <c r="J89" i="4" s="1"/>
  <c r="V64" i="62"/>
  <c r="N62" i="8"/>
  <c r="H56" i="9"/>
  <c r="B57" i="9"/>
  <c r="D57" i="9" s="1"/>
  <c r="M13" i="8"/>
  <c r="D15" i="9"/>
  <c r="M62" i="8"/>
  <c r="G56" i="9"/>
  <c r="I56" i="9" s="1"/>
  <c r="I14" i="9"/>
  <c r="I51" i="9"/>
  <c r="I68" i="37"/>
  <c r="I68" i="33"/>
  <c r="I68" i="29"/>
  <c r="I68" i="27"/>
  <c r="I68" i="23"/>
  <c r="I68" i="20"/>
  <c r="I68" i="13"/>
  <c r="I68" i="18"/>
  <c r="G13" i="10"/>
  <c r="AJ35" i="70"/>
  <c r="H45" i="65"/>
  <c r="J43" i="65"/>
  <c r="I98" i="4"/>
  <c r="C73" i="9"/>
  <c r="N28" i="8"/>
  <c r="G66" i="9"/>
  <c r="I66" i="9" s="1"/>
  <c r="I24" i="9"/>
  <c r="M71" i="8"/>
  <c r="M45" i="65"/>
  <c r="N45" i="65"/>
  <c r="P43" i="65"/>
  <c r="M64" i="8"/>
  <c r="I16" i="9"/>
  <c r="H87" i="23"/>
  <c r="G41" i="9"/>
  <c r="D26" i="9"/>
  <c r="M24" i="8"/>
  <c r="D51" i="9"/>
  <c r="D98" i="4"/>
  <c r="AN43" i="65"/>
  <c r="B75" i="9"/>
  <c r="D75" i="9" s="1"/>
  <c r="D32" i="9"/>
  <c r="M30" i="8"/>
  <c r="D38" i="58"/>
  <c r="G64" i="62"/>
  <c r="I100" i="37"/>
  <c r="I100" i="33"/>
  <c r="I100" i="29"/>
  <c r="I100" i="27"/>
  <c r="I100" i="23"/>
  <c r="I100" i="18"/>
  <c r="I100" i="13"/>
  <c r="M22" i="8"/>
  <c r="B67" i="9"/>
  <c r="D67" i="9" s="1"/>
  <c r="D25" i="9"/>
  <c r="D87" i="4"/>
  <c r="B22" i="10"/>
  <c r="AN47" i="69"/>
  <c r="Z45" i="65"/>
  <c r="AB43" i="65"/>
  <c r="J38" i="10"/>
  <c r="L38" i="10" s="1"/>
  <c r="B60" i="10"/>
  <c r="D38" i="10"/>
  <c r="D42" i="9"/>
  <c r="M43" i="8"/>
  <c r="H87" i="4"/>
  <c r="AQ46" i="68"/>
  <c r="B54" i="10"/>
  <c r="B57" i="10" s="1"/>
  <c r="D32" i="10"/>
  <c r="J32" i="10"/>
  <c r="C38" i="9"/>
  <c r="G40" i="9"/>
  <c r="G57" i="9"/>
  <c r="I57" i="9" s="1"/>
  <c r="I15" i="9"/>
  <c r="M63" i="8"/>
  <c r="AT48" i="68"/>
  <c r="E98" i="37"/>
  <c r="E98" i="33"/>
  <c r="E98" i="29"/>
  <c r="E97" i="29"/>
  <c r="E98" i="27"/>
  <c r="E98" i="23"/>
  <c r="E98" i="13"/>
  <c r="E98" i="18"/>
  <c r="K43" i="10"/>
  <c r="K32" i="10"/>
  <c r="C54" i="10"/>
  <c r="C57" i="10" s="1"/>
  <c r="H87" i="29"/>
  <c r="G43" i="9"/>
  <c r="AN64" i="62"/>
  <c r="M100" i="37"/>
  <c r="M100" i="33"/>
  <c r="M100" i="29"/>
  <c r="M100" i="27"/>
  <c r="M100" i="23"/>
  <c r="M100" i="13"/>
  <c r="M100" i="18"/>
  <c r="D13" i="10"/>
  <c r="G54" i="10"/>
  <c r="E77" i="37"/>
  <c r="E76" i="37"/>
  <c r="E77" i="33"/>
  <c r="E76" i="33"/>
  <c r="E76" i="29"/>
  <c r="E77" i="29"/>
  <c r="E77" i="27"/>
  <c r="E77" i="23"/>
  <c r="E77" i="20"/>
  <c r="E76" i="13"/>
  <c r="E77" i="18"/>
  <c r="E77" i="13"/>
  <c r="H19" i="58"/>
  <c r="Q45" i="65"/>
  <c r="S43" i="65"/>
  <c r="H69" i="9"/>
  <c r="I69" i="9" s="1"/>
  <c r="N74" i="8"/>
  <c r="AK64" i="62"/>
  <c r="D77" i="4"/>
  <c r="AT62" i="62"/>
  <c r="AE64" i="62"/>
  <c r="I68" i="4"/>
  <c r="D43" i="10"/>
  <c r="J43" i="10"/>
  <c r="AI35" i="70"/>
  <c r="AH35" i="70"/>
  <c r="P64" i="62"/>
  <c r="N58" i="8"/>
  <c r="T45" i="65"/>
  <c r="V43" i="65"/>
  <c r="H18" i="58"/>
  <c r="D49" i="10"/>
  <c r="J49" i="10"/>
  <c r="L49" i="10" s="1"/>
  <c r="H25" i="58"/>
  <c r="F24" i="58"/>
  <c r="D8" i="58"/>
  <c r="H66" i="20"/>
  <c r="B40" i="9"/>
  <c r="G8" i="58"/>
  <c r="AO43" i="65"/>
  <c r="AQ43" i="65" s="1"/>
  <c r="B45" i="65"/>
  <c r="D43" i="65"/>
  <c r="M119" i="37"/>
  <c r="M119" i="35"/>
  <c r="M119" i="33"/>
  <c r="M119" i="29"/>
  <c r="M119" i="27"/>
  <c r="M119" i="23"/>
  <c r="M119" i="20"/>
  <c r="M119" i="13"/>
  <c r="M119" i="18"/>
  <c r="AS64" i="62"/>
  <c r="I25" i="9"/>
  <c r="M72" i="8"/>
  <c r="G67" i="9"/>
  <c r="I67" i="9" s="1"/>
  <c r="E45" i="65"/>
  <c r="G43" i="65"/>
  <c r="AB64" i="62"/>
  <c r="M20" i="8"/>
  <c r="B65" i="9"/>
  <c r="D65" i="9" s="1"/>
  <c r="D23" i="9"/>
  <c r="C54" i="9"/>
  <c r="N10" i="8"/>
  <c r="H66" i="27"/>
  <c r="B38" i="9"/>
  <c r="M89" i="37"/>
  <c r="M89" i="35"/>
  <c r="M89" i="33"/>
  <c r="M89" i="29"/>
  <c r="M89" i="27"/>
  <c r="M89" i="23"/>
  <c r="M89" i="13"/>
  <c r="M89" i="18"/>
  <c r="C32" i="58"/>
  <c r="D36" i="58"/>
  <c r="H66" i="33"/>
  <c r="B45" i="9"/>
  <c r="H22" i="58"/>
  <c r="AF45" i="65"/>
  <c r="AH43" i="65"/>
  <c r="N64" i="8"/>
  <c r="H58" i="9"/>
  <c r="AK45" i="65"/>
  <c r="N15" i="8"/>
  <c r="C59" i="9"/>
  <c r="M111" i="37"/>
  <c r="M111" i="35"/>
  <c r="M111" i="33"/>
  <c r="M111" i="29"/>
  <c r="M111" i="27"/>
  <c r="M111" i="23"/>
  <c r="M111" i="20"/>
  <c r="M111" i="13"/>
  <c r="M111" i="18"/>
  <c r="N59" i="8"/>
  <c r="H53" i="9" l="1"/>
  <c r="L66" i="27"/>
  <c r="J57" i="10"/>
  <c r="H54" i="10"/>
  <c r="H13" i="10"/>
  <c r="E21" i="9"/>
  <c r="M79" i="18"/>
  <c r="M79" i="37"/>
  <c r="E27" i="9"/>
  <c r="E11" i="9"/>
  <c r="E32" i="9"/>
  <c r="E16" i="9"/>
  <c r="E22" i="9"/>
  <c r="J68" i="4"/>
  <c r="M79" i="13"/>
  <c r="M79" i="33"/>
  <c r="L46" i="10"/>
  <c r="M79" i="20"/>
  <c r="M79" i="27"/>
  <c r="M79" i="23"/>
  <c r="M79" i="29"/>
  <c r="E20" i="9"/>
  <c r="E28" i="9"/>
  <c r="E13" i="9"/>
  <c r="E17" i="9"/>
  <c r="E18" i="9"/>
  <c r="E12" i="9"/>
  <c r="J14" i="9"/>
  <c r="J11" i="9"/>
  <c r="E76" i="9"/>
  <c r="E30" i="9"/>
  <c r="E26" i="9"/>
  <c r="E15" i="9"/>
  <c r="D34" i="9"/>
  <c r="E14" i="9"/>
  <c r="E25" i="9"/>
  <c r="E31" i="9"/>
  <c r="E10" i="9"/>
  <c r="C17" i="10"/>
  <c r="E23" i="9"/>
  <c r="E24" i="9"/>
  <c r="E29" i="9"/>
  <c r="E33" i="9"/>
  <c r="E19" i="9"/>
  <c r="J18" i="9"/>
  <c r="J27" i="9"/>
  <c r="C47" i="9"/>
  <c r="J31" i="9"/>
  <c r="J17" i="9"/>
  <c r="J25" i="9"/>
  <c r="J24" i="9"/>
  <c r="J29" i="9"/>
  <c r="J23" i="9"/>
  <c r="J12" i="9"/>
  <c r="J26" i="9"/>
  <c r="J22" i="9"/>
  <c r="J30" i="9"/>
  <c r="J19" i="9"/>
  <c r="J28" i="9"/>
  <c r="J15" i="9"/>
  <c r="J13" i="9"/>
  <c r="J20" i="9"/>
  <c r="J21" i="9"/>
  <c r="J32" i="9"/>
  <c r="J33" i="9"/>
  <c r="B47" i="9"/>
  <c r="F17" i="10" s="1"/>
  <c r="J16" i="9"/>
  <c r="H24" i="58"/>
  <c r="D12" i="10"/>
  <c r="B17" i="10"/>
  <c r="G77" i="4"/>
  <c r="J76" i="9"/>
  <c r="I34" i="9"/>
  <c r="H46" i="10"/>
  <c r="J79" i="4"/>
  <c r="J98" i="4"/>
  <c r="H66" i="4"/>
  <c r="J66" i="4" s="1"/>
  <c r="G66" i="4"/>
  <c r="D57" i="10"/>
  <c r="G98" i="4"/>
  <c r="H77" i="4"/>
  <c r="J77" i="4" s="1"/>
  <c r="F22" i="10"/>
  <c r="J22" i="10" s="1"/>
  <c r="G87" i="4"/>
  <c r="H23" i="10"/>
  <c r="M87" i="37"/>
  <c r="M87" i="35"/>
  <c r="M87" i="27"/>
  <c r="M87" i="13"/>
  <c r="M87" i="33"/>
  <c r="M87" i="18"/>
  <c r="M87" i="29"/>
  <c r="M66" i="37"/>
  <c r="M66" i="27"/>
  <c r="M66" i="18"/>
  <c r="M66" i="20"/>
  <c r="M66" i="13"/>
  <c r="M66" i="29"/>
  <c r="M66" i="23"/>
  <c r="M66" i="33"/>
  <c r="J87" i="4"/>
  <c r="K35" i="10"/>
  <c r="L35" i="10" s="1"/>
  <c r="H35" i="10"/>
  <c r="G57" i="10"/>
  <c r="H57" i="10" s="1"/>
  <c r="C27" i="10"/>
  <c r="D27" i="10" s="1"/>
  <c r="J9" i="9"/>
  <c r="H61" i="9"/>
  <c r="I38" i="9"/>
  <c r="M88" i="8"/>
  <c r="G53" i="9"/>
  <c r="I53" i="9" s="1"/>
  <c r="L43" i="10"/>
  <c r="C71" i="9"/>
  <c r="K13" i="10"/>
  <c r="L13" i="10" s="1"/>
  <c r="H52" i="9"/>
  <c r="I52" i="9" s="1"/>
  <c r="F38" i="58"/>
  <c r="N96" i="8"/>
  <c r="H73" i="9"/>
  <c r="H16" i="58"/>
  <c r="M87" i="23"/>
  <c r="K23" i="10"/>
  <c r="L23" i="10" s="1"/>
  <c r="D59" i="9"/>
  <c r="G54" i="9"/>
  <c r="M89" i="8"/>
  <c r="G47" i="9"/>
  <c r="I39" i="9"/>
  <c r="D43" i="9"/>
  <c r="M44" i="8"/>
  <c r="N92" i="8"/>
  <c r="H65" i="9"/>
  <c r="B54" i="9"/>
  <c r="D54" i="9" s="1"/>
  <c r="D39" i="9"/>
  <c r="M40" i="8"/>
  <c r="D37" i="9"/>
  <c r="C52" i="9"/>
  <c r="N38" i="8"/>
  <c r="G73" i="9"/>
  <c r="M96" i="8"/>
  <c r="I46" i="9"/>
  <c r="L32" i="10"/>
  <c r="M92" i="8"/>
  <c r="I42" i="9"/>
  <c r="G65" i="9"/>
  <c r="B73" i="9"/>
  <c r="D73" i="9" s="1"/>
  <c r="D46" i="9"/>
  <c r="M47" i="8"/>
  <c r="D63" i="9"/>
  <c r="AO45" i="65"/>
  <c r="D45" i="65"/>
  <c r="M68" i="37"/>
  <c r="M68" i="33"/>
  <c r="M68" i="29"/>
  <c r="M68" i="27"/>
  <c r="M68" i="23"/>
  <c r="M68" i="20"/>
  <c r="M68" i="18"/>
  <c r="M68" i="13"/>
  <c r="M77" i="37"/>
  <c r="M76" i="37"/>
  <c r="M77" i="33"/>
  <c r="M76" i="33"/>
  <c r="M76" i="29"/>
  <c r="M77" i="29"/>
  <c r="M77" i="27"/>
  <c r="M77" i="23"/>
  <c r="M76" i="13"/>
  <c r="M77" i="18"/>
  <c r="M77" i="20"/>
  <c r="M77" i="13"/>
  <c r="K54" i="10"/>
  <c r="I40" i="9"/>
  <c r="M90" i="8"/>
  <c r="J60" i="10"/>
  <c r="L60" i="10" s="1"/>
  <c r="D60" i="10"/>
  <c r="AP45" i="65"/>
  <c r="D32" i="58"/>
  <c r="F37" i="58"/>
  <c r="F33" i="58"/>
  <c r="F35" i="58"/>
  <c r="F36" i="58"/>
  <c r="D22" i="10"/>
  <c r="AN45" i="65"/>
  <c r="M91" i="8"/>
  <c r="I41" i="9"/>
  <c r="G61" i="9"/>
  <c r="J45" i="65"/>
  <c r="M95" i="8"/>
  <c r="I45" i="9"/>
  <c r="G72" i="9"/>
  <c r="I72" i="9" s="1"/>
  <c r="M93" i="8"/>
  <c r="I43" i="9"/>
  <c r="G68" i="9"/>
  <c r="I68" i="9" s="1"/>
  <c r="I66" i="37"/>
  <c r="I66" i="33"/>
  <c r="I66" i="29"/>
  <c r="I66" i="27"/>
  <c r="I66" i="23"/>
  <c r="I66" i="20"/>
  <c r="I66" i="13"/>
  <c r="I66" i="18"/>
  <c r="G12" i="10"/>
  <c r="K12" i="10" s="1"/>
  <c r="B71" i="9"/>
  <c r="D44" i="9"/>
  <c r="M45" i="8"/>
  <c r="D40" i="9"/>
  <c r="M41" i="8"/>
  <c r="B58" i="9"/>
  <c r="D58" i="9" s="1"/>
  <c r="N39" i="8"/>
  <c r="C53" i="9"/>
  <c r="F12" i="10"/>
  <c r="G58" i="9"/>
  <c r="I58" i="9" s="1"/>
  <c r="H9" i="58"/>
  <c r="F8" i="58"/>
  <c r="H8" i="58" s="1"/>
  <c r="G33" i="58"/>
  <c r="G37" i="58"/>
  <c r="G35" i="58"/>
  <c r="G34" i="58"/>
  <c r="H34" i="58" s="1"/>
  <c r="G36" i="58"/>
  <c r="V45" i="65"/>
  <c r="AH45" i="65"/>
  <c r="G45" i="65"/>
  <c r="AK35" i="70"/>
  <c r="I77" i="37"/>
  <c r="I77" i="33"/>
  <c r="I77" i="29"/>
  <c r="I77" i="27"/>
  <c r="I77" i="23"/>
  <c r="I77" i="20"/>
  <c r="I77" i="13"/>
  <c r="I77" i="18"/>
  <c r="AE45" i="65"/>
  <c r="G38" i="58"/>
  <c r="H38" i="58" s="1"/>
  <c r="AT64" i="62"/>
  <c r="D38" i="9"/>
  <c r="M39" i="8"/>
  <c r="B53" i="9"/>
  <c r="D45" i="9"/>
  <c r="M46" i="8"/>
  <c r="B72" i="9"/>
  <c r="D72" i="9" s="1"/>
  <c r="S45" i="65"/>
  <c r="M98" i="37"/>
  <c r="M98" i="33"/>
  <c r="M98" i="29"/>
  <c r="M97" i="29"/>
  <c r="M98" i="27"/>
  <c r="M98" i="23"/>
  <c r="M98" i="13"/>
  <c r="M98" i="18"/>
  <c r="J54" i="10"/>
  <c r="D54" i="10"/>
  <c r="AB45" i="65"/>
  <c r="J11" i="10"/>
  <c r="L11" i="10" s="1"/>
  <c r="D11" i="10"/>
  <c r="I87" i="37"/>
  <c r="I87" i="33"/>
  <c r="I87" i="35"/>
  <c r="I87" i="29"/>
  <c r="I87" i="27"/>
  <c r="I87" i="23"/>
  <c r="I87" i="18"/>
  <c r="I87" i="13"/>
  <c r="G22" i="10"/>
  <c r="K22" i="10" s="1"/>
  <c r="P45" i="65"/>
  <c r="I98" i="37"/>
  <c r="I98" i="33"/>
  <c r="I98" i="29"/>
  <c r="I98" i="27"/>
  <c r="I98" i="23"/>
  <c r="I98" i="18"/>
  <c r="I98" i="13"/>
  <c r="H47" i="9"/>
  <c r="N87" i="8"/>
  <c r="I61" i="9" l="1"/>
  <c r="D17" i="10"/>
  <c r="E34" i="9"/>
  <c r="J34" i="9"/>
  <c r="J17" i="10"/>
  <c r="C77" i="9"/>
  <c r="E53" i="9" s="1"/>
  <c r="K57" i="10"/>
  <c r="L57" i="10" s="1"/>
  <c r="L22" i="10"/>
  <c r="H77" i="9"/>
  <c r="J69" i="9" s="1"/>
  <c r="D71" i="9"/>
  <c r="I54" i="9"/>
  <c r="G77" i="9"/>
  <c r="D53" i="9"/>
  <c r="B77" i="9"/>
  <c r="I73" i="9"/>
  <c r="L54" i="10"/>
  <c r="E42" i="9"/>
  <c r="E37" i="9"/>
  <c r="E40" i="9"/>
  <c r="E38" i="9"/>
  <c r="G17" i="10"/>
  <c r="K17" i="10" s="1"/>
  <c r="E45" i="9"/>
  <c r="E43" i="9"/>
  <c r="E39" i="9"/>
  <c r="E46" i="9"/>
  <c r="E41" i="9"/>
  <c r="E44" i="9"/>
  <c r="I65" i="9"/>
  <c r="H22" i="10"/>
  <c r="I47" i="9"/>
  <c r="F27" i="10"/>
  <c r="D47" i="9"/>
  <c r="D52" i="9"/>
  <c r="H12" i="10"/>
  <c r="J12" i="10"/>
  <c r="L12" i="10" s="1"/>
  <c r="H36" i="58"/>
  <c r="H35" i="58"/>
  <c r="H33" i="58"/>
  <c r="F32" i="58"/>
  <c r="H37" i="58"/>
  <c r="G32" i="58"/>
  <c r="J45" i="9"/>
  <c r="J43" i="9"/>
  <c r="J41" i="9"/>
  <c r="J39" i="9"/>
  <c r="J37" i="9"/>
  <c r="G27" i="10"/>
  <c r="K27" i="10" s="1"/>
  <c r="J46" i="9"/>
  <c r="J44" i="9"/>
  <c r="J42" i="9"/>
  <c r="J40" i="9"/>
  <c r="J38" i="9"/>
  <c r="AQ45" i="65"/>
  <c r="L17" i="10" l="1"/>
  <c r="J61" i="9"/>
  <c r="D77" i="9"/>
  <c r="J73" i="9"/>
  <c r="I77" i="9"/>
  <c r="J62" i="9"/>
  <c r="J64" i="9"/>
  <c r="J71" i="9"/>
  <c r="J58" i="9"/>
  <c r="J63" i="9"/>
  <c r="J59" i="9"/>
  <c r="J55" i="9"/>
  <c r="J57" i="9"/>
  <c r="J67" i="9"/>
  <c r="J51" i="9"/>
  <c r="J74" i="9"/>
  <c r="J70" i="9"/>
  <c r="J52" i="9"/>
  <c r="J54" i="9"/>
  <c r="J53" i="9"/>
  <c r="J47" i="9"/>
  <c r="J60" i="9"/>
  <c r="J75" i="9"/>
  <c r="J68" i="9"/>
  <c r="J56" i="9"/>
  <c r="E47" i="9"/>
  <c r="J72" i="9"/>
  <c r="J66" i="9"/>
  <c r="J65" i="9"/>
  <c r="H17" i="10"/>
  <c r="H32" i="58"/>
  <c r="E52" i="9"/>
  <c r="H27" i="10"/>
  <c r="J27" i="10"/>
  <c r="L27" i="10" s="1"/>
  <c r="E69" i="9"/>
  <c r="E68" i="9"/>
  <c r="E67" i="9"/>
  <c r="E65" i="9"/>
  <c r="E66" i="9"/>
  <c r="E61" i="9"/>
  <c r="E64" i="9"/>
  <c r="E55" i="9"/>
  <c r="E56" i="9"/>
  <c r="E51" i="9"/>
  <c r="E74" i="9"/>
  <c r="E75" i="9"/>
  <c r="E72" i="9"/>
  <c r="E70" i="9"/>
  <c r="E62" i="9"/>
  <c r="E60" i="9"/>
  <c r="E58" i="9"/>
  <c r="E57" i="9"/>
  <c r="E59" i="9"/>
  <c r="E73" i="9"/>
  <c r="E63" i="9"/>
  <c r="E54" i="9"/>
  <c r="E71" i="9"/>
  <c r="E77" i="9" l="1"/>
  <c r="J77"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7"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<sst xmlns="http://schemas.openxmlformats.org/spreadsheetml/2006/main" count="6768" uniqueCount="513">
  <si>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</si>
  <si>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</si>
  <si>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</si>
  <si>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</si>
  <si>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</si>
  <si>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</si>
  <si>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</si>
  <si>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</si>
  <si>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</si>
  <si>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</si>
  <si>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</si>
  <si>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</si>
  <si>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</si>
  <si>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</si>
  <si>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</si>
  <si>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</si>
  <si>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</si>
  <si>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</si>
  <si>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</si>
  <si>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</si>
  <si>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</si>
  <si>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</si>
  <si>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</si>
  <si>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</si>
  <si>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</si>
  <si>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</si>
  <si>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</si>
  <si>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</si>
  <si>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</si>
  <si>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</si>
  <si>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</si>
  <si>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</si>
  <si>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</si>
  <si>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</si>
  <si>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</si>
  <si>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</si>
  <si>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</si>
  <si>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</si>
  <si>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</si>
  <si>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</si>
  <si>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</si>
  <si>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</si>
  <si>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</si>
  <si>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</si>
  <si>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</si>
  <si>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</si>
  <si>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</si>
  <si>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</si>
  <si>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</si>
  <si>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</si>
  <si>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</si>
  <si>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</si>
  <si>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</si>
  <si>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</si>
  <si>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</si>
  <si>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</si>
  <si>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</si>
  <si>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</si>
  <si>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</si>
  <si>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</si>
  <si>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</si>
  <si>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</si>
  <si>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</si>
  <si>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</si>
  <si>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</si>
  <si>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</si>
  <si>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</si>
  <si>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</si>
  <si>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</si>
  <si>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</si>
  <si>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</si>
  <si>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</si>
  <si>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</si>
  <si>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</si>
  <si>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</si>
  <si>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</si>
  <si>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</si>
  <si>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</si>
  <si>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</si>
  <si>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</si>
  <si>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</si>
  <si>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</si>
  <si>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</si>
  <si>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</si>
  <si>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</si>
  <si>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</si>
  <si>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</si>
  <si>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</si>
  <si>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</si>
  <si>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</si>
  <si>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</si>
  <si>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</si>
  <si>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</si>
  <si>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</si>
  <si>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</si>
  <si>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</si>
  <si>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</si>
  <si>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</si>
  <si>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</si>
  <si>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</si>
  <si>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</si>
  <si>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</si>
  <si>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</si>
  <si>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</si>
  <si>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</si>
  <si>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</si>
  <si>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</si>
  <si>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</si>
  <si>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</si>
  <si>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</si>
  <si>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</si>
  <si>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</si>
  <si>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</si>
  <si>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</si>
  <si>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</si>
  <si>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</si>
  <si>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</si>
  <si>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</si>
  <si>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</si>
  <si>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</si>
  <si>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</si>
  <si>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</si>
  <si>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</si>
  <si>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</si>
  <si>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</si>
  <si>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</si>
  <si>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</si>
  <si>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</si>
  <si>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</si>
  <si>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</si>
  <si>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</si>
  <si>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</si>
  <si>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</si>
  <si>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</si>
  <si>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</si>
  <si>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</si>
  <si>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</si>
  <si>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</si>
  <si>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</si>
  <si>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</si>
  <si>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</si>
  <si>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</si>
  <si>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</si>
  <si>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</si>
  <si>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</si>
  <si>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</si>
  <si>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</si>
  <si>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</si>
  <si>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</si>
  <si>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</si>
  <si>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</si>
  <si>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</si>
  <si>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</si>
  <si>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</si>
  <si>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</si>
  <si>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</si>
  <si>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</si>
  <si>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</si>
  <si>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</si>
  <si>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</si>
  <si>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</si>
  <si>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</si>
  <si>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</si>
  <si>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</si>
  <si>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</si>
  <si>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</si>
  <si>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</si>
  <si>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</si>
  <si>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</si>
  <si>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</si>
  <si>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</si>
  <si>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</si>
  <si>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</si>
  <si>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</si>
  <si>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</si>
  <si>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</si>
  <si>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</si>
  <si>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</si>
  <si>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</si>
  <si>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</si>
  <si>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</si>
  <si>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</si>
  <si>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</si>
  <si>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</si>
  <si>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</si>
  <si>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</si>
  <si>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</si>
  <si>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</si>
  <si>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</si>
  <si>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</si>
  <si>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</si>
  <si>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</si>
  <si>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</si>
  <si>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</si>
  <si>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</si>
  <si>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</si>
  <si>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</si>
  <si>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</si>
  <si>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</si>
  <si>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</si>
  <si>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</si>
  <si>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</si>
  <si>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</si>
  <si>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</si>
  <si>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</si>
  <si>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</si>
  <si>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</si>
  <si>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</si>
  <si>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</si>
  <si>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</si>
  <si>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</si>
  <si>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</si>
  <si>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</si>
  <si>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</si>
  <si>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</si>
  <si>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</si>
  <si>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</si>
  <si>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</si>
  <si>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</si>
  <si>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</si>
  <si>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</si>
  <si>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</si>
  <si>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</si>
  <si>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</si>
  <si>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</si>
  <si>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</si>
  <si>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</si>
  <si>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</si>
  <si>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</si>
  <si>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</si>
  <si>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</si>
  <si>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</si>
  <si>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</si>
  <si>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</si>
  <si>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</si>
  <si>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</si>
  <si>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</si>
  <si>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</si>
  <si>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</si>
  <si>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</si>
  <si>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</si>
  <si>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</si>
  <si>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</si>
  <si>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</si>
  <si>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</si>
  <si>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</si>
  <si>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</si>
  <si>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</si>
  <si>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</si>
  <si>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</si>
  <si>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</si>
  <si>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</si>
  <si>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</si>
  <si>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</si>
  <si>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</si>
  <si>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</si>
  <si>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</si>
  <si>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</si>
  <si>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</si>
  <si>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</si>
  <si>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</si>
  <si>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</si>
  <si>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</si>
  <si>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</si>
  <si>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</si>
  <si>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</si>
  <si>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Tabell 7b</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</si>
  <si>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</si>
  <si>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</si>
  <si>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</si>
  <si>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</si>
  <si>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</si>
  <si>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</si>
  <si>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</si>
  <si>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</si>
  <si>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</si>
  <si>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</si>
  <si>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</si>
  <si>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</si>
  <si>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</si>
  <si>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</si>
  <si>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</si>
  <si>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</si>
  <si>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</si>
  <si>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</si>
  <si>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</si>
  <si>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</si>
  <si>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</si>
  <si>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</si>
  <si>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</si>
  <si>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</si>
  <si>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</si>
  <si>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</si>
  <si>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</si>
  <si>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</si>
  <si>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</si>
  <si>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</si>
  <si>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</si>
  <si>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</si>
  <si>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</si>
  <si>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</si>
  <si>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</si>
  <si>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</si>
  <si>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</si>
  <si>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</si>
  <si>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</si>
  <si>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</si>
  <si>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</si>
  <si>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</si>
  <si>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</si>
  <si>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</si>
  <si>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</si>
  <si>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</si>
  <si>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</si>
  <si>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</si>
  <si>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</si>
  <si>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</si>
  <si>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</si>
  <si>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</si>
  <si>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</si>
  <si>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</si>
  <si>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</si>
  <si>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</si>
  <si>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</si>
  <si>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</si>
  <si>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</si>
  <si>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</si>
  <si>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</si>
  <si>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</si>
  <si>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</si>
  <si>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</si>
  <si>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</si>
  <si>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</si>
  <si>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</si>
  <si>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</si>
  <si>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</si>
  <si>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</si>
  <si>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</si>
  <si>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</si>
  <si>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</si>
  <si>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</si>
  <si>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</si>
  <si>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</si>
  <si>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</si>
  <si>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</si>
  <si>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</si>
  <si>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</si>
  <si>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</si>
  <si>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</si>
  <si>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</si>
  <si>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</si>
  <si>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</si>
  <si>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</si>
  <si>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</si>
  <si>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</si>
  <si>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</si>
  <si>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</si>
  <si>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</si>
  <si>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</si>
  <si>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</si>
  <si>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31.12.</t>
  </si>
  <si>
    <t xml:space="preserve">    13.5 Andre tekniske avsetninger for skadeforsikringsvirksomheten</t>
  </si>
  <si>
    <t xml:space="preserve">    5.2 Overføring av premieres., tilleggsavsetn. til andre selskap/kasser</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</si>
  <si>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</si>
  <si>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</si>
  <si>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</si>
  <si>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</si>
  <si>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</si>
  <si>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</si>
  <si>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</si>
  <si>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</si>
  <si>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</si>
  <si>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</si>
  <si>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</si>
  <si>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</si>
  <si>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</si>
  <si>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</si>
  <si>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</si>
  <si>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</si>
  <si>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</si>
  <si>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</si>
  <si>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</si>
  <si>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</si>
  <si>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</si>
  <si>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</si>
  <si>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</si>
  <si>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</si>
  <si>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</si>
  <si>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</si>
  <si>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</si>
  <si>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</si>
  <si>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</si>
  <si>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</si>
  <si>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</si>
  <si>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</si>
  <si>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</si>
  <si>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</si>
  <si>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</si>
  <si>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</si>
  <si>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</si>
  <si>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</si>
  <si>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</si>
  <si>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</si>
  <si>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</si>
  <si>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</si>
  <si>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</si>
  <si>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</si>
  <si>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</si>
  <si>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</si>
  <si>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</si>
  <si>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</si>
  <si>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</si>
  <si>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</si>
  <si>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</si>
  <si>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</si>
  <si>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</si>
  <si>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</si>
  <si>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</si>
  <si>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</si>
  <si>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</si>
  <si>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</si>
  <si>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</si>
  <si>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13.4 Premie-, innskudds- og pensjonistenes overskuddsfond</t>
  </si>
  <si>
    <t>13.5 Andre tekniske avsetninger for skadeforsikringsvirksomheten</t>
  </si>
  <si>
    <t>Sum avsetning til forsikringsforpliktelser - KF</t>
  </si>
  <si>
    <t xml:space="preserve">         Annet (post 13.3 og 13.5)</t>
  </si>
  <si>
    <t>Tabell 7.b</t>
  </si>
  <si>
    <t>Spesifikasjon av post 13. Forsikringsforpliktelser -SI</t>
  </si>
  <si>
    <t>Produkter med</t>
  </si>
  <si>
    <t>med investeringsvalg</t>
  </si>
  <si>
    <t>alle produkter KF + SI</t>
  </si>
  <si>
    <t>14. Forsikringsmessige avsetninger</t>
  </si>
  <si>
    <t>14.1 Premiereserve brutto</t>
  </si>
  <si>
    <t>14.2 Supplerende avsetninger</t>
  </si>
  <si>
    <t>14.3 Tilleggsavsetninger</t>
  </si>
  <si>
    <t>14.4 Premie-, innskudds- og pensjonistenes overskuddsfond</t>
  </si>
  <si>
    <t>Sum avsetning til forsikringsforpliktelser - SI</t>
  </si>
  <si>
    <r>
      <t>Soliditetskapital</t>
    </r>
    <r>
      <rPr>
        <sz val="14"/>
        <rFont val="Times New Roman"/>
        <family val="1"/>
      </rPr>
      <t xml:space="preserve"> (%)</t>
    </r>
  </si>
  <si>
    <t>Avkastningstall</t>
  </si>
  <si>
    <r>
      <t xml:space="preserve">Kapitalavkastning I </t>
    </r>
    <r>
      <rPr>
        <b/>
        <sz val="14"/>
        <rFont val="Times New Roman"/>
        <family val="1"/>
      </rPr>
      <t>(%)</t>
    </r>
  </si>
  <si>
    <t>Gammel overskuddsmodell</t>
  </si>
  <si>
    <t>Modifisert/ny overskuddsmodell</t>
  </si>
  <si>
    <r>
      <t xml:space="preserve">Kapitalavkastning II </t>
    </r>
    <r>
      <rPr>
        <b/>
        <sz val="14"/>
        <rFont val="Times New Roman"/>
        <family val="1"/>
      </rPr>
      <t xml:space="preserve"> (%)</t>
    </r>
  </si>
  <si>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</si>
  <si>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</si>
  <si>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</si>
  <si>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</si>
  <si>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</si>
  <si>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</si>
  <si>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</si>
  <si>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</si>
  <si>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</si>
  <si>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</si>
  <si>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</si>
  <si>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</si>
  <si>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</si>
  <si>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</si>
  <si>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</si>
  <si>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</si>
  <si>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</si>
  <si>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</si>
  <si>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</si>
  <si>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</si>
  <si>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</si>
  <si>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</si>
  <si>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</si>
  <si>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</si>
  <si>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</si>
  <si>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</si>
  <si>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</si>
  <si>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</si>
  <si>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</si>
  <si>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</si>
  <si>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</si>
  <si>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</si>
  <si>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</si>
  <si>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</si>
  <si>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</si>
  <si>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</si>
  <si>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</si>
  <si>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</si>
  <si>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</si>
  <si>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</si>
  <si>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</si>
  <si>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</si>
  <si>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Mer/mindre-verdier</t>
  </si>
  <si>
    <t>Landkreditt Forsikring</t>
  </si>
  <si>
    <t>WaterCircles Fors.</t>
  </si>
  <si>
    <t>WaterCicles Fors.</t>
  </si>
  <si>
    <t>DNB Bedriftspensjon</t>
  </si>
  <si>
    <t>WaterCircles Forsikring</t>
  </si>
  <si>
    <t>DNB Bedriftsp</t>
  </si>
  <si>
    <t>Landkreditt Fors</t>
  </si>
  <si>
    <t>Codan Forsikring</t>
  </si>
  <si>
    <t>Euro Accident</t>
  </si>
  <si>
    <t xml:space="preserve">   Innskuddsbasert (inkl. EPK)</t>
  </si>
  <si>
    <t>Bedriftspensjon</t>
  </si>
  <si>
    <t>Forsikring</t>
  </si>
  <si>
    <t>SpareBank 1 Forsikring</t>
  </si>
  <si>
    <t>Gjennomsnitt 2017 - 2021</t>
  </si>
  <si>
    <t>Figur 1  Brutto forfalt premie livprodukter  -  produkter uten investeringsvalg pr. 31.12.</t>
  </si>
  <si>
    <t>Figur 2  Brutto forfalt premie livprodukter  -  produkter med investeringsvalg pr. 31.12.</t>
  </si>
  <si>
    <t>Figur 3  Forsikringsforpliktelser i livsforsikring  -  produkter uten investeringsvalg pr. 31.12.</t>
  </si>
  <si>
    <t>Figur 4  Forsikringsforpliktelser i livsforsikring -  produkter med investeringsvalg pr. 31.12.</t>
  </si>
  <si>
    <t>Figur 5  Netto tilflytting livprodukter  -  produkter uten investeringsvalg pr. 31.12.</t>
  </si>
  <si>
    <t>Figur 6  Netto tilflytting livprodukter  -  produkter med investeringsvalg pr. 31.12.</t>
  </si>
  <si>
    <t>Spesifikasjon av post 13 - forsikringsforpliktelser - produkter uten investeringsvalg</t>
  </si>
  <si>
    <t>Spesifikasjon post 14 forsikringsforpliktelser - produkter med investeringsvalg</t>
  </si>
  <si>
    <t>31.12.2020</t>
  </si>
  <si>
    <t>31.12.2021</t>
  </si>
  <si>
    <r>
      <t xml:space="preserve">  Herav pensjonskapitalbevis innenfor og utenfor EPK</t>
    </r>
    <r>
      <rPr>
        <vertAlign val="superscript"/>
        <sz val="10"/>
        <rFont val="Times New Roman"/>
        <family val="1"/>
      </rPr>
      <t>14, 18</t>
    </r>
  </si>
  <si>
    <t>Postene Herav pensjonskapitalbevis omfatter pensjonskapitalbevis innenfor og utenfor Egen pensjonskonto. Med pensjonskapitalbevis innenfor Egen pensjonskonto menes passiv kapital. Se for øvrig note 14.</t>
  </si>
  <si>
    <r>
      <t>norske livselskaper</t>
    </r>
    <r>
      <rPr>
        <b/>
        <vertAlign val="superscript"/>
        <sz val="14"/>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</si>
</sst>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0.000"/>
    <numFmt numFmtId="174" formatCode="_-* #,##0_-;\-* #,##0_-;_-*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
      <b/>
      <sz val="10"/>
      <color rgb="FFFF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2">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0" fontId="15" fillId="0" borderId="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1014">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3"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4" xfId="846" applyFont="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xf>
    <xf numFmtId="3" fontId="46" fillId="4"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0" fontId="46" fillId="0" borderId="4" xfId="0" applyFont="1" applyFill="1" applyBorder="1" applyProtection="1">
      <protection locked="0"/>
    </xf>
    <xf numFmtId="3" fontId="46" fillId="4" borderId="4" xfId="0" applyNumberFormat="1" applyFont="1" applyFill="1" applyBorder="1" applyProtection="1">
      <protection locked="0"/>
    </xf>
    <xf numFmtId="0" fontId="31" fillId="0" borderId="4" xfId="0" applyFont="1" applyFill="1" applyBorder="1" applyProtection="1">
      <protection locked="0"/>
    </xf>
    <xf numFmtId="0" fontId="31" fillId="0" borderId="3" xfId="0" applyFont="1" applyFill="1" applyBorder="1" applyProtection="1">
      <protection locked="0"/>
    </xf>
    <xf numFmtId="0" fontId="20" fillId="0" borderId="3" xfId="0" applyFont="1" applyFill="1" applyBorder="1" applyProtection="1">
      <protection locked="0"/>
    </xf>
    <xf numFmtId="0" fontId="46" fillId="0" borderId="11" xfId="0"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3" fontId="31" fillId="0" borderId="0" xfId="0" applyNumberFormat="1" applyFont="1" applyBorder="1" applyProtection="1">
      <protection locked="0"/>
    </xf>
    <xf numFmtId="0" fontId="62" fillId="0" borderId="0" xfId="0" applyFont="1" applyProtection="1">
      <protection locked="0"/>
    </xf>
    <xf numFmtId="3" fontId="63" fillId="0" borderId="0" xfId="0" applyNumberFormat="1" applyFont="1" applyBorder="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20" fillId="0" borderId="0" xfId="0" applyFont="1" applyFill="1" applyProtection="1">
      <protection locked="0"/>
    </xf>
    <xf numFmtId="0" fontId="50" fillId="0" borderId="0" xfId="0" applyFont="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14" fontId="14" fillId="0" borderId="7" xfId="1" applyNumberFormat="1" applyFont="1" applyFill="1" applyBorder="1" applyAlignment="1" applyProtection="1">
      <alignment horizontal="left"/>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3" fontId="51" fillId="4" borderId="6" xfId="1" applyNumberFormat="1" applyFont="1" applyFill="1" applyBorder="1" applyProtection="1">
      <protection locked="0"/>
    </xf>
    <xf numFmtId="169" fontId="16" fillId="0" borderId="6" xfId="1" applyNumberFormat="1" applyFont="1" applyFill="1" applyBorder="1" applyAlignment="1" applyProtection="1">
      <alignment horizontal="center"/>
      <protection locked="0"/>
    </xf>
    <xf numFmtId="3" fontId="31" fillId="4" borderId="1" xfId="1" applyNumberFormat="1" applyFont="1" applyFill="1" applyBorder="1" applyAlignment="1" applyProtection="1">
      <alignment horizontal="right"/>
      <protection locked="0"/>
    </xf>
    <xf numFmtId="3" fontId="31" fillId="4" borderId="7" xfId="1"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protection locked="0"/>
    </xf>
    <xf numFmtId="0" fontId="31" fillId="4" borderId="7" xfId="1" applyFont="1" applyFill="1" applyBorder="1" applyAlignment="1" applyProtection="1">
      <alignment horizontal="right"/>
      <protection locked="0"/>
    </xf>
    <xf numFmtId="0" fontId="31" fillId="0" borderId="4" xfId="1" applyFont="1" applyFill="1" applyBorder="1" applyProtection="1">
      <protection locked="0"/>
    </xf>
    <xf numFmtId="3" fontId="31" fillId="4" borderId="4" xfId="1"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xf>
    <xf numFmtId="0" fontId="31" fillId="4" borderId="3" xfId="1" applyFont="1" applyFill="1" applyBorder="1" applyAlignment="1" applyProtection="1">
      <alignment horizontal="right"/>
      <protection locked="0"/>
    </xf>
    <xf numFmtId="3" fontId="31" fillId="0" borderId="3" xfId="1" applyNumberFormat="1" applyFont="1" applyFill="1" applyBorder="1" applyAlignment="1" applyProtection="1">
      <alignment horizontal="right"/>
      <protection locked="0"/>
    </xf>
    <xf numFmtId="0" fontId="31" fillId="0" borderId="3" xfId="1" applyFont="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3" fontId="31" fillId="9" borderId="3" xfId="1"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0" fontId="31" fillId="0" borderId="3" xfId="1" applyFont="1" applyFill="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11" xfId="1" applyFont="1" applyFill="1" applyBorder="1" applyProtection="1">
      <protection locked="0"/>
    </xf>
    <xf numFmtId="3" fontId="46" fillId="4" borderId="6" xfId="1" applyNumberFormat="1" applyFont="1" applyFill="1" applyBorder="1" applyAlignment="1" applyProtection="1">
      <alignment horizontal="right"/>
      <protection locked="0"/>
    </xf>
    <xf numFmtId="0" fontId="50" fillId="0" borderId="0" xfId="1" applyFont="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3" fontId="46" fillId="4" borderId="3" xfId="1" applyNumberFormat="1" applyFont="1" applyFill="1" applyBorder="1" applyAlignment="1" applyProtection="1">
      <alignment horizontal="right"/>
      <protection locked="0"/>
    </xf>
    <xf numFmtId="3" fontId="46" fillId="4" borderId="7" xfId="1" applyNumberFormat="1" applyFont="1" applyFill="1" applyBorder="1" applyAlignment="1" applyProtection="1">
      <alignment horizontal="right"/>
      <protection locked="0"/>
    </xf>
    <xf numFmtId="0" fontId="46" fillId="4" borderId="7" xfId="1" applyFont="1" applyFill="1" applyBorder="1" applyAlignment="1" applyProtection="1">
      <alignment horizontal="right"/>
      <protection locked="0"/>
    </xf>
    <xf numFmtId="0" fontId="46" fillId="4" borderId="15" xfId="1" applyFont="1" applyFill="1" applyBorder="1" applyAlignment="1" applyProtection="1">
      <alignment horizontal="right"/>
      <protection locked="0"/>
    </xf>
    <xf numFmtId="0" fontId="50" fillId="0" borderId="7" xfId="1" applyFont="1" applyBorder="1" applyAlignment="1" applyProtection="1">
      <alignment horizontal="right"/>
      <protection locked="0"/>
    </xf>
    <xf numFmtId="0" fontId="46" fillId="4" borderId="3" xfId="1" applyFont="1" applyFill="1" applyBorder="1" applyAlignment="1" applyProtection="1">
      <alignment horizontal="right"/>
      <protection locked="0"/>
    </xf>
    <xf numFmtId="0" fontId="46" fillId="4" borderId="2" xfId="1" applyFont="1" applyFill="1" applyBorder="1" applyAlignment="1" applyProtection="1">
      <alignment horizontal="right"/>
      <protection locked="0"/>
    </xf>
    <xf numFmtId="0" fontId="50" fillId="0" borderId="3" xfId="1" applyFont="1" applyBorder="1" applyAlignment="1" applyProtection="1">
      <alignment horizontal="right"/>
      <protection locked="0"/>
    </xf>
    <xf numFmtId="0" fontId="31" fillId="4" borderId="2" xfId="1" applyFont="1" applyFill="1" applyBorder="1" applyAlignment="1" applyProtection="1">
      <alignment horizontal="right"/>
      <protection locked="0"/>
    </xf>
    <xf numFmtId="0" fontId="31" fillId="0" borderId="0" xfId="1" applyFont="1" applyProtection="1">
      <protection locked="0"/>
    </xf>
    <xf numFmtId="3" fontId="31" fillId="4" borderId="2" xfId="1" applyNumberFormat="1" applyFont="1" applyFill="1" applyBorder="1" applyAlignment="1" applyProtection="1">
      <alignment horizontal="right"/>
      <protection locked="0"/>
    </xf>
    <xf numFmtId="3" fontId="46" fillId="4" borderId="2" xfId="1" applyNumberFormat="1" applyFont="1" applyFill="1" applyBorder="1" applyAlignment="1" applyProtection="1">
      <alignment horizontal="right"/>
      <protection locked="0"/>
    </xf>
    <xf numFmtId="0" fontId="46" fillId="0" borderId="0" xfId="1" applyFont="1" applyProtection="1">
      <protection locked="0"/>
    </xf>
    <xf numFmtId="3" fontId="46" fillId="4" borderId="11" xfId="15" applyNumberFormat="1" applyFont="1" applyFill="1" applyBorder="1" applyAlignment="1" applyProtection="1">
      <alignment horizontal="right"/>
      <protection locked="0"/>
    </xf>
    <xf numFmtId="0" fontId="46" fillId="4" borderId="6" xfId="1" applyFont="1" applyFill="1" applyBorder="1" applyAlignment="1" applyProtection="1">
      <alignment horizontal="right"/>
      <protection locked="0"/>
    </xf>
    <xf numFmtId="0" fontId="46" fillId="4" borderId="5" xfId="1" applyFont="1" applyFill="1" applyBorder="1" applyAlignment="1" applyProtection="1">
      <alignment horizontal="right"/>
      <protection locked="0"/>
    </xf>
    <xf numFmtId="0" fontId="46" fillId="0" borderId="6" xfId="1" applyFont="1" applyBorder="1" applyAlignment="1" applyProtection="1">
      <alignment horizontal="right"/>
      <protection locked="0"/>
    </xf>
    <xf numFmtId="0" fontId="46" fillId="0" borderId="7" xfId="1" applyFont="1" applyFill="1" applyBorder="1" applyProtection="1">
      <protection locked="0"/>
    </xf>
    <xf numFmtId="3" fontId="46" fillId="4" borderId="1" xfId="14" applyNumberFormat="1" applyFont="1" applyFill="1" applyBorder="1" applyAlignment="1" applyProtection="1">
      <alignment horizontal="right"/>
      <protection locked="0"/>
    </xf>
    <xf numFmtId="3" fontId="46" fillId="4" borderId="1" xfId="1" applyNumberFormat="1" applyFont="1" applyFill="1" applyBorder="1" applyAlignment="1" applyProtection="1">
      <alignment horizontal="right"/>
      <protection locked="0"/>
    </xf>
    <xf numFmtId="0" fontId="46" fillId="4" borderId="1" xfId="1" applyFont="1" applyFill="1" applyBorder="1" applyAlignment="1" applyProtection="1">
      <alignment horizontal="right"/>
      <protection locked="0"/>
    </xf>
    <xf numFmtId="0" fontId="46" fillId="0" borderId="7" xfId="1" applyFont="1" applyBorder="1" applyAlignment="1" applyProtection="1">
      <alignment horizontal="right"/>
      <protection locked="0"/>
    </xf>
    <xf numFmtId="0" fontId="31" fillId="0" borderId="3" xfId="1" applyFont="1" applyFill="1" applyBorder="1" applyProtection="1">
      <protection locked="0"/>
    </xf>
    <xf numFmtId="0" fontId="46" fillId="0" borderId="0" xfId="1" applyFont="1" applyFill="1" applyProtection="1">
      <protection locked="0"/>
    </xf>
    <xf numFmtId="0" fontId="31" fillId="0" borderId="0" xfId="1" applyFont="1" applyFill="1" applyProtection="1">
      <protection locked="0"/>
    </xf>
    <xf numFmtId="0" fontId="62" fillId="0" borderId="0" xfId="1" applyFont="1" applyBorder="1" applyProtection="1">
      <protection locked="0"/>
    </xf>
    <xf numFmtId="0" fontId="62" fillId="0" borderId="0" xfId="1" applyFont="1" applyProtection="1">
      <protection locked="0"/>
    </xf>
    <xf numFmtId="0" fontId="20" fillId="0" borderId="0" xfId="1" applyBorder="1" applyProtection="1">
      <protection locked="0"/>
    </xf>
    <xf numFmtId="0" fontId="42" fillId="0" borderId="0" xfId="7" applyFont="1" applyFill="1" applyProtection="1">
      <protection locked="0"/>
    </xf>
    <xf numFmtId="0" fontId="31" fillId="0" borderId="0" xfId="7" applyFont="1" applyFill="1" applyProtection="1">
      <protection locked="0"/>
    </xf>
    <xf numFmtId="0" fontId="20" fillId="0" borderId="0" xfId="7" applyFont="1" applyFill="1" applyProtection="1">
      <protection locked="0"/>
    </xf>
    <xf numFmtId="0" fontId="42" fillId="0" borderId="0" xfId="7" applyFont="1" applyFill="1" applyBorder="1" applyProtection="1">
      <protection locked="0"/>
    </xf>
    <xf numFmtId="0" fontId="46" fillId="0" borderId="0" xfId="7" applyFont="1" applyFill="1" applyBorder="1" applyProtection="1">
      <protection locked="0"/>
    </xf>
    <xf numFmtId="0" fontId="46" fillId="0" borderId="12" xfId="7" applyFont="1" applyFill="1" applyBorder="1" applyProtection="1">
      <protection locked="0"/>
    </xf>
    <xf numFmtId="14" fontId="14" fillId="0" borderId="3" xfId="7" applyNumberFormat="1" applyFont="1" applyFill="1" applyBorder="1" applyAlignment="1" applyProtection="1">
      <alignment horizontal="left"/>
      <protection locked="0"/>
    </xf>
    <xf numFmtId="0" fontId="18" fillId="0" borderId="8" xfId="7" applyFont="1" applyFill="1" applyBorder="1" applyProtection="1">
      <protection locked="0"/>
    </xf>
    <xf numFmtId="0" fontId="18" fillId="0" borderId="9" xfId="7" applyFont="1" applyFill="1" applyBorder="1" applyProtection="1">
      <protection locked="0"/>
    </xf>
    <xf numFmtId="0" fontId="18" fillId="0" borderId="10" xfId="7" applyFont="1" applyFill="1" applyBorder="1" applyProtection="1">
      <protection locked="0"/>
    </xf>
    <xf numFmtId="3" fontId="46" fillId="0" borderId="1" xfId="7" applyNumberFormat="1" applyFont="1" applyFill="1" applyBorder="1" applyProtection="1">
      <protection locked="0"/>
    </xf>
    <xf numFmtId="3" fontId="46" fillId="0" borderId="4" xfId="7" applyNumberFormat="1" applyFont="1" applyFill="1" applyBorder="1" applyProtection="1">
      <protection locked="0"/>
    </xf>
    <xf numFmtId="0" fontId="16" fillId="0" borderId="1" xfId="7" applyNumberFormat="1" applyFont="1" applyFill="1" applyBorder="1" applyAlignment="1" applyProtection="1">
      <alignment horizontal="center"/>
      <protection locked="0"/>
    </xf>
    <xf numFmtId="0" fontId="16" fillId="0" borderId="7" xfId="7" applyNumberFormat="1" applyFont="1" applyFill="1" applyBorder="1" applyAlignment="1" applyProtection="1">
      <alignment horizontal="center"/>
      <protection locked="0"/>
    </xf>
    <xf numFmtId="3" fontId="51" fillId="0" borderId="11" xfId="7" applyNumberFormat="1" applyFont="1" applyFill="1" applyBorder="1" applyProtection="1">
      <protection locked="0"/>
    </xf>
    <xf numFmtId="0" fontId="14" fillId="0" borderId="6" xfId="7" applyFont="1" applyFill="1" applyBorder="1" applyAlignment="1" applyProtection="1">
      <alignment horizontal="center"/>
      <protection locked="0"/>
    </xf>
    <xf numFmtId="169" fontId="16" fillId="0" borderId="6" xfId="7" applyNumberFormat="1" applyFont="1" applyFill="1" applyBorder="1" applyAlignment="1" applyProtection="1">
      <alignment horizontal="center"/>
      <protection locked="0"/>
    </xf>
    <xf numFmtId="3" fontId="51" fillId="0" borderId="7" xfId="7" applyNumberFormat="1" applyFont="1" applyFill="1" applyBorder="1" applyProtection="1">
      <protection locked="0"/>
    </xf>
    <xf numFmtId="169" fontId="16" fillId="0" borderId="4" xfId="7" applyNumberFormat="1" applyFont="1" applyFill="1" applyBorder="1" applyAlignment="1" applyProtection="1">
      <alignment horizontal="center"/>
      <protection locked="0"/>
    </xf>
    <xf numFmtId="169" fontId="16" fillId="0" borderId="3" xfId="7" applyNumberFormat="1" applyFont="1" applyFill="1" applyBorder="1" applyAlignment="1" applyProtection="1">
      <alignment horizontal="center"/>
      <protection locked="0"/>
    </xf>
    <xf numFmtId="0" fontId="14" fillId="0" borderId="4" xfId="7" applyFont="1" applyFill="1" applyBorder="1" applyAlignment="1" applyProtection="1">
      <alignment horizontal="center"/>
      <protection locked="0"/>
    </xf>
    <xf numFmtId="0" fontId="46" fillId="0" borderId="3" xfId="7" applyFont="1" applyFill="1" applyBorder="1" applyProtection="1">
      <protection locked="0"/>
    </xf>
    <xf numFmtId="169" fontId="46" fillId="0" borderId="4" xfId="7" applyNumberFormat="1" applyFont="1" applyFill="1" applyBorder="1" applyAlignment="1" applyProtection="1">
      <alignment horizontal="right"/>
      <protection locked="0"/>
    </xf>
    <xf numFmtId="169" fontId="46" fillId="0" borderId="3" xfId="7" applyNumberFormat="1" applyFont="1" applyFill="1" applyBorder="1" applyAlignment="1" applyProtection="1">
      <alignment horizontal="right"/>
      <protection locked="0"/>
    </xf>
    <xf numFmtId="1" fontId="46" fillId="0" borderId="3" xfId="7" applyNumberFormat="1" applyFont="1" applyFill="1" applyBorder="1" applyAlignment="1" applyProtection="1">
      <alignment horizontal="right"/>
      <protection locked="0"/>
    </xf>
    <xf numFmtId="0" fontId="46" fillId="0" borderId="4" xfId="7" applyNumberFormat="1" applyFont="1" applyFill="1" applyBorder="1" applyAlignment="1" applyProtection="1">
      <alignment horizontal="right"/>
      <protection locked="0"/>
    </xf>
    <xf numFmtId="0" fontId="31" fillId="0" borderId="3" xfId="7" applyFont="1" applyFill="1" applyBorder="1" applyProtection="1">
      <protection locked="0"/>
    </xf>
    <xf numFmtId="3" fontId="31" fillId="0" borderId="4" xfId="1" applyNumberFormat="1" applyFont="1" applyFill="1" applyBorder="1" applyAlignment="1" applyProtection="1">
      <alignment horizontal="right"/>
      <protection locked="0"/>
    </xf>
    <xf numFmtId="169" fontId="31" fillId="0" borderId="4" xfId="7" applyNumberFormat="1" applyFont="1" applyFill="1" applyBorder="1" applyAlignment="1" applyProtection="1">
      <alignment horizontal="right"/>
      <protection locked="0"/>
    </xf>
    <xf numFmtId="1" fontId="31" fillId="0" borderId="3" xfId="7" applyNumberFormat="1" applyFont="1" applyFill="1" applyBorder="1" applyAlignment="1" applyProtection="1">
      <alignment horizontal="right"/>
      <protection locked="0"/>
    </xf>
    <xf numFmtId="169" fontId="31" fillId="0" borderId="3" xfId="7" applyNumberFormat="1" applyFont="1" applyFill="1" applyBorder="1" applyAlignment="1" applyProtection="1">
      <alignment horizontal="right"/>
      <protection locked="0"/>
    </xf>
    <xf numFmtId="1" fontId="31" fillId="0" borderId="4" xfId="7" applyNumberFormat="1" applyFont="1" applyFill="1" applyBorder="1" applyAlignment="1" applyProtection="1">
      <alignment horizontal="right"/>
      <protection locked="0"/>
    </xf>
    <xf numFmtId="1" fontId="46" fillId="0" borderId="4" xfId="7" applyNumberFormat="1" applyFont="1" applyFill="1" applyBorder="1" applyAlignment="1" applyProtection="1">
      <alignment horizontal="right"/>
      <protection locked="0"/>
    </xf>
    <xf numFmtId="0" fontId="46" fillId="0" borderId="0" xfId="7" applyFont="1" applyFill="1" applyProtection="1">
      <protection locked="0"/>
    </xf>
    <xf numFmtId="3" fontId="31" fillId="0" borderId="4" xfId="7" applyNumberFormat="1" applyFont="1" applyFill="1" applyBorder="1" applyAlignment="1" applyProtection="1">
      <alignment horizontal="right"/>
      <protection locked="0"/>
    </xf>
    <xf numFmtId="3" fontId="31" fillId="0" borderId="3" xfId="7" applyNumberFormat="1" applyFont="1" applyFill="1" applyBorder="1" applyAlignment="1" applyProtection="1">
      <alignment horizontal="right"/>
      <protection locked="0"/>
    </xf>
    <xf numFmtId="3" fontId="46" fillId="0" borderId="4" xfId="7" applyNumberFormat="1" applyFont="1" applyFill="1" applyBorder="1" applyAlignment="1" applyProtection="1">
      <alignment horizontal="right"/>
      <protection locked="0"/>
    </xf>
    <xf numFmtId="3" fontId="46" fillId="0" borderId="3" xfId="7" applyNumberFormat="1" applyFont="1" applyFill="1" applyBorder="1" applyAlignment="1" applyProtection="1">
      <alignment horizontal="right"/>
      <protection locked="0"/>
    </xf>
    <xf numFmtId="0" fontId="31" fillId="0" borderId="6" xfId="7" applyFont="1" applyFill="1" applyBorder="1" applyProtection="1">
      <protection locked="0"/>
    </xf>
    <xf numFmtId="3" fontId="31" fillId="0" borderId="11" xfId="7" applyNumberFormat="1" applyFont="1" applyFill="1" applyBorder="1" applyAlignment="1" applyProtection="1">
      <alignment horizontal="right"/>
      <protection locked="0"/>
    </xf>
    <xf numFmtId="1" fontId="31" fillId="0" borderId="6" xfId="7" applyNumberFormat="1" applyFont="1" applyFill="1" applyBorder="1" applyAlignment="1" applyProtection="1">
      <alignment horizontal="right"/>
      <protection locked="0"/>
    </xf>
    <xf numFmtId="3" fontId="31" fillId="0" borderId="6" xfId="7" applyNumberFormat="1" applyFont="1" applyFill="1" applyBorder="1" applyAlignment="1" applyProtection="1">
      <alignment horizontal="right"/>
      <protection locked="0"/>
    </xf>
    <xf numFmtId="0" fontId="31" fillId="0" borderId="7" xfId="7" applyFont="1" applyFill="1" applyBorder="1" applyProtection="1">
      <protection locked="0"/>
    </xf>
    <xf numFmtId="3" fontId="31" fillId="0" borderId="1" xfId="7" applyNumberFormat="1" applyFont="1" applyFill="1" applyBorder="1" applyAlignment="1" applyProtection="1">
      <alignment horizontal="right"/>
      <protection locked="0"/>
    </xf>
    <xf numFmtId="1" fontId="31" fillId="0" borderId="7" xfId="7" applyNumberFormat="1" applyFont="1" applyFill="1" applyBorder="1" applyAlignment="1" applyProtection="1">
      <alignment horizontal="right"/>
      <protection locked="0"/>
    </xf>
    <xf numFmtId="3" fontId="31" fillId="0" borderId="7" xfId="7" applyNumberFormat="1" applyFont="1" applyFill="1" applyBorder="1" applyAlignment="1" applyProtection="1">
      <alignment horizontal="right"/>
      <protection locked="0"/>
    </xf>
    <xf numFmtId="0" fontId="31" fillId="0" borderId="4" xfId="7" applyFont="1" applyFill="1" applyBorder="1" applyAlignment="1" applyProtection="1">
      <alignment horizontal="right"/>
      <protection locked="0"/>
    </xf>
    <xf numFmtId="0" fontId="31" fillId="0" borderId="3" xfId="7" applyFont="1" applyFill="1" applyBorder="1" applyAlignment="1" applyProtection="1">
      <alignment horizontal="right"/>
      <protection locked="0"/>
    </xf>
    <xf numFmtId="3" fontId="46" fillId="0" borderId="4" xfId="1" applyNumberFormat="1" applyFont="1" applyFill="1" applyBorder="1" applyAlignment="1" applyProtection="1">
      <alignment horizontal="right"/>
    </xf>
    <xf numFmtId="0" fontId="47" fillId="0" borderId="0" xfId="7" applyFont="1" applyFill="1" applyProtection="1">
      <protection locked="0"/>
    </xf>
    <xf numFmtId="0" fontId="47" fillId="0" borderId="0" xfId="7" applyFont="1" applyFill="1" applyProtection="1"/>
    <xf numFmtId="0" fontId="31" fillId="0" borderId="0" xfId="848" applyFont="1" applyFill="1" applyProtection="1">
      <protection locked="0"/>
    </xf>
    <xf numFmtId="0" fontId="15" fillId="0" borderId="0" xfId="848" applyFill="1" applyProtection="1">
      <protection locked="0"/>
    </xf>
    <xf numFmtId="0" fontId="42" fillId="0" borderId="0" xfId="848" applyFont="1" applyFill="1" applyBorder="1" applyProtection="1">
      <protection locked="0"/>
    </xf>
    <xf numFmtId="0" fontId="46" fillId="0" borderId="0" xfId="848" applyFont="1" applyFill="1" applyBorder="1" applyProtection="1">
      <protection locked="0"/>
    </xf>
    <xf numFmtId="0" fontId="46" fillId="0" borderId="12" xfId="848" applyFont="1" applyFill="1" applyBorder="1" applyProtection="1">
      <protection locked="0"/>
    </xf>
    <xf numFmtId="0" fontId="31" fillId="0" borderId="0" xfId="848" applyFont="1" applyFill="1" applyBorder="1" applyProtection="1">
      <protection locked="0"/>
    </xf>
    <xf numFmtId="14" fontId="14" fillId="0" borderId="3" xfId="848" applyNumberFormat="1" applyFont="1" applyFill="1" applyBorder="1" applyAlignment="1" applyProtection="1">
      <alignment horizontal="left"/>
      <protection locked="0"/>
    </xf>
    <xf numFmtId="0" fontId="18" fillId="0" borderId="8" xfId="848" applyFont="1" applyFill="1" applyBorder="1" applyProtection="1">
      <protection locked="0"/>
    </xf>
    <xf numFmtId="0" fontId="18" fillId="0" borderId="9" xfId="848" applyFont="1" applyFill="1" applyBorder="1" applyProtection="1">
      <protection locked="0"/>
    </xf>
    <xf numFmtId="0" fontId="18" fillId="0" borderId="10" xfId="848" applyFont="1" applyFill="1" applyBorder="1" applyProtection="1">
      <protection locked="0"/>
    </xf>
    <xf numFmtId="3" fontId="46" fillId="0" borderId="1" xfId="848" applyNumberFormat="1" applyFont="1" applyFill="1" applyBorder="1" applyProtection="1">
      <protection locked="0"/>
    </xf>
    <xf numFmtId="3" fontId="46" fillId="0" borderId="4" xfId="848" applyNumberFormat="1" applyFont="1" applyFill="1" applyBorder="1" applyProtection="1">
      <protection locked="0"/>
    </xf>
    <xf numFmtId="3" fontId="51" fillId="0" borderId="11" xfId="848" applyNumberFormat="1" applyFont="1" applyFill="1" applyBorder="1" applyProtection="1">
      <protection locked="0"/>
    </xf>
    <xf numFmtId="3" fontId="74" fillId="0" borderId="7" xfId="848" applyNumberFormat="1" applyFont="1" applyFill="1" applyBorder="1" applyProtection="1">
      <protection locked="0"/>
    </xf>
    <xf numFmtId="169" fontId="16" fillId="0" borderId="4" xfId="848" applyNumberFormat="1" applyFont="1" applyFill="1" applyBorder="1" applyAlignment="1" applyProtection="1">
      <alignment horizontal="right"/>
      <protection locked="0"/>
    </xf>
    <xf numFmtId="169" fontId="16" fillId="0" borderId="3" xfId="848" applyNumberFormat="1" applyFont="1" applyFill="1" applyBorder="1" applyAlignment="1" applyProtection="1">
      <alignment horizontal="right"/>
      <protection locked="0"/>
    </xf>
    <xf numFmtId="169" fontId="16" fillId="0" borderId="7" xfId="848" applyNumberFormat="1" applyFont="1" applyFill="1" applyBorder="1" applyAlignment="1" applyProtection="1">
      <alignment horizontal="right"/>
      <protection locked="0"/>
    </xf>
    <xf numFmtId="1" fontId="16" fillId="0" borderId="3" xfId="848" applyNumberFormat="1" applyFont="1" applyFill="1" applyBorder="1" applyAlignment="1" applyProtection="1">
      <alignment horizontal="right"/>
      <protection locked="0"/>
    </xf>
    <xf numFmtId="0" fontId="16" fillId="0" borderId="4" xfId="7" applyNumberFormat="1" applyFont="1" applyFill="1" applyBorder="1" applyAlignment="1" applyProtection="1">
      <alignment horizontal="right"/>
      <protection locked="0"/>
    </xf>
    <xf numFmtId="3" fontId="46" fillId="0" borderId="4" xfId="848" applyNumberFormat="1" applyFont="1" applyFill="1" applyBorder="1" applyAlignment="1" applyProtection="1">
      <alignment horizontal="right"/>
      <protection locked="0"/>
    </xf>
    <xf numFmtId="3" fontId="46" fillId="0" borderId="3" xfId="848" applyNumberFormat="1" applyFont="1" applyFill="1" applyBorder="1" applyAlignment="1" applyProtection="1">
      <alignment horizontal="right"/>
      <protection locked="0"/>
    </xf>
    <xf numFmtId="3" fontId="31" fillId="0" borderId="4" xfId="848" applyNumberFormat="1" applyFont="1" applyFill="1" applyBorder="1" applyAlignment="1" applyProtection="1">
      <alignment horizontal="right"/>
      <protection locked="0"/>
    </xf>
    <xf numFmtId="3" fontId="31" fillId="0" borderId="3" xfId="848" applyNumberFormat="1" applyFont="1" applyFill="1" applyBorder="1" applyAlignment="1" applyProtection="1">
      <alignment horizontal="right"/>
      <protection locked="0"/>
    </xf>
    <xf numFmtId="0" fontId="15" fillId="0" borderId="0" xfId="848" applyFont="1" applyFill="1" applyProtection="1">
      <protection locked="0"/>
    </xf>
    <xf numFmtId="0" fontId="46" fillId="0" borderId="0" xfId="848" applyNumberFormat="1" applyFont="1" applyFill="1" applyBorder="1" applyProtection="1">
      <protection locked="0"/>
    </xf>
    <xf numFmtId="0" fontId="46" fillId="0" borderId="0" xfId="848" applyFont="1" applyFill="1" applyProtection="1">
      <protection locked="0"/>
    </xf>
    <xf numFmtId="0" fontId="14" fillId="0" borderId="0" xfId="848" applyFont="1" applyFill="1" applyProtection="1">
      <protection locked="0"/>
    </xf>
    <xf numFmtId="0" fontId="75" fillId="0" borderId="3" xfId="7" applyFont="1" applyFill="1" applyBorder="1" applyProtection="1">
      <protection locked="0"/>
    </xf>
    <xf numFmtId="0" fontId="52" fillId="0" borderId="3" xfId="7" applyFont="1" applyFill="1" applyBorder="1" applyProtection="1">
      <protection locked="0"/>
    </xf>
    <xf numFmtId="0" fontId="47" fillId="0" borderId="0" xfId="848" applyFont="1" applyFill="1" applyBorder="1" applyProtection="1">
      <protection locked="0"/>
    </xf>
    <xf numFmtId="0" fontId="47" fillId="0" borderId="0" xfId="848" applyFont="1" applyFill="1" applyProtection="1">
      <protection locked="0"/>
    </xf>
    <xf numFmtId="0" fontId="22" fillId="0" borderId="0" xfId="848" applyFont="1" applyFill="1" applyProtection="1">
      <protection locked="0"/>
    </xf>
    <xf numFmtId="0" fontId="70" fillId="0" borderId="0" xfId="848" applyFont="1" applyFill="1" applyBorder="1" applyProtection="1">
      <protection locked="0"/>
    </xf>
    <xf numFmtId="0" fontId="70" fillId="0" borderId="0" xfId="848" applyFont="1" applyFill="1" applyProtection="1">
      <protection locked="0"/>
    </xf>
    <xf numFmtId="0" fontId="72" fillId="0" borderId="0" xfId="848" applyFont="1" applyFill="1" applyProtection="1">
      <protection locked="0"/>
    </xf>
    <xf numFmtId="3" fontId="31" fillId="0" borderId="11" xfId="848" applyNumberFormat="1" applyFont="1" applyFill="1" applyBorder="1" applyAlignment="1" applyProtection="1">
      <alignment horizontal="right"/>
      <protection locked="0"/>
    </xf>
    <xf numFmtId="3" fontId="31" fillId="0" borderId="6" xfId="848" applyNumberFormat="1" applyFont="1" applyFill="1" applyBorder="1" applyAlignment="1" applyProtection="1">
      <alignment horizontal="right"/>
      <protection locked="0"/>
    </xf>
    <xf numFmtId="3" fontId="31" fillId="0" borderId="0" xfId="848" applyNumberFormat="1" applyFont="1" applyFill="1" applyBorder="1" applyProtection="1">
      <protection locked="0"/>
    </xf>
    <xf numFmtId="0" fontId="76" fillId="0" borderId="0" xfId="848" applyFont="1" applyFill="1" applyProtection="1">
      <protection locked="0"/>
    </xf>
    <xf numFmtId="0" fontId="62" fillId="0" borderId="0" xfId="848" applyFont="1" applyFill="1" applyProtection="1">
      <protection locked="0"/>
    </xf>
    <xf numFmtId="0" fontId="62" fillId="0" borderId="0" xfId="848" applyFont="1" applyFill="1" applyBorder="1" applyProtection="1">
      <protection locked="0"/>
    </xf>
    <xf numFmtId="0" fontId="62" fillId="0" borderId="0" xfId="1" applyFont="1" applyFill="1" applyProtection="1">
      <protection locked="0"/>
    </xf>
    <xf numFmtId="0" fontId="62" fillId="0" borderId="0" xfId="1" applyFont="1" applyFill="1" applyBorder="1" applyProtection="1">
      <protection locked="0"/>
    </xf>
    <xf numFmtId="0" fontId="76" fillId="0" borderId="0" xfId="848" applyFont="1" applyFill="1" applyBorder="1" applyProtection="1">
      <protection locked="0"/>
    </xf>
    <xf numFmtId="166" fontId="15" fillId="0" borderId="0" xfId="848" applyNumberFormat="1" applyFill="1" applyProtection="1">
      <protection locked="0"/>
    </xf>
    <xf numFmtId="0" fontId="15" fillId="0" borderId="0" xfId="848" applyFill="1" applyBorder="1" applyProtection="1">
      <protection locked="0"/>
    </xf>
    <xf numFmtId="49" fontId="61" fillId="0" borderId="12" xfId="7" applyNumberFormat="1" applyFont="1" applyFill="1" applyBorder="1" applyProtection="1">
      <protection locked="0"/>
    </xf>
    <xf numFmtId="14" fontId="14" fillId="0" borderId="13" xfId="848" applyNumberFormat="1" applyFont="1" applyFill="1" applyBorder="1" applyAlignment="1" applyProtection="1">
      <alignment horizontal="left"/>
      <protection locked="0"/>
    </xf>
    <xf numFmtId="0" fontId="14" fillId="0" borderId="6" xfId="7" applyFont="1" applyFill="1" applyBorder="1" applyAlignment="1" applyProtection="1">
      <alignment horizontal="center"/>
    </xf>
    <xf numFmtId="49" fontId="46" fillId="0" borderId="3" xfId="7" applyNumberFormat="1" applyFont="1" applyFill="1" applyBorder="1" applyProtection="1">
      <protection locked="0"/>
    </xf>
    <xf numFmtId="3" fontId="16" fillId="0" borderId="4" xfId="7" applyNumberFormat="1" applyFont="1" applyFill="1" applyBorder="1" applyAlignment="1" applyProtection="1">
      <alignment horizontal="right"/>
      <protection locked="0"/>
    </xf>
    <xf numFmtId="3" fontId="16" fillId="0" borderId="4" xfId="848" applyNumberFormat="1" applyFont="1" applyFill="1" applyBorder="1" applyAlignment="1" applyProtection="1">
      <alignment horizontal="right"/>
      <protection locked="0"/>
    </xf>
    <xf numFmtId="3" fontId="16" fillId="0" borderId="3" xfId="848" applyNumberFormat="1" applyFont="1" applyFill="1" applyBorder="1" applyAlignment="1" applyProtection="1">
      <alignment horizontal="right"/>
      <protection locked="0"/>
    </xf>
    <xf numFmtId="1" fontId="31" fillId="0" borderId="0" xfId="848" applyNumberFormat="1" applyFont="1" applyFill="1" applyBorder="1" applyProtection="1">
      <protection locked="0"/>
    </xf>
    <xf numFmtId="1" fontId="46" fillId="0" borderId="0" xfId="848" applyNumberFormat="1" applyFont="1" applyFill="1" applyBorder="1" applyProtection="1">
      <protection locked="0"/>
    </xf>
    <xf numFmtId="0" fontId="31" fillId="0" borderId="0" xfId="848" applyNumberFormat="1" applyFont="1" applyFill="1" applyBorder="1" applyProtection="1">
      <protection locked="0"/>
    </xf>
    <xf numFmtId="0" fontId="20" fillId="0" borderId="0" xfId="848" applyFont="1" applyFill="1" applyProtection="1">
      <protection locked="0"/>
    </xf>
    <xf numFmtId="0" fontId="42" fillId="0" borderId="0" xfId="1" applyFont="1" applyFill="1" applyProtection="1">
      <protection locked="0"/>
    </xf>
    <xf numFmtId="0" fontId="20" fillId="0" borderId="0" xfId="1" applyFill="1" applyProtection="1">
      <protection locked="0"/>
    </xf>
    <xf numFmtId="165" fontId="20" fillId="0" borderId="0" xfId="1" applyNumberFormat="1" applyFill="1" applyProtection="1">
      <protection locked="0"/>
    </xf>
    <xf numFmtId="0" fontId="61" fillId="0" borderId="12" xfId="1" applyFont="1" applyFill="1" applyBorder="1" applyProtection="1">
      <protection locked="0"/>
    </xf>
    <xf numFmtId="165" fontId="20" fillId="0" borderId="0" xfId="1" applyNumberFormat="1" applyFill="1" applyBorder="1" applyProtection="1">
      <protection locked="0"/>
    </xf>
    <xf numFmtId="14" fontId="14" fillId="0" borderId="4" xfId="1" applyNumberFormat="1" applyFont="1" applyFill="1" applyBorder="1" applyAlignment="1" applyProtection="1">
      <alignment horizontal="left"/>
      <protection locked="0"/>
    </xf>
    <xf numFmtId="0" fontId="18" fillId="0" borderId="10" xfId="1" applyFont="1" applyFill="1" applyBorder="1" applyProtection="1">
      <protection locked="0"/>
    </xf>
    <xf numFmtId="0" fontId="18" fillId="0" borderId="8" xfId="1" applyFont="1" applyFill="1" applyBorder="1" applyProtection="1">
      <protection locked="0"/>
    </xf>
    <xf numFmtId="0" fontId="18" fillId="0" borderId="9" xfId="1" applyFont="1" applyFill="1" applyBorder="1" applyProtection="1">
      <protection locked="0"/>
    </xf>
    <xf numFmtId="165" fontId="18" fillId="0" borderId="0" xfId="1" applyNumberFormat="1" applyFont="1" applyFill="1" applyBorder="1" applyProtection="1">
      <protection locked="0"/>
    </xf>
    <xf numFmtId="0" fontId="18" fillId="0" borderId="0" xfId="1" applyFont="1" applyFill="1" applyBorder="1" applyProtection="1">
      <protection locked="0"/>
    </xf>
    <xf numFmtId="0" fontId="20" fillId="0" borderId="0" xfId="1" applyFill="1" applyBorder="1" applyProtection="1">
      <protection locked="0"/>
    </xf>
    <xf numFmtId="0" fontId="46" fillId="0" borderId="0" xfId="1" applyNumberFormat="1" applyFont="1" applyFill="1" applyBorder="1" applyAlignment="1" applyProtection="1">
      <alignment horizontal="center"/>
      <protection locked="0"/>
    </xf>
    <xf numFmtId="0" fontId="16" fillId="0" borderId="1" xfId="1" applyNumberFormat="1" applyFont="1" applyFill="1" applyBorder="1" applyAlignment="1" applyProtection="1">
      <alignment horizontal="center"/>
      <protection locked="0"/>
    </xf>
    <xf numFmtId="3" fontId="51" fillId="0" borderId="11" xfId="1" applyNumberFormat="1" applyFont="1" applyFill="1" applyBorder="1" applyProtection="1">
      <protection locked="0"/>
    </xf>
    <xf numFmtId="0" fontId="14" fillId="0" borderId="6" xfId="1" applyFont="1" applyFill="1" applyBorder="1" applyAlignment="1" applyProtection="1">
      <alignment horizontal="center"/>
      <protection locked="0"/>
    </xf>
    <xf numFmtId="169" fontId="14" fillId="0" borderId="0" xfId="1" applyNumberFormat="1" applyFont="1" applyFill="1" applyBorder="1" applyAlignment="1" applyProtection="1">
      <alignment horizontal="center"/>
      <protection locked="0"/>
    </xf>
    <xf numFmtId="0" fontId="14" fillId="0" borderId="0" xfId="1" applyNumberFormat="1" applyFont="1" applyFill="1" applyBorder="1" applyAlignment="1" applyProtection="1">
      <alignment horizontal="center"/>
      <protection locked="0"/>
    </xf>
    <xf numFmtId="3" fontId="31" fillId="0" borderId="4" xfId="1" applyNumberFormat="1" applyFont="1" applyFill="1" applyBorder="1" applyAlignment="1" applyProtection="1">
      <alignment horizontal="right"/>
    </xf>
    <xf numFmtId="3" fontId="31" fillId="0" borderId="7" xfId="1" applyNumberFormat="1" applyFont="1" applyFill="1" applyBorder="1" applyAlignment="1" applyProtection="1">
      <alignment horizontal="right"/>
      <protection locked="0"/>
    </xf>
    <xf numFmtId="0" fontId="20" fillId="0" borderId="0" xfId="1" applyFont="1" applyFill="1" applyBorder="1" applyProtection="1">
      <protection locked="0"/>
    </xf>
    <xf numFmtId="3" fontId="31" fillId="0" borderId="2" xfId="1" applyNumberFormat="1" applyFont="1" applyFill="1" applyBorder="1" applyAlignment="1" applyProtection="1">
      <alignment horizontal="right"/>
      <protection locked="0"/>
    </xf>
    <xf numFmtId="49" fontId="46" fillId="0" borderId="4" xfId="1" applyNumberFormat="1" applyFont="1" applyFill="1" applyBorder="1" applyProtection="1">
      <protection locked="0"/>
    </xf>
    <xf numFmtId="3" fontId="46" fillId="0" borderId="3" xfId="1" applyNumberFormat="1" applyFont="1" applyFill="1" applyBorder="1" applyAlignment="1" applyProtection="1">
      <alignment horizontal="right"/>
      <protection locked="0"/>
    </xf>
    <xf numFmtId="3" fontId="46" fillId="0" borderId="2" xfId="1" applyNumberFormat="1" applyFont="1" applyFill="1" applyBorder="1" applyAlignment="1" applyProtection="1">
      <alignment horizontal="right"/>
      <protection locked="0"/>
    </xf>
    <xf numFmtId="0" fontId="46" fillId="0" borderId="0" xfId="7" applyNumberFormat="1" applyFont="1" applyFill="1" applyProtection="1">
      <protection locked="0"/>
    </xf>
    <xf numFmtId="0" fontId="50" fillId="0" borderId="0" xfId="1" applyFont="1" applyFill="1" applyBorder="1" applyProtection="1">
      <protection locked="0"/>
    </xf>
    <xf numFmtId="0" fontId="50" fillId="0" borderId="0" xfId="1" applyFont="1" applyFill="1" applyProtection="1">
      <protection locked="0"/>
    </xf>
    <xf numFmtId="0" fontId="31" fillId="0" borderId="11" xfId="1" applyFont="1" applyFill="1" applyBorder="1" applyProtection="1">
      <protection locked="0"/>
    </xf>
    <xf numFmtId="3" fontId="31" fillId="0" borderId="6" xfId="1" applyNumberFormat="1" applyFont="1" applyFill="1" applyBorder="1" applyAlignment="1" applyProtection="1">
      <alignment horizontal="right"/>
      <protection locked="0"/>
    </xf>
    <xf numFmtId="3" fontId="31" fillId="0" borderId="6" xfId="1" applyNumberFormat="1" applyFont="1" applyFill="1" applyBorder="1" applyAlignment="1" applyProtection="1">
      <alignment horizontal="right"/>
    </xf>
    <xf numFmtId="3" fontId="31" fillId="0" borderId="0" xfId="1" applyNumberFormat="1" applyFont="1" applyFill="1" applyBorder="1" applyAlignment="1" applyProtection="1">
      <alignment horizontal="right"/>
      <protection locked="0"/>
    </xf>
    <xf numFmtId="0" fontId="15" fillId="0" borderId="0" xfId="845" applyFill="1" applyProtection="1">
      <protection locked="0"/>
    </xf>
    <xf numFmtId="0" fontId="42" fillId="0" borderId="0" xfId="845" applyFont="1" applyFill="1" applyProtection="1">
      <protection locked="0"/>
    </xf>
    <xf numFmtId="0" fontId="46" fillId="0" borderId="0" xfId="1" applyFont="1" applyFill="1" applyBorder="1" applyProtection="1">
      <protection locked="0"/>
    </xf>
    <xf numFmtId="0" fontId="15" fillId="0" borderId="0" xfId="845" applyFill="1" applyBorder="1" applyProtection="1">
      <protection locked="0"/>
    </xf>
    <xf numFmtId="14" fontId="14" fillId="0" borderId="13" xfId="845" applyNumberFormat="1" applyFont="1" applyFill="1" applyBorder="1" applyAlignment="1" applyProtection="1">
      <alignment horizontal="left"/>
      <protection locked="0"/>
    </xf>
    <xf numFmtId="0" fontId="18" fillId="0" borderId="10" xfId="845" applyFont="1" applyFill="1" applyBorder="1" applyProtection="1">
      <protection locked="0"/>
    </xf>
    <xf numFmtId="0" fontId="18" fillId="0" borderId="8" xfId="845" applyFont="1" applyFill="1" applyBorder="1" applyProtection="1">
      <protection locked="0"/>
    </xf>
    <xf numFmtId="0" fontId="18" fillId="0" borderId="9" xfId="845" applyFont="1" applyFill="1" applyBorder="1" applyProtection="1">
      <protection locked="0"/>
    </xf>
    <xf numFmtId="3" fontId="46" fillId="0" borderId="1" xfId="845" applyNumberFormat="1" applyFont="1" applyFill="1" applyBorder="1" applyProtection="1">
      <protection locked="0"/>
    </xf>
    <xf numFmtId="3" fontId="46" fillId="0" borderId="4" xfId="845" applyNumberFormat="1" applyFont="1" applyFill="1" applyBorder="1" applyProtection="1">
      <protection locked="0"/>
    </xf>
    <xf numFmtId="3" fontId="51" fillId="0" borderId="11" xfId="845" applyNumberFormat="1" applyFont="1" applyFill="1" applyBorder="1" applyProtection="1">
      <protection locked="0"/>
    </xf>
    <xf numFmtId="0" fontId="46" fillId="0" borderId="4" xfId="845" applyFont="1" applyFill="1" applyBorder="1" applyProtection="1">
      <protection locked="0"/>
    </xf>
    <xf numFmtId="3" fontId="31" fillId="0" borderId="3"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protection locked="0"/>
    </xf>
    <xf numFmtId="0" fontId="31" fillId="0" borderId="3" xfId="845" applyFont="1" applyFill="1" applyBorder="1" applyAlignment="1" applyProtection="1">
      <alignment horizontal="right"/>
      <protection locked="0"/>
    </xf>
    <xf numFmtId="0" fontId="15" fillId="0" borderId="0" xfId="845" applyFont="1" applyFill="1" applyBorder="1" applyProtection="1">
      <protection locked="0"/>
    </xf>
    <xf numFmtId="0" fontId="15" fillId="0" borderId="0" xfId="845" applyFont="1" applyFill="1" applyProtection="1">
      <protection locked="0"/>
    </xf>
    <xf numFmtId="3" fontId="46" fillId="0" borderId="3" xfId="845" applyNumberFormat="1" applyFont="1" applyFill="1" applyBorder="1" applyAlignment="1" applyProtection="1">
      <alignment horizontal="right"/>
    </xf>
    <xf numFmtId="3" fontId="46" fillId="0" borderId="3" xfId="845" applyNumberFormat="1" applyFont="1" applyFill="1" applyBorder="1" applyAlignment="1" applyProtection="1">
      <alignment horizontal="right"/>
      <protection locked="0"/>
    </xf>
    <xf numFmtId="3" fontId="46" fillId="0" borderId="4" xfId="845" applyNumberFormat="1" applyFont="1" applyFill="1" applyBorder="1" applyAlignment="1" applyProtection="1">
      <alignment horizontal="right"/>
    </xf>
    <xf numFmtId="3" fontId="46" fillId="0" borderId="4" xfId="845" applyNumberFormat="1" applyFont="1" applyFill="1" applyBorder="1" applyAlignment="1" applyProtection="1">
      <alignment horizontal="right"/>
      <protection locked="0"/>
    </xf>
    <xf numFmtId="0" fontId="46" fillId="0" borderId="3" xfId="845" applyFont="1" applyFill="1" applyBorder="1" applyAlignment="1" applyProtection="1">
      <alignment horizontal="right"/>
      <protection locked="0"/>
    </xf>
    <xf numFmtId="0" fontId="46" fillId="0" borderId="0" xfId="845" applyFont="1" applyFill="1" applyBorder="1" applyProtection="1">
      <protection locked="0"/>
    </xf>
    <xf numFmtId="0" fontId="46" fillId="0" borderId="0" xfId="845" applyFont="1" applyFill="1" applyProtection="1">
      <protection locked="0"/>
    </xf>
    <xf numFmtId="1" fontId="46" fillId="0" borderId="3" xfId="845" applyNumberFormat="1" applyFont="1" applyFill="1" applyBorder="1" applyAlignment="1" applyProtection="1">
      <alignment horizontal="right"/>
      <protection locked="0"/>
    </xf>
    <xf numFmtId="3" fontId="46" fillId="2" borderId="3" xfId="845" applyNumberFormat="1" applyFont="1" applyFill="1" applyBorder="1" applyAlignment="1" applyProtection="1">
      <alignment horizontal="right"/>
      <protection locked="0"/>
    </xf>
    <xf numFmtId="1" fontId="31" fillId="0" borderId="3" xfId="845" applyNumberFormat="1" applyFont="1" applyFill="1" applyBorder="1" applyAlignment="1" applyProtection="1">
      <alignment horizontal="right"/>
      <protection locked="0"/>
    </xf>
    <xf numFmtId="3" fontId="31" fillId="2" borderId="3" xfId="845" applyNumberFormat="1" applyFont="1" applyFill="1" applyBorder="1" applyAlignment="1" applyProtection="1">
      <alignment horizontal="right"/>
      <protection locked="0"/>
    </xf>
    <xf numFmtId="0" fontId="31" fillId="0" borderId="0" xfId="845" applyFont="1" applyFill="1" applyBorder="1" applyProtection="1">
      <protection locked="0"/>
    </xf>
    <xf numFmtId="0" fontId="31" fillId="0" borderId="0" xfId="845" applyFont="1" applyFill="1" applyProtection="1">
      <protection locked="0"/>
    </xf>
    <xf numFmtId="49" fontId="46" fillId="0" borderId="3" xfId="1" applyNumberFormat="1" applyFont="1" applyFill="1" applyBorder="1" applyProtection="1">
      <protection locked="0"/>
    </xf>
    <xf numFmtId="3" fontId="31" fillId="2" borderId="3"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protection locked="0"/>
    </xf>
    <xf numFmtId="0" fontId="62" fillId="0" borderId="0" xfId="845" applyFont="1" applyFill="1" applyProtection="1">
      <protection locked="0"/>
    </xf>
    <xf numFmtId="0" fontId="62" fillId="0" borderId="0" xfId="845" applyFont="1" applyFill="1" applyProtection="1"/>
    <xf numFmtId="0" fontId="37" fillId="0" borderId="0" xfId="1" applyFont="1" applyFill="1" applyProtection="1">
      <protection locked="0"/>
    </xf>
    <xf numFmtId="0" fontId="62" fillId="0" borderId="0" xfId="845" applyFont="1" applyFill="1" applyBorder="1" applyProtection="1">
      <protection locked="0"/>
    </xf>
    <xf numFmtId="0" fontId="37" fillId="0" borderId="0" xfId="1" applyFont="1" applyFill="1" applyBorder="1" applyProtection="1">
      <protection locked="0"/>
    </xf>
    <xf numFmtId="165" fontId="20" fillId="0" borderId="0" xfId="1" applyNumberFormat="1" applyProtection="1">
      <protection locked="0"/>
    </xf>
    <xf numFmtId="3" fontId="59" fillId="4" borderId="0" xfId="1" applyNumberFormat="1" applyFont="1" applyFill="1" applyProtection="1">
      <protection locked="0"/>
    </xf>
    <xf numFmtId="165" fontId="20" fillId="0" borderId="0" xfId="1" applyNumberFormat="1" applyBorder="1" applyProtection="1">
      <protection locked="0"/>
    </xf>
    <xf numFmtId="0" fontId="70" fillId="0" borderId="8" xfId="1" applyFont="1" applyBorder="1" applyAlignment="1" applyProtection="1">
      <alignment horizontal="center"/>
      <protection locked="0"/>
    </xf>
    <xf numFmtId="165" fontId="18" fillId="4" borderId="0" xfId="1" applyNumberFormat="1" applyFont="1" applyFill="1" applyBorder="1" applyProtection="1">
      <protection locked="0"/>
    </xf>
    <xf numFmtId="0" fontId="18" fillId="4" borderId="0" xfId="1" applyFont="1" applyFill="1" applyBorder="1" applyProtection="1">
      <protection locked="0"/>
    </xf>
    <xf numFmtId="0" fontId="46" fillId="4" borderId="0" xfId="1" applyNumberFormat="1" applyFont="1" applyFill="1" applyBorder="1" applyAlignment="1" applyProtection="1">
      <alignment horizontal="center"/>
      <protection locked="0"/>
    </xf>
    <xf numFmtId="3" fontId="51" fillId="4" borderId="11" xfId="1" applyNumberFormat="1" applyFont="1" applyFill="1" applyBorder="1" applyProtection="1">
      <protection locked="0"/>
    </xf>
    <xf numFmtId="169" fontId="14" fillId="4" borderId="0" xfId="1" applyNumberFormat="1" applyFont="1" applyFill="1" applyBorder="1" applyAlignment="1" applyProtection="1">
      <alignment horizontal="center"/>
      <protection locked="0"/>
    </xf>
    <xf numFmtId="0" fontId="14" fillId="4" borderId="0" xfId="1" applyNumberFormat="1" applyFont="1" applyFill="1" applyBorder="1" applyAlignment="1" applyProtection="1">
      <alignment horizontal="center"/>
      <protection locked="0"/>
    </xf>
    <xf numFmtId="0" fontId="46" fillId="0" borderId="3" xfId="1" applyFont="1" applyBorder="1" applyProtection="1">
      <protection locked="0"/>
    </xf>
    <xf numFmtId="4" fontId="31" fillId="4" borderId="3" xfId="1" applyNumberFormat="1" applyFont="1" applyFill="1" applyBorder="1" applyAlignment="1" applyProtection="1">
      <alignment horizontal="right"/>
    </xf>
    <xf numFmtId="4" fontId="31" fillId="4" borderId="3" xfId="1" applyNumberFormat="1" applyFont="1" applyFill="1" applyBorder="1" applyAlignment="1" applyProtection="1">
      <alignment horizontal="right"/>
      <protection locked="0"/>
    </xf>
    <xf numFmtId="4" fontId="31" fillId="4" borderId="7" xfId="1" applyNumberFormat="1" applyFont="1" applyFill="1" applyBorder="1" applyAlignment="1" applyProtection="1">
      <alignment horizontal="right"/>
      <protection locked="0"/>
    </xf>
    <xf numFmtId="0" fontId="37" fillId="0" borderId="0" xfId="1" applyFont="1" applyBorder="1" applyProtection="1">
      <protection locked="0"/>
    </xf>
    <xf numFmtId="0" fontId="37" fillId="0" borderId="0" xfId="1" applyFont="1" applyProtection="1">
      <protection locked="0"/>
    </xf>
    <xf numFmtId="4" fontId="31" fillId="0" borderId="3" xfId="1" applyNumberFormat="1" applyFont="1" applyFill="1" applyBorder="1" applyAlignment="1" applyProtection="1">
      <alignment horizontal="right"/>
    </xf>
    <xf numFmtId="4" fontId="31" fillId="0" borderId="3" xfId="1" applyNumberFormat="1" applyFont="1" applyFill="1" applyBorder="1" applyAlignment="1" applyProtection="1">
      <alignment horizontal="right"/>
      <protection locked="0"/>
    </xf>
    <xf numFmtId="0" fontId="54" fillId="0" borderId="0" xfId="1" applyFont="1" applyBorder="1" applyProtection="1">
      <protection locked="0"/>
    </xf>
    <xf numFmtId="0" fontId="54" fillId="0" borderId="0" xfId="1" applyFont="1" applyProtection="1">
      <protection locked="0"/>
    </xf>
    <xf numFmtId="3" fontId="31" fillId="4" borderId="6" xfId="1" applyNumberFormat="1" applyFont="1" applyFill="1" applyBorder="1" applyAlignment="1" applyProtection="1">
      <alignment horizontal="right"/>
    </xf>
    <xf numFmtId="3" fontId="31" fillId="4" borderId="6"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protection locked="0"/>
    </xf>
    <xf numFmtId="4" fontId="31" fillId="0" borderId="4" xfId="1" applyNumberFormat="1" applyFont="1" applyFill="1" applyBorder="1" applyAlignment="1" applyProtection="1">
      <alignment horizontal="right"/>
      <protection locked="0"/>
    </xf>
    <xf numFmtId="4" fontId="46" fillId="0" borderId="3" xfId="1" applyNumberFormat="1" applyFont="1" applyFill="1" applyBorder="1" applyAlignment="1" applyProtection="1">
      <alignment horizontal="right"/>
      <protection locked="0"/>
    </xf>
    <xf numFmtId="4" fontId="46" fillId="0" borderId="2"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xf>
    <xf numFmtId="4" fontId="31" fillId="0" borderId="0" xfId="1" applyNumberFormat="1" applyFont="1" applyFill="1" applyBorder="1" applyAlignment="1" applyProtection="1">
      <alignment horizontal="right"/>
      <protection locked="0"/>
    </xf>
    <xf numFmtId="4" fontId="31" fillId="0" borderId="0" xfId="1" applyNumberFormat="1" applyFont="1" applyFill="1" applyBorder="1" applyAlignment="1" applyProtection="1">
      <alignment horizontal="right"/>
    </xf>
    <xf numFmtId="4" fontId="31" fillId="0" borderId="4" xfId="1" applyNumberFormat="1" applyFont="1" applyFill="1" applyBorder="1" applyAlignment="1" applyProtection="1">
      <alignment horizontal="right"/>
    </xf>
    <xf numFmtId="4" fontId="31" fillId="0" borderId="6" xfId="1" applyNumberFormat="1" applyFont="1" applyFill="1" applyBorder="1" applyAlignment="1" applyProtection="1">
      <alignment horizontal="right"/>
      <protection locked="0"/>
    </xf>
    <xf numFmtId="4" fontId="31" fillId="0" borderId="6" xfId="1" applyNumberFormat="1" applyFont="1" applyFill="1" applyBorder="1" applyAlignment="1" applyProtection="1">
      <alignment horizontal="right"/>
    </xf>
    <xf numFmtId="4" fontId="31" fillId="0" borderId="5" xfId="1" applyNumberFormat="1" applyFont="1" applyFill="1" applyBorder="1" applyAlignment="1" applyProtection="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0" fontId="52" fillId="0" borderId="6" xfId="1" applyFont="1" applyFill="1" applyBorder="1" applyProtection="1">
      <protection locked="0"/>
    </xf>
    <xf numFmtId="171" fontId="16" fillId="0" borderId="3" xfId="846" applyFont="1" applyBorder="1" applyAlignment="1">
      <alignment horizontal="right"/>
    </xf>
    <xf numFmtId="3" fontId="46" fillId="0" borderId="6" xfId="0" applyNumberFormat="1" applyFont="1" applyFill="1" applyBorder="1" applyAlignment="1" applyProtection="1">
      <alignment horizontal="right"/>
    </xf>
    <xf numFmtId="3" fontId="14"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Fill="1" applyBorder="1"/>
    <xf numFmtId="3" fontId="15"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4" fontId="31" fillId="4" borderId="3" xfId="7" applyNumberFormat="1" applyFont="1" applyFill="1" applyBorder="1" applyAlignment="1">
      <alignment horizontal="right"/>
    </xf>
    <xf numFmtId="3" fontId="31" fillId="4" borderId="3" xfId="7" applyNumberFormat="1" applyFont="1" applyFill="1" applyBorder="1" applyAlignment="1">
      <alignment horizontal="right"/>
    </xf>
    <xf numFmtId="3" fontId="31" fillId="4" borderId="6" xfId="7" applyNumberFormat="1" applyFont="1" applyFill="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0" fontId="57" fillId="0" borderId="0" xfId="0" applyFont="1" applyFill="1"/>
    <xf numFmtId="3" fontId="46" fillId="4" borderId="1" xfId="15" applyNumberFormat="1" applyFont="1" applyFill="1" applyBorder="1" applyAlignment="1" applyProtection="1">
      <alignment horizontal="right"/>
    </xf>
    <xf numFmtId="0" fontId="14" fillId="0" borderId="4" xfId="7" applyFont="1" applyBorder="1" applyAlignment="1" applyProtection="1">
      <alignment horizontal="center"/>
      <protection locked="0"/>
    </xf>
    <xf numFmtId="3" fontId="46" fillId="0" borderId="4" xfId="7" applyNumberFormat="1" applyFont="1" applyBorder="1" applyAlignment="1">
      <alignment horizontal="right"/>
    </xf>
    <xf numFmtId="3" fontId="46" fillId="0" borderId="4" xfId="7" applyNumberFormat="1" applyFont="1" applyBorder="1" applyAlignment="1" applyProtection="1">
      <alignment horizontal="right"/>
      <protection locked="0"/>
    </xf>
    <xf numFmtId="3" fontId="31" fillId="0" borderId="4" xfId="7" applyNumberFormat="1" applyFont="1" applyBorder="1" applyAlignment="1">
      <alignment horizontal="right"/>
    </xf>
    <xf numFmtId="3" fontId="31" fillId="0" borderId="4" xfId="7" applyNumberFormat="1" applyFont="1" applyBorder="1" applyAlignment="1" applyProtection="1">
      <alignment horizontal="right"/>
      <protection locked="0"/>
    </xf>
    <xf numFmtId="3" fontId="31" fillId="0" borderId="11" xfId="7" applyNumberFormat="1" applyFont="1" applyBorder="1" applyAlignment="1" applyProtection="1">
      <alignment horizontal="right"/>
      <protection locked="0"/>
    </xf>
    <xf numFmtId="3" fontId="31" fillId="0" borderId="1" xfId="7" applyNumberFormat="1" applyFont="1" applyBorder="1" applyAlignment="1" applyProtection="1">
      <alignment horizontal="right"/>
      <protection locked="0"/>
    </xf>
    <xf numFmtId="0" fontId="16" fillId="0" borderId="4" xfId="7" applyFont="1" applyBorder="1" applyAlignment="1">
      <alignment horizontal="right"/>
    </xf>
    <xf numFmtId="0" fontId="16" fillId="0" borderId="4" xfId="7" applyFont="1" applyBorder="1" applyAlignment="1" applyProtection="1">
      <alignment horizontal="right"/>
      <protection locked="0"/>
    </xf>
    <xf numFmtId="3" fontId="31" fillId="0" borderId="4" xfId="848" applyNumberFormat="1" applyFont="1" applyBorder="1" applyAlignment="1">
      <alignment horizontal="right"/>
    </xf>
    <xf numFmtId="3" fontId="31" fillId="0" borderId="4" xfId="848" applyNumberFormat="1" applyFont="1" applyBorder="1" applyAlignment="1" applyProtection="1">
      <alignment horizontal="right"/>
      <protection locked="0"/>
    </xf>
    <xf numFmtId="3" fontId="46" fillId="0" borderId="4" xfId="848" applyNumberFormat="1" applyFont="1" applyBorder="1" applyAlignment="1">
      <alignment horizontal="right"/>
    </xf>
    <xf numFmtId="3" fontId="46" fillId="0" borderId="4" xfId="848" applyNumberFormat="1" applyFont="1" applyBorder="1" applyAlignment="1" applyProtection="1">
      <alignment horizontal="right"/>
      <protection locked="0"/>
    </xf>
    <xf numFmtId="3" fontId="31" fillId="0" borderId="11" xfId="848" applyNumberFormat="1" applyFont="1" applyBorder="1" applyAlignment="1">
      <alignment horizontal="right"/>
    </xf>
    <xf numFmtId="3" fontId="31" fillId="0" borderId="11" xfId="848" applyNumberFormat="1" applyFont="1" applyBorder="1" applyAlignment="1" applyProtection="1">
      <alignment horizontal="right"/>
      <protection locked="0"/>
    </xf>
    <xf numFmtId="3" fontId="16" fillId="0" borderId="4" xfId="7" applyNumberFormat="1" applyFont="1" applyBorder="1" applyAlignment="1">
      <alignment horizontal="right"/>
    </xf>
    <xf numFmtId="3" fontId="16" fillId="0" borderId="4" xfId="7" applyNumberFormat="1" applyFont="1" applyBorder="1" applyAlignment="1" applyProtection="1">
      <alignment horizontal="right"/>
      <protection locked="0"/>
    </xf>
    <xf numFmtId="3" fontId="31" fillId="0" borderId="6" xfId="848" applyNumberFormat="1" applyFont="1" applyBorder="1" applyAlignment="1" applyProtection="1">
      <alignment horizontal="right"/>
      <protection locked="0"/>
    </xf>
    <xf numFmtId="3" fontId="31" fillId="0" borderId="3" xfId="7" applyNumberFormat="1" applyFont="1" applyBorder="1" applyAlignment="1" applyProtection="1">
      <alignment horizontal="right"/>
      <protection locked="0"/>
    </xf>
    <xf numFmtId="3" fontId="46" fillId="0" borderId="3" xfId="7" applyNumberFormat="1" applyFont="1" applyBorder="1" applyAlignment="1" applyProtection="1">
      <alignment horizontal="right"/>
      <protection locked="0"/>
    </xf>
    <xf numFmtId="3" fontId="31" fillId="0" borderId="6" xfId="7" applyNumberFormat="1" applyFont="1" applyBorder="1" applyAlignment="1" applyProtection="1">
      <alignment horizontal="right"/>
      <protection locked="0"/>
    </xf>
    <xf numFmtId="3" fontId="31" fillId="0" borderId="3" xfId="848" applyNumberFormat="1" applyFont="1" applyBorder="1" applyAlignment="1" applyProtection="1">
      <alignment horizontal="right"/>
      <protection locked="0"/>
    </xf>
    <xf numFmtId="3" fontId="46" fillId="0" borderId="3" xfId="848" applyNumberFormat="1" applyFont="1" applyBorder="1" applyAlignment="1" applyProtection="1">
      <alignment horizontal="right"/>
      <protection locked="0"/>
    </xf>
    <xf numFmtId="4" fontId="31" fillId="0" borderId="4" xfId="7" applyNumberFormat="1" applyFont="1" applyBorder="1" applyAlignment="1" applyProtection="1">
      <alignment horizontal="right"/>
      <protection locked="0"/>
    </xf>
    <xf numFmtId="4" fontId="46" fillId="0" borderId="3" xfId="7" applyNumberFormat="1" applyFont="1" applyBorder="1" applyAlignment="1" applyProtection="1">
      <alignment horizontal="right"/>
      <protection locked="0"/>
    </xf>
    <xf numFmtId="4" fontId="31" fillId="0" borderId="3" xfId="7" applyNumberFormat="1" applyFont="1" applyBorder="1" applyAlignment="1" applyProtection="1">
      <alignment horizontal="right"/>
      <protection locked="0"/>
    </xf>
    <xf numFmtId="4" fontId="31" fillId="0" borderId="6" xfId="7" applyNumberFormat="1" applyFont="1" applyBorder="1" applyAlignment="1" applyProtection="1">
      <alignment horizontal="right"/>
      <protection locked="0"/>
    </xf>
    <xf numFmtId="3" fontId="31" fillId="4" borderId="0" xfId="7" applyNumberFormat="1" applyFont="1" applyFill="1" applyAlignment="1" applyProtection="1">
      <alignment horizontal="right"/>
      <protection locked="0"/>
    </xf>
    <xf numFmtId="4" fontId="46" fillId="0" borderId="4" xfId="7" applyNumberFormat="1" applyFont="1" applyBorder="1" applyAlignment="1" applyProtection="1">
      <alignment horizontal="right"/>
      <protection locked="0"/>
    </xf>
    <xf numFmtId="4" fontId="31" fillId="0" borderId="11" xfId="7" applyNumberFormat="1" applyFont="1" applyBorder="1" applyAlignment="1" applyProtection="1">
      <alignment horizontal="right"/>
      <protection locked="0"/>
    </xf>
    <xf numFmtId="173" fontId="31" fillId="0" borderId="3" xfId="848" applyNumberFormat="1" applyFont="1" applyBorder="1" applyAlignment="1" applyProtection="1">
      <alignment horizontal="righ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4" xfId="845" applyNumberFormat="1" applyFont="1" applyFill="1" applyBorder="1" applyAlignment="1" applyProtection="1">
      <alignment horizontal="center"/>
      <protection locked="0"/>
    </xf>
    <xf numFmtId="0" fontId="46" fillId="0" borderId="15" xfId="845" applyNumberFormat="1" applyFont="1" applyFill="1" applyBorder="1" applyAlignment="1" applyProtection="1">
      <alignment horizontal="center"/>
      <protection locked="0"/>
    </xf>
    <xf numFmtId="0" fontId="46" fillId="0" borderId="12" xfId="845" applyNumberFormat="1" applyFont="1" applyFill="1" applyBorder="1" applyAlignment="1" applyProtection="1">
      <alignment horizontal="center"/>
      <protection locked="0"/>
    </xf>
    <xf numFmtId="0" fontId="46" fillId="0" borderId="5" xfId="845" applyNumberFormat="1" applyFont="1" applyFill="1" applyBorder="1" applyAlignment="1" applyProtection="1">
      <alignment horizontal="center"/>
      <protection locked="0"/>
    </xf>
    <xf numFmtId="3" fontId="46" fillId="0" borderId="1" xfId="14" applyNumberFormat="1" applyFont="1" applyFill="1" applyBorder="1" applyAlignment="1" applyProtection="1">
      <alignment horizontal="right"/>
      <protection locked="0"/>
    </xf>
    <xf numFmtId="165" fontId="31" fillId="0" borderId="4" xfId="7" applyNumberFormat="1" applyFont="1" applyBorder="1" applyAlignment="1" applyProtection="1">
      <alignment horizontal="right"/>
      <protection locked="0"/>
    </xf>
    <xf numFmtId="173" fontId="31" fillId="0" borderId="3" xfId="0" applyNumberFormat="1" applyFont="1" applyBorder="1" applyAlignment="1" applyProtection="1">
      <alignment horizontal="right"/>
      <protection locked="0"/>
    </xf>
    <xf numFmtId="0" fontId="77" fillId="0" borderId="0" xfId="1" applyFont="1" applyFill="1" applyProtection="1">
      <protection locked="0"/>
    </xf>
    <xf numFmtId="0" fontId="46" fillId="0" borderId="4" xfId="1" applyFont="1" applyBorder="1" applyProtection="1">
      <protection locked="0"/>
    </xf>
    <xf numFmtId="0" fontId="46" fillId="0" borderId="4" xfId="7" applyFont="1" applyBorder="1" applyProtection="1">
      <protection locked="0"/>
    </xf>
    <xf numFmtId="0" fontId="46" fillId="0" borderId="4" xfId="7" applyFont="1" applyBorder="1" applyAlignment="1" applyProtection="1">
      <alignment horizontal="center"/>
      <protection locked="0"/>
    </xf>
    <xf numFmtId="0" fontId="31" fillId="0" borderId="4" xfId="7" applyFont="1" applyBorder="1" applyAlignment="1" applyProtection="1">
      <alignment horizontal="center"/>
      <protection locked="0"/>
    </xf>
    <xf numFmtId="0" fontId="31" fillId="0" borderId="4" xfId="7" applyFont="1" applyBorder="1" applyAlignment="1" applyProtection="1">
      <alignment horizontal="left"/>
      <protection locked="0"/>
    </xf>
    <xf numFmtId="3" fontId="31" fillId="4" borderId="2" xfId="7" applyNumberFormat="1" applyFont="1" applyFill="1" applyBorder="1" applyAlignment="1" applyProtection="1">
      <alignment horizontal="right"/>
      <protection locked="0"/>
    </xf>
    <xf numFmtId="3" fontId="31" fillId="4" borderId="1" xfId="10" applyNumberFormat="1" applyFont="1" applyFill="1" applyBorder="1" applyAlignment="1" applyProtection="1">
      <alignment horizontal="right"/>
      <protection locked="0"/>
    </xf>
    <xf numFmtId="3" fontId="31" fillId="4" borderId="4" xfId="10" applyNumberFormat="1" applyFont="1" applyFill="1" applyBorder="1" applyAlignment="1" applyProtection="1">
      <alignment horizontal="right"/>
      <protection locked="0"/>
    </xf>
    <xf numFmtId="3" fontId="31" fillId="4" borderId="3" xfId="10" applyNumberFormat="1" applyFont="1" applyFill="1" applyBorder="1" applyAlignment="1" applyProtection="1">
      <alignment horizontal="right"/>
      <protection locked="0"/>
    </xf>
    <xf numFmtId="3" fontId="31" fillId="4" borderId="0" xfId="10" applyNumberFormat="1" applyFont="1" applyFill="1" applyAlignment="1" applyProtection="1">
      <alignment horizontal="right"/>
      <protection locked="0"/>
    </xf>
    <xf numFmtId="3" fontId="31" fillId="0" borderId="3" xfId="10" applyNumberFormat="1" applyFont="1" applyBorder="1" applyAlignment="1" applyProtection="1">
      <alignment horizontal="right"/>
      <protection locked="0"/>
    </xf>
    <xf numFmtId="3" fontId="46" fillId="0" borderId="6" xfId="10" applyNumberFormat="1" applyFont="1" applyBorder="1" applyAlignment="1" applyProtection="1">
      <alignment horizontal="right"/>
      <protection locked="0"/>
    </xf>
    <xf numFmtId="3" fontId="46" fillId="4" borderId="1" xfId="15" applyNumberFormat="1" applyFont="1" applyFill="1" applyBorder="1" applyAlignment="1" applyProtection="1">
      <alignment horizontal="right"/>
      <protection locked="0"/>
    </xf>
    <xf numFmtId="3" fontId="61" fillId="4" borderId="3" xfId="10" applyNumberFormat="1" applyFont="1" applyFill="1" applyBorder="1" applyAlignment="1" applyProtection="1">
      <alignment horizontal="right"/>
      <protection locked="0"/>
    </xf>
    <xf numFmtId="3" fontId="46" fillId="4" borderId="3" xfId="10" applyNumberFormat="1" applyFont="1" applyFill="1" applyBorder="1" applyAlignment="1" applyProtection="1">
      <alignment horizontal="right"/>
      <protection locked="0"/>
    </xf>
    <xf numFmtId="3" fontId="46" fillId="0" borderId="3" xfId="10" applyNumberFormat="1" applyFont="1" applyBorder="1" applyAlignment="1" applyProtection="1">
      <alignment horizontal="right"/>
      <protection locked="0"/>
    </xf>
    <xf numFmtId="173" fontId="31" fillId="0" borderId="3" xfId="10" applyNumberFormat="1" applyFont="1" applyBorder="1" applyAlignment="1" applyProtection="1">
      <alignment horizontal="right"/>
      <protection locked="0"/>
    </xf>
    <xf numFmtId="174" fontId="31" fillId="0" borderId="3" xfId="2" applyNumberFormat="1" applyFont="1" applyBorder="1" applyAlignment="1" applyProtection="1">
      <alignment horizontal="right"/>
      <protection locked="0"/>
    </xf>
    <xf numFmtId="174" fontId="46" fillId="0" borderId="3" xfId="2" applyNumberFormat="1" applyFont="1" applyBorder="1" applyAlignment="1" applyProtection="1">
      <alignment horizontal="right"/>
      <protection locked="0"/>
    </xf>
    <xf numFmtId="174" fontId="31" fillId="0" borderId="4" xfId="2" applyNumberFormat="1" applyFont="1" applyBorder="1" applyAlignment="1" applyProtection="1">
      <alignment horizontal="right"/>
      <protection locked="0"/>
    </xf>
    <xf numFmtId="1" fontId="31" fillId="0" borderId="3" xfId="10" applyNumberFormat="1" applyFont="1" applyBorder="1" applyAlignment="1" applyProtection="1">
      <alignment horizontal="right"/>
      <protection locked="0"/>
    </xf>
    <xf numFmtId="0" fontId="31" fillId="0" borderId="3" xfId="10" applyFont="1" applyBorder="1" applyAlignment="1" applyProtection="1">
      <alignment horizontal="right"/>
      <protection locked="0"/>
    </xf>
    <xf numFmtId="165" fontId="31" fillId="0" borderId="3" xfId="7" applyNumberFormat="1" applyFont="1" applyFill="1" applyBorder="1" applyAlignment="1" applyProtection="1">
      <alignment horizontal="right"/>
      <protection locked="0"/>
    </xf>
    <xf numFmtId="4" fontId="31" fillId="0" borderId="2" xfId="7" applyNumberFormat="1" applyFont="1" applyBorder="1" applyAlignment="1" applyProtection="1">
      <alignment horizontal="right"/>
      <protection locked="0"/>
    </xf>
    <xf numFmtId="4" fontId="46" fillId="0" borderId="2" xfId="7" applyNumberFormat="1" applyFont="1" applyBorder="1" applyAlignment="1" applyProtection="1">
      <alignment horizontal="right"/>
      <protection locked="0"/>
    </xf>
    <xf numFmtId="4" fontId="31" fillId="0" borderId="2" xfId="7" applyNumberFormat="1" applyFont="1" applyBorder="1" applyAlignment="1">
      <alignment horizontal="right"/>
    </xf>
    <xf numFmtId="4" fontId="31" fillId="0" borderId="3" xfId="7" applyNumberFormat="1" applyFont="1" applyBorder="1" applyAlignment="1">
      <alignment horizontal="right"/>
    </xf>
    <xf numFmtId="4" fontId="31" fillId="0" borderId="0" xfId="7" applyNumberFormat="1" applyFont="1" applyAlignment="1" applyProtection="1">
      <alignment horizontal="right"/>
      <protection locked="0"/>
    </xf>
    <xf numFmtId="4" fontId="31" fillId="0" borderId="0" xfId="7" applyNumberFormat="1" applyFont="1" applyAlignment="1">
      <alignment horizontal="right"/>
    </xf>
    <xf numFmtId="4" fontId="31" fillId="0" borderId="4" xfId="7" applyNumberFormat="1" applyFont="1" applyBorder="1" applyAlignment="1">
      <alignment horizontal="right"/>
    </xf>
    <xf numFmtId="4" fontId="31" fillId="0" borderId="5" xfId="7" applyNumberFormat="1" applyFont="1" applyBorder="1" applyAlignment="1">
      <alignment horizontal="right"/>
    </xf>
    <xf numFmtId="4" fontId="31" fillId="0" borderId="6" xfId="7" applyNumberFormat="1" applyFont="1" applyBorder="1" applyAlignment="1">
      <alignment horizontal="right"/>
    </xf>
    <xf numFmtId="3" fontId="46" fillId="0" borderId="1" xfId="15" applyNumberFormat="1" applyFont="1" applyFill="1" applyBorder="1" applyAlignment="1" applyProtection="1">
      <alignment horizontal="right"/>
      <protection locked="0"/>
    </xf>
    <xf numFmtId="3" fontId="31" fillId="0" borderId="4" xfId="10" applyNumberFormat="1" applyFont="1" applyBorder="1" applyAlignment="1" applyProtection="1">
      <alignment horizontal="right"/>
      <protection locked="0"/>
    </xf>
    <xf numFmtId="165" fontId="31" fillId="0" borderId="3" xfId="10" applyNumberFormat="1" applyFont="1" applyBorder="1" applyAlignment="1" applyProtection="1">
      <alignment horizontal="right"/>
      <protection locked="0"/>
    </xf>
    <xf numFmtId="169" fontId="31" fillId="0" borderId="3" xfId="10" applyNumberFormat="1" applyFont="1" applyBorder="1" applyAlignment="1" applyProtection="1">
      <alignment horizontal="right"/>
      <protection locked="0"/>
    </xf>
    <xf numFmtId="3" fontId="31" fillId="4" borderId="7" xfId="10" applyNumberFormat="1" applyFont="1" applyFill="1" applyBorder="1" applyAlignment="1" applyProtection="1">
      <alignment horizontal="right"/>
      <protection locked="0"/>
    </xf>
    <xf numFmtId="3" fontId="46" fillId="0" borderId="4" xfId="15" applyNumberFormat="1" applyFont="1" applyFill="1" applyBorder="1" applyAlignment="1" applyProtection="1">
      <alignment horizontal="right"/>
      <protection locked="0"/>
    </xf>
    <xf numFmtId="3" fontId="46" fillId="0" borderId="11" xfId="15" applyNumberFormat="1" applyFont="1" applyFill="1" applyBorder="1" applyAlignment="1" applyProtection="1">
      <alignment horizontal="right"/>
      <protection locked="0"/>
    </xf>
    <xf numFmtId="3" fontId="46" fillId="0" borderId="3" xfId="10" applyNumberFormat="1" applyFont="1" applyBorder="1" applyAlignment="1">
      <alignment horizontal="right"/>
    </xf>
    <xf numFmtId="3" fontId="31" fillId="0" borderId="3" xfId="848" applyNumberFormat="1" applyFont="1" applyFill="1" applyBorder="1" applyAlignment="1">
      <alignment horizontal="right"/>
    </xf>
    <xf numFmtId="4" fontId="31" fillId="4" borderId="3" xfId="10" applyNumberFormat="1" applyFont="1" applyFill="1" applyBorder="1" applyAlignment="1" applyProtection="1">
      <alignment horizontal="right"/>
      <protection locked="0"/>
    </xf>
    <xf numFmtId="0" fontId="46" fillId="0" borderId="3" xfId="0" applyFont="1" applyFill="1" applyBorder="1" applyProtection="1">
      <protection locked="0"/>
    </xf>
    <xf numFmtId="3" fontId="31" fillId="0" borderId="3" xfId="10" applyNumberFormat="1" applyFont="1" applyFill="1" applyBorder="1" applyProtection="1">
      <protection locked="0"/>
    </xf>
    <xf numFmtId="3" fontId="31" fillId="0" borderId="3" xfId="0" applyNumberFormat="1" applyFont="1" applyFill="1" applyBorder="1" applyProtection="1">
      <protection locked="0"/>
    </xf>
    <xf numFmtId="0" fontId="31" fillId="0" borderId="3" xfId="10" applyFont="1" applyFill="1" applyBorder="1" applyProtection="1">
      <protection locked="0"/>
    </xf>
    <xf numFmtId="3" fontId="31" fillId="0" borderId="3" xfId="10" applyNumberFormat="1" applyFont="1" applyFill="1" applyBorder="1"/>
    <xf numFmtId="0" fontId="46" fillId="0" borderId="6" xfId="0" applyFont="1" applyFill="1" applyBorder="1" applyProtection="1">
      <protection locked="0"/>
    </xf>
    <xf numFmtId="3" fontId="31" fillId="0" borderId="6" xfId="10" applyNumberFormat="1" applyFont="1" applyFill="1" applyBorder="1" applyProtection="1">
      <protection locked="0"/>
    </xf>
    <xf numFmtId="3" fontId="31" fillId="0" borderId="6" xfId="0" applyNumberFormat="1" applyFont="1" applyFill="1" applyBorder="1" applyProtection="1">
      <protection locked="0"/>
    </xf>
    <xf numFmtId="0" fontId="31" fillId="0" borderId="6" xfId="10" applyFont="1" applyFill="1" applyBorder="1" applyProtection="1">
      <protection locked="0"/>
    </xf>
    <xf numFmtId="3" fontId="31" fillId="0" borderId="6" xfId="10" applyNumberFormat="1" applyFont="1" applyFill="1" applyBorder="1"/>
    <xf numFmtId="1" fontId="46" fillId="0" borderId="3" xfId="0" applyNumberFormat="1" applyFont="1" applyFill="1" applyBorder="1" applyProtection="1">
      <protection locked="0"/>
    </xf>
    <xf numFmtId="1" fontId="46" fillId="0" borderId="6" xfId="0" applyNumberFormat="1" applyFont="1" applyFill="1" applyBorder="1" applyProtection="1">
      <protection locked="0"/>
    </xf>
    <xf numFmtId="3" fontId="16" fillId="0" borderId="6" xfId="1" applyNumberFormat="1" applyFont="1" applyFill="1" applyBorder="1"/>
    <xf numFmtId="3" fontId="16" fillId="0" borderId="11" xfId="1" applyNumberFormat="1" applyFont="1" applyFill="1" applyBorder="1"/>
    <xf numFmtId="3" fontId="18" fillId="0" borderId="8" xfId="1" applyNumberFormat="1" applyFont="1" applyFill="1" applyBorder="1"/>
    <xf numFmtId="0" fontId="46" fillId="4" borderId="0" xfId="0" applyNumberFormat="1" applyFont="1" applyFill="1" applyBorder="1" applyAlignment="1" applyProtection="1">
      <alignment horizontal="center"/>
      <protection locked="0"/>
    </xf>
    <xf numFmtId="3" fontId="46" fillId="0" borderId="1" xfId="1" applyNumberFormat="1" applyFont="1" applyBorder="1" applyProtection="1">
      <protection locked="0"/>
    </xf>
    <xf numFmtId="0" fontId="16" fillId="0" borderId="7" xfId="0" applyFont="1" applyBorder="1" applyAlignment="1" applyProtection="1">
      <alignment horizontal="center"/>
      <protection locked="0"/>
    </xf>
    <xf numFmtId="169" fontId="16" fillId="0" borderId="6" xfId="0" applyNumberFormat="1" applyFont="1" applyBorder="1" applyAlignment="1" applyProtection="1">
      <alignment horizontal="center"/>
      <protection locked="0"/>
    </xf>
    <xf numFmtId="3" fontId="31" fillId="4" borderId="4" xfId="0" applyNumberFormat="1" applyFont="1" applyFill="1" applyBorder="1" applyAlignment="1">
      <alignment horizontal="right"/>
    </xf>
    <xf numFmtId="3" fontId="46" fillId="4" borderId="4" xfId="0" applyNumberFormat="1" applyFont="1" applyFill="1" applyBorder="1" applyAlignment="1">
      <alignment horizontal="right"/>
    </xf>
    <xf numFmtId="173" fontId="31" fillId="4" borderId="4" xfId="0" applyNumberFormat="1" applyFont="1" applyFill="1" applyBorder="1" applyAlignment="1">
      <alignment horizontal="right"/>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1" xfId="1" applyFont="1" applyFill="1" applyBorder="1" applyAlignment="1" applyProtection="1">
      <alignment horizontal="center"/>
      <protection locked="0"/>
    </xf>
    <xf numFmtId="0" fontId="46" fillId="0" borderId="12" xfId="1" applyFont="1" applyFill="1" applyBorder="1" applyAlignment="1" applyProtection="1">
      <alignment horizontal="center"/>
      <protection locked="0"/>
    </xf>
    <xf numFmtId="0" fontId="46" fillId="0" borderId="5" xfId="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1" applyFont="1" applyFill="1" applyBorder="1" applyAlignment="1" applyProtection="1">
      <alignment horizontal="center"/>
      <protection locked="0"/>
    </xf>
    <xf numFmtId="0" fontId="46" fillId="0" borderId="14" xfId="1" applyFont="1" applyFill="1" applyBorder="1" applyAlignment="1" applyProtection="1">
      <alignment horizontal="center"/>
      <protection locked="0"/>
    </xf>
    <xf numFmtId="0" fontId="46" fillId="0" borderId="15" xfId="1" applyFont="1" applyFill="1" applyBorder="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1" xfId="848" applyNumberFormat="1" applyFont="1" applyFill="1" applyBorder="1" applyAlignment="1" applyProtection="1">
      <alignment horizontal="center"/>
      <protection locked="0"/>
    </xf>
    <xf numFmtId="0" fontId="46" fillId="0" borderId="12" xfId="848" applyNumberFormat="1" applyFont="1" applyFill="1" applyBorder="1" applyAlignment="1" applyProtection="1">
      <alignment horizontal="center"/>
      <protection locked="0"/>
    </xf>
    <xf numFmtId="0" fontId="46" fillId="0" borderId="5" xfId="848" applyNumberFormat="1" applyFont="1" applyFill="1" applyBorder="1" applyAlignment="1" applyProtection="1">
      <alignment horizontal="center"/>
      <protection locked="0"/>
    </xf>
    <xf numFmtId="0" fontId="46" fillId="0" borderId="11" xfId="7" applyNumberFormat="1" applyFont="1" applyFill="1" applyBorder="1" applyAlignment="1" applyProtection="1">
      <alignment horizontal="center"/>
      <protection locked="0"/>
    </xf>
    <xf numFmtId="0" fontId="46" fillId="0" borderId="12" xfId="7" applyNumberFormat="1" applyFont="1" applyFill="1" applyBorder="1" applyAlignment="1" applyProtection="1">
      <alignment horizontal="center"/>
      <protection locked="0"/>
    </xf>
    <xf numFmtId="0" fontId="46" fillId="0" borderId="5" xfId="7" applyNumberFormat="1" applyFont="1" applyFill="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0" borderId="0" xfId="1" applyNumberFormat="1" applyFont="1" applyFill="1" applyBorder="1" applyAlignment="1" applyProtection="1">
      <alignment horizontal="center"/>
      <protection locked="0"/>
    </xf>
    <xf numFmtId="0" fontId="46" fillId="0" borderId="11" xfId="845" applyNumberFormat="1" applyFont="1" applyFill="1" applyBorder="1" applyAlignment="1" applyProtection="1">
      <alignment horizontal="center"/>
      <protection locked="0"/>
    </xf>
    <xf numFmtId="0" fontId="46" fillId="0" borderId="12" xfId="845" applyNumberFormat="1" applyFont="1" applyFill="1" applyBorder="1" applyAlignment="1" applyProtection="1">
      <alignment horizontal="center"/>
      <protection locked="0"/>
    </xf>
    <xf numFmtId="0" fontId="46" fillId="0" borderId="5" xfId="845" applyNumberFormat="1" applyFont="1" applyFill="1" applyBorder="1" applyAlignment="1" applyProtection="1">
      <alignment horizontal="center"/>
      <protection locked="0"/>
    </xf>
    <xf numFmtId="0" fontId="46" fillId="0" borderId="1" xfId="845" applyNumberFormat="1" applyFont="1" applyFill="1" applyBorder="1" applyAlignment="1" applyProtection="1">
      <alignment horizontal="center"/>
      <protection locked="0"/>
    </xf>
    <xf numFmtId="0" fontId="46" fillId="0" borderId="14" xfId="845" applyNumberFormat="1" applyFont="1" applyFill="1" applyBorder="1" applyAlignment="1" applyProtection="1">
      <alignment horizontal="center"/>
      <protection locked="0"/>
    </xf>
    <xf numFmtId="0" fontId="46" fillId="0" borderId="15" xfId="845" applyNumberFormat="1" applyFont="1" applyFill="1" applyBorder="1" applyAlignment="1" applyProtection="1">
      <alignment horizontal="center"/>
      <protection locked="0"/>
    </xf>
    <xf numFmtId="0" fontId="46" fillId="4" borderId="0" xfId="1" applyNumberFormat="1" applyFont="1" applyFill="1" applyBorder="1" applyAlignment="1" applyProtection="1">
      <alignment horizontal="center"/>
      <protection locked="0"/>
    </xf>
    <xf numFmtId="0" fontId="69" fillId="0" borderId="0" xfId="0" applyFont="1" applyAlignment="1">
      <alignment horizontal="left" vertical="center" wrapText="1" readingOrder="1"/>
    </xf>
  </cellXfs>
  <cellStyles count="852">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50"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1"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Normal_Forslag 2" xfId="848" xr:uid="{00000000-0005-0000-0000-00003B020000}"/>
    <cellStyle name="Tusenskille 2" xfId="14" xr:uid="{00000000-0005-0000-0000-00003C020000}"/>
    <cellStyle name="Tusenskille 2 2" xfId="15" xr:uid="{00000000-0005-0000-0000-00003D020000}"/>
    <cellStyle name="Tusenskille 2 2 2" xfId="751" xr:uid="{00000000-0005-0000-0000-00003E020000}"/>
    <cellStyle name="Tusenskille 2 2 3" xfId="849"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25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onnections" Target="connections.xml"/><Relationship Id="rId50" Type="http://schemas.openxmlformats.org/officeDocument/2006/relationships/calcChain" Target="calcChain.xml"/><Relationship Id="rId55"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Figurer!$M$6</c:f>
              <c:strCache>
                <c:ptCount val="1"/>
                <c:pt idx="0">
                  <c:v>2020</c:v>
                </c:pt>
              </c:strCache>
            </c:strRef>
          </c:tx>
          <c:invertIfNegative val="0"/>
          <c:cat>
            <c:strRef>
              <c:f>Figurer!$L$7:$L$31</c:f>
              <c:strCache>
                <c:ptCount val="25"/>
                <c:pt idx="0">
                  <c:v>Codan Forsikring</c:v>
                </c:pt>
                <c:pt idx="1">
                  <c:v>Danica Pensjon</c:v>
                </c:pt>
                <c:pt idx="2">
                  <c:v>DNB Bedriftsp</c:v>
                </c:pt>
                <c:pt idx="3">
                  <c:v>DNB Liv</c:v>
                </c:pt>
                <c:pt idx="4">
                  <c:v>Eika Forsikring</c:v>
                </c:pt>
                <c:pt idx="5">
                  <c:v>Euro Accident</c:v>
                </c:pt>
                <c:pt idx="6">
                  <c:v>Fremtind Livsfors</c:v>
                </c:pt>
                <c:pt idx="7">
                  <c:v>Frende Livsfors</c:v>
                </c:pt>
                <c:pt idx="8">
                  <c:v>Frende Skade</c:v>
                </c:pt>
                <c:pt idx="9">
                  <c:v>Gjensidige Fors</c:v>
                </c:pt>
                <c:pt idx="10">
                  <c:v>Gjensidige Pensj</c:v>
                </c:pt>
                <c:pt idx="11">
                  <c:v>Handelsb Liv</c:v>
                </c:pt>
                <c:pt idx="12">
                  <c:v>If Skadefors</c:v>
                </c:pt>
                <c:pt idx="13">
                  <c:v>KLP</c:v>
                </c:pt>
                <c:pt idx="14">
                  <c:v>KLP Skadef</c:v>
                </c:pt>
                <c:pt idx="15">
                  <c:v>Landkreditt Fors.</c:v>
                </c:pt>
                <c:pt idx="16">
                  <c:v>Insr</c:v>
                </c:pt>
                <c:pt idx="17">
                  <c:v>Nordea Liv</c:v>
                </c:pt>
                <c:pt idx="18">
                  <c:v>OPF</c:v>
                </c:pt>
                <c:pt idx="19">
                  <c:v>Protector Fors</c:v>
                </c:pt>
                <c:pt idx="20">
                  <c:v>SpareBank 1</c:v>
                </c:pt>
                <c:pt idx="21">
                  <c:v>Storebrand </c:v>
                </c:pt>
                <c:pt idx="22">
                  <c:v>Telenor Fors</c:v>
                </c:pt>
                <c:pt idx="23">
                  <c:v>Tryg Fors</c:v>
                </c:pt>
                <c:pt idx="24">
                  <c:v>WaterCircles Fors.</c:v>
                </c:pt>
              </c:strCache>
            </c:strRef>
          </c:cat>
          <c:val>
            <c:numRef>
              <c:f>Figurer!$M$7:$M$31</c:f>
              <c:numCache>
                <c:formatCode>#,##0</c:formatCode>
                <c:ptCount val="25"/>
                <c:pt idx="0">
                  <c:v>0</c:v>
                </c:pt>
                <c:pt idx="1">
                  <c:v>430556.18900000001</c:v>
                </c:pt>
                <c:pt idx="2">
                  <c:v>98726</c:v>
                </c:pt>
                <c:pt idx="3">
                  <c:v>3463853.92227</c:v>
                </c:pt>
                <c:pt idx="4">
                  <c:v>335372</c:v>
                </c:pt>
                <c:pt idx="5">
                  <c:v>0</c:v>
                </c:pt>
                <c:pt idx="6">
                  <c:v>2912282.94184</c:v>
                </c:pt>
                <c:pt idx="7">
                  <c:v>496774</c:v>
                </c:pt>
                <c:pt idx="8">
                  <c:v>6351.5640000000003</c:v>
                </c:pt>
                <c:pt idx="9">
                  <c:v>1666418</c:v>
                </c:pt>
                <c:pt idx="10">
                  <c:v>662338</c:v>
                </c:pt>
                <c:pt idx="11">
                  <c:v>34452.757850000002</c:v>
                </c:pt>
                <c:pt idx="12">
                  <c:v>508488.73802438495</c:v>
                </c:pt>
                <c:pt idx="13">
                  <c:v>34177241.879859999</c:v>
                </c:pt>
                <c:pt idx="14">
                  <c:v>194718</c:v>
                </c:pt>
                <c:pt idx="15">
                  <c:v>98068</c:v>
                </c:pt>
                <c:pt idx="16">
                  <c:v>14663</c:v>
                </c:pt>
                <c:pt idx="17">
                  <c:v>1464010.08</c:v>
                </c:pt>
                <c:pt idx="18">
                  <c:v>4017000</c:v>
                </c:pt>
                <c:pt idx="19">
                  <c:v>307752.03923018795</c:v>
                </c:pt>
                <c:pt idx="20">
                  <c:v>735170.28865</c:v>
                </c:pt>
                <c:pt idx="21">
                  <c:v>4956525.3760000002</c:v>
                </c:pt>
                <c:pt idx="22">
                  <c:v>1726</c:v>
                </c:pt>
                <c:pt idx="23">
                  <c:v>598971.11495999992</c:v>
                </c:pt>
                <c:pt idx="24">
                  <c:v>1278</c:v>
                </c:pt>
              </c:numCache>
            </c:numRef>
          </c:val>
          <c:extLst>
            <c:ext xmlns:c16="http://schemas.microsoft.com/office/drawing/2014/chart" uri="{C3380CC4-5D6E-409C-BE32-E72D297353CC}">
              <c16:uniqueId val="{00000002-93AE-4CD9-98AD-A52686D1F9FB}"/>
            </c:ext>
          </c:extLst>
        </c:ser>
        <c:ser>
          <c:idx val="1"/>
          <c:order val="1"/>
          <c:tx>
            <c:strRef>
              <c:f>Figurer!$N$6</c:f>
              <c:strCache>
                <c:ptCount val="1"/>
                <c:pt idx="0">
                  <c:v>2021</c:v>
                </c:pt>
              </c:strCache>
            </c:strRef>
          </c:tx>
          <c:invertIfNegative val="0"/>
          <c:cat>
            <c:strRef>
              <c:f>Figurer!$L$7:$L$31</c:f>
              <c:strCache>
                <c:ptCount val="25"/>
                <c:pt idx="0">
                  <c:v>Codan Forsikring</c:v>
                </c:pt>
                <c:pt idx="1">
                  <c:v>Danica Pensjon</c:v>
                </c:pt>
                <c:pt idx="2">
                  <c:v>DNB Bedriftsp</c:v>
                </c:pt>
                <c:pt idx="3">
                  <c:v>DNB Liv</c:v>
                </c:pt>
                <c:pt idx="4">
                  <c:v>Eika Forsikring</c:v>
                </c:pt>
                <c:pt idx="5">
                  <c:v>Euro Accident</c:v>
                </c:pt>
                <c:pt idx="6">
                  <c:v>Fremtind Livsfors</c:v>
                </c:pt>
                <c:pt idx="7">
                  <c:v>Frende Livsfors</c:v>
                </c:pt>
                <c:pt idx="8">
                  <c:v>Frende Skade</c:v>
                </c:pt>
                <c:pt idx="9">
                  <c:v>Gjensidige Fors</c:v>
                </c:pt>
                <c:pt idx="10">
                  <c:v>Gjensidige Pensj</c:v>
                </c:pt>
                <c:pt idx="11">
                  <c:v>Handelsb Liv</c:v>
                </c:pt>
                <c:pt idx="12">
                  <c:v>If Skadefors</c:v>
                </c:pt>
                <c:pt idx="13">
                  <c:v>KLP</c:v>
                </c:pt>
                <c:pt idx="14">
                  <c:v>KLP Skadef</c:v>
                </c:pt>
                <c:pt idx="15">
                  <c:v>Landkreditt Fors.</c:v>
                </c:pt>
                <c:pt idx="16">
                  <c:v>Insr</c:v>
                </c:pt>
                <c:pt idx="17">
                  <c:v>Nordea Liv</c:v>
                </c:pt>
                <c:pt idx="18">
                  <c:v>OPF</c:v>
                </c:pt>
                <c:pt idx="19">
                  <c:v>Protector Fors</c:v>
                </c:pt>
                <c:pt idx="20">
                  <c:v>SpareBank 1</c:v>
                </c:pt>
                <c:pt idx="21">
                  <c:v>Storebrand </c:v>
                </c:pt>
                <c:pt idx="22">
                  <c:v>Telenor Fors</c:v>
                </c:pt>
                <c:pt idx="23">
                  <c:v>Tryg Fors</c:v>
                </c:pt>
                <c:pt idx="24">
                  <c:v>WaterCircles Fors.</c:v>
                </c:pt>
              </c:strCache>
            </c:strRef>
          </c:cat>
          <c:val>
            <c:numRef>
              <c:f>Figurer!$N$7:$N$31</c:f>
              <c:numCache>
                <c:formatCode>#,##0</c:formatCode>
                <c:ptCount val="25"/>
                <c:pt idx="0">
                  <c:v>82704</c:v>
                </c:pt>
                <c:pt idx="1">
                  <c:v>434013.95000000007</c:v>
                </c:pt>
                <c:pt idx="2">
                  <c:v>0</c:v>
                </c:pt>
                <c:pt idx="3">
                  <c:v>3182644.2884499999</c:v>
                </c:pt>
                <c:pt idx="4">
                  <c:v>375779</c:v>
                </c:pt>
                <c:pt idx="5">
                  <c:v>10960</c:v>
                </c:pt>
                <c:pt idx="6">
                  <c:v>3074791.8314700001</c:v>
                </c:pt>
                <c:pt idx="7">
                  <c:v>458515</c:v>
                </c:pt>
                <c:pt idx="8">
                  <c:v>7999.02</c:v>
                </c:pt>
                <c:pt idx="9">
                  <c:v>1910669.1639999999</c:v>
                </c:pt>
                <c:pt idx="10">
                  <c:v>726294</c:v>
                </c:pt>
                <c:pt idx="11">
                  <c:v>34165.241999999998</c:v>
                </c:pt>
                <c:pt idx="12">
                  <c:v>535456.72047683294</c:v>
                </c:pt>
                <c:pt idx="13">
                  <c:v>50026045.50818</c:v>
                </c:pt>
                <c:pt idx="14">
                  <c:v>253776.878</c:v>
                </c:pt>
                <c:pt idx="15">
                  <c:v>112320</c:v>
                </c:pt>
                <c:pt idx="16">
                  <c:v>0</c:v>
                </c:pt>
                <c:pt idx="17">
                  <c:v>1552615</c:v>
                </c:pt>
                <c:pt idx="18">
                  <c:v>7476722</c:v>
                </c:pt>
                <c:pt idx="19">
                  <c:v>331132.55263506202</c:v>
                </c:pt>
                <c:pt idx="20">
                  <c:v>799976.18833000003</c:v>
                </c:pt>
                <c:pt idx="21">
                  <c:v>5938754.0609999998</c:v>
                </c:pt>
                <c:pt idx="22">
                  <c:v>1344</c:v>
                </c:pt>
                <c:pt idx="23">
                  <c:v>589319.00377000007</c:v>
                </c:pt>
                <c:pt idx="24">
                  <c:v>1909</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2320392681838466"/>
          <c:y val="1.8652216859989267E-2"/>
          <c:w val="0.77619271486646502"/>
          <c:h val="0.61573077622722905"/>
        </c:manualLayout>
      </c:layout>
      <c:barChart>
        <c:barDir val="col"/>
        <c:grouping val="clustered"/>
        <c:varyColors val="0"/>
        <c:ser>
          <c:idx val="0"/>
          <c:order val="0"/>
          <c:tx>
            <c:strRef>
              <c:f>Figurer!$M$37</c:f>
              <c:strCache>
                <c:ptCount val="1"/>
                <c:pt idx="0">
                  <c:v>2020</c:v>
                </c:pt>
              </c:strCache>
            </c:strRef>
          </c:tx>
          <c:invertIfNegative val="0"/>
          <c:cat>
            <c:strRef>
              <c:f>Figurer!$L$38:$L$47</c:f>
              <c:strCache>
                <c:ptCount val="10"/>
                <c:pt idx="0">
                  <c:v>Danica Pensjon</c:v>
                </c:pt>
                <c:pt idx="1">
                  <c:v>KLP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Figurer!$M$38:$M$47</c:f>
              <c:numCache>
                <c:formatCode>#,##0</c:formatCode>
                <c:ptCount val="10"/>
                <c:pt idx="0">
                  <c:v>2098292.548</c:v>
                </c:pt>
                <c:pt idx="1">
                  <c:v>601762</c:v>
                </c:pt>
                <c:pt idx="2">
                  <c:v>10110496</c:v>
                </c:pt>
                <c:pt idx="3">
                  <c:v>366321.7</c:v>
                </c:pt>
                <c:pt idx="4">
                  <c:v>3251091</c:v>
                </c:pt>
                <c:pt idx="5">
                  <c:v>74308.707999999999</c:v>
                </c:pt>
                <c:pt idx="6">
                  <c:v>12668233</c:v>
                </c:pt>
                <c:pt idx="7">
                  <c:v>146915.30192</c:v>
                </c:pt>
                <c:pt idx="8">
                  <c:v>4778935.5708499998</c:v>
                </c:pt>
                <c:pt idx="9">
                  <c:v>12778507.596999999</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2021</c:v>
                </c:pt>
              </c:strCache>
            </c:strRef>
          </c:tx>
          <c:invertIfNegative val="0"/>
          <c:cat>
            <c:strRef>
              <c:f>Figurer!$L$38:$L$47</c:f>
              <c:strCache>
                <c:ptCount val="10"/>
                <c:pt idx="0">
                  <c:v>Danica Pensjon</c:v>
                </c:pt>
                <c:pt idx="1">
                  <c:v>KLP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Figurer!$N$38:$N$47</c:f>
              <c:numCache>
                <c:formatCode>#,##0</c:formatCode>
                <c:ptCount val="10"/>
                <c:pt idx="0">
                  <c:v>2301876.503</c:v>
                </c:pt>
                <c:pt idx="1">
                  <c:v>0</c:v>
                </c:pt>
                <c:pt idx="2">
                  <c:v>11851242.041999999</c:v>
                </c:pt>
                <c:pt idx="3">
                  <c:v>0</c:v>
                </c:pt>
                <c:pt idx="4">
                  <c:v>3714294</c:v>
                </c:pt>
                <c:pt idx="5">
                  <c:v>135009.071</c:v>
                </c:pt>
                <c:pt idx="6">
                  <c:v>17865814</c:v>
                </c:pt>
                <c:pt idx="7">
                  <c:v>178297.44472</c:v>
                </c:pt>
                <c:pt idx="8">
                  <c:v>5555744.3693300001</c:v>
                </c:pt>
                <c:pt idx="9">
                  <c:v>13164375.305</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Figurer!$M$56</c:f>
              <c:strCache>
                <c:ptCount val="1"/>
                <c:pt idx="0">
                  <c:v>2020</c:v>
                </c:pt>
              </c:strCache>
            </c:strRef>
          </c:tx>
          <c:invertIfNegative val="0"/>
          <c:cat>
            <c:strRef>
              <c:f>Figurer!$L$57:$L$79</c:f>
              <c:strCache>
                <c:ptCount val="23"/>
                <c:pt idx="0">
                  <c:v>Codan Forsikring</c:v>
                </c:pt>
                <c:pt idx="1">
                  <c:v>Danica Pensjon</c:v>
                </c:pt>
                <c:pt idx="2">
                  <c:v>DNB Bedriftsp</c:v>
                </c:pt>
                <c:pt idx="3">
                  <c:v>DNB Liv</c:v>
                </c:pt>
                <c:pt idx="4">
                  <c:v>Eika Forsikring</c:v>
                </c:pt>
                <c:pt idx="5">
                  <c:v>Euro Accident</c:v>
                </c:pt>
                <c:pt idx="6">
                  <c:v>Fremtind Livsfors</c:v>
                </c:pt>
                <c:pt idx="7">
                  <c:v>Frende Livsfors</c:v>
                </c:pt>
                <c:pt idx="8">
                  <c:v>Gjensidige Fors</c:v>
                </c:pt>
                <c:pt idx="9">
                  <c:v>Gjensidige Pensj</c:v>
                </c:pt>
                <c:pt idx="10">
                  <c:v>Handelsb Liv</c:v>
                </c:pt>
                <c:pt idx="11">
                  <c:v>If Skadefors</c:v>
                </c:pt>
                <c:pt idx="12">
                  <c:v>Insr</c:v>
                </c:pt>
                <c:pt idx="13">
                  <c:v>KLP</c:v>
                </c:pt>
                <c:pt idx="14">
                  <c:v>KLP Skadef</c:v>
                </c:pt>
                <c:pt idx="15">
                  <c:v>Landkreditt Fors</c:v>
                </c:pt>
                <c:pt idx="16">
                  <c:v>Nordea Liv</c:v>
                </c:pt>
                <c:pt idx="17">
                  <c:v>OPF</c:v>
                </c:pt>
                <c:pt idx="18">
                  <c:v>SpareBank 1</c:v>
                </c:pt>
                <c:pt idx="19">
                  <c:v>Storebrand </c:v>
                </c:pt>
                <c:pt idx="20">
                  <c:v>Telenor Forsikring</c:v>
                </c:pt>
                <c:pt idx="21">
                  <c:v>Tryg Forsikring</c:v>
                </c:pt>
                <c:pt idx="22">
                  <c:v>WaterCicles Fors.</c:v>
                </c:pt>
              </c:strCache>
            </c:strRef>
          </c:cat>
          <c:val>
            <c:numRef>
              <c:f>Figurer!$M$57:$M$79</c:f>
              <c:numCache>
                <c:formatCode>#,##0</c:formatCode>
                <c:ptCount val="23"/>
                <c:pt idx="0">
                  <c:v>0</c:v>
                </c:pt>
                <c:pt idx="1">
                  <c:v>1320149.652</c:v>
                </c:pt>
                <c:pt idx="2">
                  <c:v>1799572</c:v>
                </c:pt>
                <c:pt idx="3">
                  <c:v>193584584.22384</c:v>
                </c:pt>
                <c:pt idx="4">
                  <c:v>543598</c:v>
                </c:pt>
                <c:pt idx="5">
                  <c:v>0</c:v>
                </c:pt>
                <c:pt idx="6">
                  <c:v>3822716.1325900001</c:v>
                </c:pt>
                <c:pt idx="7">
                  <c:v>790605</c:v>
                </c:pt>
                <c:pt idx="8">
                  <c:v>0</c:v>
                </c:pt>
                <c:pt idx="9">
                  <c:v>7662525</c:v>
                </c:pt>
                <c:pt idx="10">
                  <c:v>22414.323470655629</c:v>
                </c:pt>
                <c:pt idx="11">
                  <c:v>513146.81849719601</c:v>
                </c:pt>
                <c:pt idx="12">
                  <c:v>2056</c:v>
                </c:pt>
                <c:pt idx="13">
                  <c:v>537548840.24074996</c:v>
                </c:pt>
                <c:pt idx="14">
                  <c:v>52996</c:v>
                </c:pt>
                <c:pt idx="15">
                  <c:v>0</c:v>
                </c:pt>
                <c:pt idx="16">
                  <c:v>53026780</c:v>
                </c:pt>
                <c:pt idx="17">
                  <c:v>82047000</c:v>
                </c:pt>
                <c:pt idx="18">
                  <c:v>19298850.99636</c:v>
                </c:pt>
                <c:pt idx="19">
                  <c:v>183812146.52500001</c:v>
                </c:pt>
                <c:pt idx="20">
                  <c:v>0</c:v>
                </c:pt>
                <c:pt idx="21">
                  <c:v>0</c:v>
                </c:pt>
                <c:pt idx="22">
                  <c:v>0</c:v>
                </c:pt>
              </c:numCache>
            </c:numRef>
          </c:val>
          <c:extLst>
            <c:ext xmlns:c16="http://schemas.microsoft.com/office/drawing/2014/chart" uri="{C3380CC4-5D6E-409C-BE32-E72D297353CC}">
              <c16:uniqueId val="{00000000-F5D7-4882-A9B6-45C2F0317A05}"/>
            </c:ext>
          </c:extLst>
        </c:ser>
        <c:ser>
          <c:idx val="1"/>
          <c:order val="1"/>
          <c:tx>
            <c:strRef>
              <c:f>Figurer!$N$56</c:f>
              <c:strCache>
                <c:ptCount val="1"/>
                <c:pt idx="0">
                  <c:v>2021</c:v>
                </c:pt>
              </c:strCache>
            </c:strRef>
          </c:tx>
          <c:invertIfNegative val="0"/>
          <c:cat>
            <c:strRef>
              <c:f>Figurer!$L$57:$L$79</c:f>
              <c:strCache>
                <c:ptCount val="23"/>
                <c:pt idx="0">
                  <c:v>Codan Forsikring</c:v>
                </c:pt>
                <c:pt idx="1">
                  <c:v>Danica Pensjon</c:v>
                </c:pt>
                <c:pt idx="2">
                  <c:v>DNB Bedriftsp</c:v>
                </c:pt>
                <c:pt idx="3">
                  <c:v>DNB Liv</c:v>
                </c:pt>
                <c:pt idx="4">
                  <c:v>Eika Forsikring</c:v>
                </c:pt>
                <c:pt idx="5">
                  <c:v>Euro Accident</c:v>
                </c:pt>
                <c:pt idx="6">
                  <c:v>Fremtind Livsfors</c:v>
                </c:pt>
                <c:pt idx="7">
                  <c:v>Frende Livsfors</c:v>
                </c:pt>
                <c:pt idx="8">
                  <c:v>Gjensidige Fors</c:v>
                </c:pt>
                <c:pt idx="9">
                  <c:v>Gjensidige Pensj</c:v>
                </c:pt>
                <c:pt idx="10">
                  <c:v>Handelsb Liv</c:v>
                </c:pt>
                <c:pt idx="11">
                  <c:v>If Skadefors</c:v>
                </c:pt>
                <c:pt idx="12">
                  <c:v>Insr</c:v>
                </c:pt>
                <c:pt idx="13">
                  <c:v>KLP</c:v>
                </c:pt>
                <c:pt idx="14">
                  <c:v>KLP Skadef</c:v>
                </c:pt>
                <c:pt idx="15">
                  <c:v>Landkreditt Fors</c:v>
                </c:pt>
                <c:pt idx="16">
                  <c:v>Nordea Liv</c:v>
                </c:pt>
                <c:pt idx="17">
                  <c:v>OPF</c:v>
                </c:pt>
                <c:pt idx="18">
                  <c:v>SpareBank 1</c:v>
                </c:pt>
                <c:pt idx="19">
                  <c:v>Storebrand </c:v>
                </c:pt>
                <c:pt idx="20">
                  <c:v>Telenor Forsikring</c:v>
                </c:pt>
                <c:pt idx="21">
                  <c:v>Tryg Forsikring</c:v>
                </c:pt>
                <c:pt idx="22">
                  <c:v>WaterCicles Fors.</c:v>
                </c:pt>
              </c:strCache>
            </c:strRef>
          </c:cat>
          <c:val>
            <c:numRef>
              <c:f>Figurer!$N$57:$N$79</c:f>
              <c:numCache>
                <c:formatCode>#,##0</c:formatCode>
                <c:ptCount val="23"/>
                <c:pt idx="0">
                  <c:v>0</c:v>
                </c:pt>
                <c:pt idx="1">
                  <c:v>1398802.868</c:v>
                </c:pt>
                <c:pt idx="2">
                  <c:v>0</c:v>
                </c:pt>
                <c:pt idx="3">
                  <c:v>193517916</c:v>
                </c:pt>
                <c:pt idx="4">
                  <c:v>572507</c:v>
                </c:pt>
                <c:pt idx="5">
                  <c:v>0</c:v>
                </c:pt>
                <c:pt idx="6">
                  <c:v>4274504.1585400002</c:v>
                </c:pt>
                <c:pt idx="7">
                  <c:v>1050219</c:v>
                </c:pt>
                <c:pt idx="8">
                  <c:v>0</c:v>
                </c:pt>
                <c:pt idx="9">
                  <c:v>8230173</c:v>
                </c:pt>
                <c:pt idx="10">
                  <c:v>22010.537</c:v>
                </c:pt>
                <c:pt idx="11">
                  <c:v>556565.27800000005</c:v>
                </c:pt>
                <c:pt idx="12">
                  <c:v>0</c:v>
                </c:pt>
                <c:pt idx="13">
                  <c:v>574122994.44806004</c:v>
                </c:pt>
                <c:pt idx="14">
                  <c:v>72087.316999999995</c:v>
                </c:pt>
                <c:pt idx="15">
                  <c:v>0</c:v>
                </c:pt>
                <c:pt idx="16">
                  <c:v>55808862</c:v>
                </c:pt>
                <c:pt idx="17">
                  <c:v>102259830</c:v>
                </c:pt>
                <c:pt idx="18">
                  <c:v>20710069.296859998</c:v>
                </c:pt>
                <c:pt idx="19">
                  <c:v>196253398.08000004</c:v>
                </c:pt>
                <c:pt idx="20">
                  <c:v>0</c:v>
                </c:pt>
                <c:pt idx="21">
                  <c:v>0</c:v>
                </c:pt>
                <c:pt idx="22">
                  <c:v>0</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Figurer!$M$86</c:f>
              <c:strCache>
                <c:ptCount val="1"/>
                <c:pt idx="0">
                  <c:v>2020</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Figurer!$M$87:$M$96</c:f>
              <c:numCache>
                <c:formatCode>#,##0</c:formatCode>
                <c:ptCount val="10"/>
                <c:pt idx="0">
                  <c:v>24084123.675000001</c:v>
                </c:pt>
                <c:pt idx="1">
                  <c:v>5959168</c:v>
                </c:pt>
                <c:pt idx="2">
                  <c:v>110860381.59099999</c:v>
                </c:pt>
                <c:pt idx="3">
                  <c:v>0</c:v>
                </c:pt>
                <c:pt idx="4">
                  <c:v>34697528</c:v>
                </c:pt>
                <c:pt idx="5">
                  <c:v>2013752.24184</c:v>
                </c:pt>
                <c:pt idx="6">
                  <c:v>98862690</c:v>
                </c:pt>
                <c:pt idx="7">
                  <c:v>2931716.44123</c:v>
                </c:pt>
                <c:pt idx="8">
                  <c:v>43584932.280090004</c:v>
                </c:pt>
                <c:pt idx="9">
                  <c:v>137052793.507</c:v>
                </c:pt>
              </c:numCache>
            </c:numRef>
          </c:val>
          <c:extLst>
            <c:ext xmlns:c16="http://schemas.microsoft.com/office/drawing/2014/chart" uri="{C3380CC4-5D6E-409C-BE32-E72D297353CC}">
              <c16:uniqueId val="{00000000-62B1-4395-80F9-424B1553CC96}"/>
            </c:ext>
          </c:extLst>
        </c:ser>
        <c:ser>
          <c:idx val="1"/>
          <c:order val="1"/>
          <c:tx>
            <c:strRef>
              <c:f>Figurer!$N$86</c:f>
              <c:strCache>
                <c:ptCount val="1"/>
                <c:pt idx="0">
                  <c:v>2021</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Figurer!$N$87:$N$96</c:f>
              <c:numCache>
                <c:formatCode>#,##0</c:formatCode>
                <c:ptCount val="10"/>
                <c:pt idx="0">
                  <c:v>29361437.739999998</c:v>
                </c:pt>
                <c:pt idx="1">
                  <c:v>0</c:v>
                </c:pt>
                <c:pt idx="2">
                  <c:v>138747409.08115</c:v>
                </c:pt>
                <c:pt idx="3">
                  <c:v>0</c:v>
                </c:pt>
                <c:pt idx="4">
                  <c:v>43184431</c:v>
                </c:pt>
                <c:pt idx="5">
                  <c:v>2234333.4679299998</c:v>
                </c:pt>
                <c:pt idx="6">
                  <c:v>125405208.52</c:v>
                </c:pt>
                <c:pt idx="7">
                  <c:v>3211246.3059999999</c:v>
                </c:pt>
                <c:pt idx="8">
                  <c:v>56140255.507399999</c:v>
                </c:pt>
                <c:pt idx="9">
                  <c:v>157892391.24199998</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Figurer!$M$112</c:f>
              <c:strCache>
                <c:ptCount val="1"/>
                <c:pt idx="0">
                  <c:v>2020</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Figurer!$M$113:$M$120</c:f>
              <c:numCache>
                <c:formatCode>#,##0</c:formatCode>
                <c:ptCount val="8"/>
                <c:pt idx="0">
                  <c:v>36499.558999999994</c:v>
                </c:pt>
                <c:pt idx="1">
                  <c:v>7508</c:v>
                </c:pt>
                <c:pt idx="2">
                  <c:v>13951.68644000002</c:v>
                </c:pt>
                <c:pt idx="3">
                  <c:v>-55290</c:v>
                </c:pt>
                <c:pt idx="4">
                  <c:v>-4298472.7489999998</c:v>
                </c:pt>
                <c:pt idx="5">
                  <c:v>62384</c:v>
                </c:pt>
                <c:pt idx="6">
                  <c:v>-14340.871080000004</c:v>
                </c:pt>
                <c:pt idx="7">
                  <c:v>572543.80900000001</c:v>
                </c:pt>
              </c:numCache>
            </c:numRef>
          </c:val>
          <c:extLst>
            <c:ext xmlns:c16="http://schemas.microsoft.com/office/drawing/2014/chart" uri="{C3380CC4-5D6E-409C-BE32-E72D297353CC}">
              <c16:uniqueId val="{00000000-2BF8-4278-857F-91A0E7196849}"/>
            </c:ext>
          </c:extLst>
        </c:ser>
        <c:ser>
          <c:idx val="1"/>
          <c:order val="1"/>
          <c:tx>
            <c:strRef>
              <c:f>Figurer!$N$112</c:f>
              <c:strCache>
                <c:ptCount val="1"/>
                <c:pt idx="0">
                  <c:v>2021</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Figurer!$N$113:$N$120</c:f>
              <c:numCache>
                <c:formatCode>#,##0</c:formatCode>
                <c:ptCount val="8"/>
                <c:pt idx="0">
                  <c:v>917.59400000000096</c:v>
                </c:pt>
                <c:pt idx="1">
                  <c:v>0</c:v>
                </c:pt>
                <c:pt idx="2">
                  <c:v>408944.98053999996</c:v>
                </c:pt>
                <c:pt idx="3">
                  <c:v>-1853</c:v>
                </c:pt>
                <c:pt idx="4">
                  <c:v>-8346122.3590000002</c:v>
                </c:pt>
                <c:pt idx="5">
                  <c:v>1913</c:v>
                </c:pt>
                <c:pt idx="6">
                  <c:v>-4756.5401499999971</c:v>
                </c:pt>
                <c:pt idx="7">
                  <c:v>6662972.6740000006</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Figurer!$M$136</c:f>
              <c:strCache>
                <c:ptCount val="1"/>
                <c:pt idx="0">
                  <c:v>2020</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Figurer!$M$137:$M$146</c:f>
              <c:numCache>
                <c:formatCode>#,##0</c:formatCode>
                <c:ptCount val="10"/>
                <c:pt idx="0">
                  <c:v>119419.5</c:v>
                </c:pt>
                <c:pt idx="1">
                  <c:v>143940</c:v>
                </c:pt>
                <c:pt idx="2">
                  <c:v>-3431819</c:v>
                </c:pt>
                <c:pt idx="3">
                  <c:v>-4640062</c:v>
                </c:pt>
                <c:pt idx="4">
                  <c:v>-914343</c:v>
                </c:pt>
                <c:pt idx="5">
                  <c:v>-507465.17200000002</c:v>
                </c:pt>
                <c:pt idx="6">
                  <c:v>8176088.129999999</c:v>
                </c:pt>
                <c:pt idx="7">
                  <c:v>82451.075599999996</c:v>
                </c:pt>
                <c:pt idx="8">
                  <c:v>-162317.0085</c:v>
                </c:pt>
                <c:pt idx="9">
                  <c:v>507642.65799999982</c:v>
                </c:pt>
              </c:numCache>
            </c:numRef>
          </c:val>
          <c:extLst>
            <c:ext xmlns:c16="http://schemas.microsoft.com/office/drawing/2014/chart" uri="{C3380CC4-5D6E-409C-BE32-E72D297353CC}">
              <c16:uniqueId val="{00000000-B400-4C26-965B-0553A4A37873}"/>
            </c:ext>
          </c:extLst>
        </c:ser>
        <c:ser>
          <c:idx val="1"/>
          <c:order val="1"/>
          <c:tx>
            <c:strRef>
              <c:f>Figurer!$N$136</c:f>
              <c:strCache>
                <c:ptCount val="1"/>
                <c:pt idx="0">
                  <c:v>2021</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Figurer!$N$137:$N$146</c:f>
              <c:numCache>
                <c:formatCode>#,##0</c:formatCode>
                <c:ptCount val="10"/>
                <c:pt idx="0">
                  <c:v>587775.53799999971</c:v>
                </c:pt>
                <c:pt idx="1">
                  <c:v>0</c:v>
                </c:pt>
                <c:pt idx="2">
                  <c:v>-1350455</c:v>
                </c:pt>
                <c:pt idx="3">
                  <c:v>0</c:v>
                </c:pt>
                <c:pt idx="4">
                  <c:v>671451</c:v>
                </c:pt>
                <c:pt idx="5">
                  <c:v>0</c:v>
                </c:pt>
                <c:pt idx="6">
                  <c:v>638296</c:v>
                </c:pt>
                <c:pt idx="7">
                  <c:v>-166180.45599999998</c:v>
                </c:pt>
                <c:pt idx="8">
                  <c:v>2226185.1658699987</c:v>
                </c:pt>
                <c:pt idx="9">
                  <c:v>-9298668.8359999992</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2021 </a:t>
          </a:r>
          <a:r>
            <a:rPr lang="nb-NO" sz="1100" b="0">
              <a:effectLst/>
              <a:latin typeface="Arial"/>
              <a:ea typeface="ＭＳ 明朝"/>
              <a:cs typeface="Times New Roman"/>
            </a:rPr>
            <a:t>(30.03.2022)</a:t>
          </a:r>
        </a:p>
        <a:p>
          <a:pPr>
            <a:spcAft>
              <a:spcPts val="0"/>
            </a:spcAft>
          </a:pPr>
          <a:endParaRPr lang="nb-NO" sz="1100" b="0">
            <a:effectLst/>
            <a:latin typeface="Arial"/>
            <a:ea typeface="ＭＳ 明朝"/>
            <a:cs typeface="Times New Roman"/>
          </a:endParaRPr>
        </a:p>
        <a:p>
          <a:pPr>
            <a:spcAft>
              <a:spcPts val="0"/>
            </a:spcAft>
          </a:pPr>
          <a:r>
            <a:rPr lang="nb-NO" sz="1100" b="0">
              <a:effectLst/>
              <a:latin typeface="Arial"/>
              <a:ea typeface="ＭＳ 明朝"/>
              <a:cs typeface="Times New Roman"/>
            </a:rPr>
            <a:t>(senest revidert 25.05.2022)</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Codan Forsikring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(skadeselskap)</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ea typeface="+mn-ea"/>
              <a:cs typeface="Times New Roman"/>
            </a:rPr>
            <a:t>DNB Bedriftspensjon</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ea typeface="+mn-ea"/>
              <a:cs typeface="Times New Roman"/>
            </a:rPr>
            <a:t>Insr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 (skadeselskap)</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 (skadeselskap)</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ea typeface="+mn-ea"/>
              <a:cs typeface="Times New Roman"/>
            </a:rPr>
            <a:t>DNB Bedriftspensjon</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Danica Pensjonsforsikring</a:t>
          </a:r>
        </a:p>
        <a:p>
          <a:r>
            <a:rPr lang="nb-NO" sz="1100">
              <a:solidFill>
                <a:schemeClr val="dk1"/>
              </a:solidFill>
              <a:effectLst/>
              <a:latin typeface="+mn-lt"/>
              <a:ea typeface="+mn-ea"/>
              <a:cs typeface="+mn-cs"/>
            </a:rPr>
            <a:t>Data</a:t>
          </a:r>
          <a:r>
            <a:rPr lang="nb-NO" sz="1100" baseline="0">
              <a:solidFill>
                <a:schemeClr val="dk1"/>
              </a:solidFill>
              <a:effectLst/>
              <a:latin typeface="+mn-lt"/>
              <a:ea typeface="+mn-ea"/>
              <a:cs typeface="+mn-cs"/>
            </a:rPr>
            <a:t> b</a:t>
          </a:r>
          <a:r>
            <a:rPr lang="nb-NO" sz="1100">
              <a:solidFill>
                <a:schemeClr val="dk1"/>
              </a:solidFill>
              <a:effectLst/>
              <a:latin typeface="+mn-lt"/>
              <a:ea typeface="+mn-ea"/>
              <a:cs typeface="+mn-cs"/>
            </a:rPr>
            <a:t>le innrapportert før endelig styrebehandling, og det må derfor tas forbehold om eventuelle endringer.</a:t>
          </a:r>
          <a:endParaRPr lang="nb-NO" sz="1100" u="none">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DNB Bedriftspensjon</a:t>
          </a:r>
          <a:br>
            <a:rPr lang="nb-NO" sz="1100" u="sng">
              <a:latin typeface="Times New Roman" panose="02020603050405020304" pitchFamily="18" charset="0"/>
              <a:cs typeface="Times New Roman" panose="02020603050405020304" pitchFamily="18" charset="0"/>
            </a:rPr>
          </a:br>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endret navn fra KLP Bedriftspensjon i september 2020.</a:t>
          </a:r>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Fremtind Livsforsikring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1. kvartal 2020.</a:t>
          </a:r>
        </a:p>
        <a:p>
          <a:endParaRPr lang="nb-NO" sz="1100" u="none" baseline="0">
            <a:latin typeface="Times New Roman" panose="02020603050405020304" pitchFamily="18" charset="0"/>
            <a:cs typeface="Times New Roman" panose="02020603050405020304" pitchFamily="18" charset="0"/>
          </a:endParaRPr>
        </a:p>
        <a:p>
          <a:pPr marL="0" indent="0"/>
          <a:r>
            <a:rPr lang="nb-NO" sz="1100" u="sng">
              <a:solidFill>
                <a:schemeClr val="dk1"/>
              </a:solidFill>
              <a:latin typeface="Times New Roman" panose="02020603050405020304" pitchFamily="18" charset="0"/>
              <a:ea typeface="+mn-ea"/>
              <a:cs typeface="Times New Roman" panose="02020603050405020304" pitchFamily="18" charset="0"/>
            </a:rPr>
            <a:t>WaterCircle Forsikring</a:t>
          </a:r>
        </a:p>
        <a:p>
          <a:pPr marL="0" indent="0"/>
          <a:r>
            <a:rPr lang="nb-NO" sz="1100" u="none">
              <a:solidFill>
                <a:schemeClr val="dk1"/>
              </a:solidFill>
              <a:latin typeface="Times New Roman" panose="02020603050405020304" pitchFamily="18" charset="0"/>
              <a:ea typeface="+mn-ea"/>
              <a:cs typeface="Times New Roman" panose="02020603050405020304" pitchFamily="18" charset="0"/>
            </a:rPr>
            <a:t>Selskapet inngår i statistikken fra 1. kvartal 2020.</a:t>
          </a: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0/Q4-2020/Mottatt/SpareBank%201%20-%20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1/Q4-2021%20-%20ut%20i%20januar%2022/Mottatt/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8">
          <cell r="AI68">
            <v>3352.7420000000002</v>
          </cell>
        </row>
        <row r="71">
          <cell r="AI71">
            <v>1000</v>
          </cell>
        </row>
        <row r="74">
          <cell r="AI74">
            <v>1336.951</v>
          </cell>
        </row>
        <row r="75">
          <cell r="AI75">
            <v>2326.306</v>
          </cell>
        </row>
        <row r="78">
          <cell r="AI78"/>
        </row>
        <row r="79">
          <cell r="AI79">
            <v>26302.09</v>
          </cell>
        </row>
      </sheetData>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2)"/>
      <sheetName val="Noter og kommentarer"/>
    </sheetNames>
    <sheetDataSet>
      <sheetData sheetId="0"/>
      <sheetData sheetId="1"/>
      <sheetData sheetId="2"/>
      <sheetData sheetId="3"/>
      <sheetData sheetId="4"/>
      <sheetData sheetId="5"/>
      <sheetData sheetId="6"/>
      <sheetData sheetId="7"/>
      <sheetData sheetId="8">
        <row r="71">
          <cell r="AJ71"/>
        </row>
        <row r="74">
          <cell r="AJ74">
            <v>1416.7090000000001</v>
          </cell>
        </row>
        <row r="75">
          <cell r="AJ75">
            <v>2736.431</v>
          </cell>
        </row>
        <row r="78">
          <cell r="AJ78"/>
        </row>
        <row r="79">
          <cell r="AJ79">
            <v>23487.404000000002</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J43" sqref="J43"/>
    </sheetView>
  </sheetViews>
  <sheetFormatPr baseColWidth="10" defaultColWidth="11.44140625" defaultRowHeight="13.2" x14ac:dyDescent="0.25"/>
  <sheetData>
    <row r="1" spans="2:9" s="51" customFormat="1" x14ac:dyDescent="0.25"/>
    <row r="2" spans="2:9" s="51" customFormat="1" x14ac:dyDescent="0.25"/>
    <row r="3" spans="2:9" s="51" customFormat="1" x14ac:dyDescent="0.25"/>
    <row r="4" spans="2:9" s="51" customFormat="1" x14ac:dyDescent="0.25"/>
    <row r="5" spans="2:9" s="51" customFormat="1" x14ac:dyDescent="0.25">
      <c r="B5" s="52"/>
      <c r="C5" s="52"/>
      <c r="D5" s="52"/>
      <c r="E5" s="52"/>
      <c r="F5" s="52"/>
      <c r="G5" s="52"/>
      <c r="H5" s="52"/>
    </row>
    <row r="6" spans="2:9" s="51" customFormat="1" ht="22.8" x14ac:dyDescent="0.4">
      <c r="B6" s="53"/>
      <c r="C6" s="52"/>
      <c r="D6" s="52"/>
      <c r="E6" s="52"/>
      <c r="F6" s="52"/>
      <c r="G6" s="52"/>
      <c r="H6" s="52"/>
      <c r="I6" s="54"/>
    </row>
    <row r="7" spans="2:9" s="51" customFormat="1" x14ac:dyDescent="0.25">
      <c r="B7" s="52"/>
      <c r="C7" s="52"/>
      <c r="D7" s="52"/>
      <c r="E7" s="52"/>
      <c r="F7" s="52"/>
      <c r="G7" s="52"/>
      <c r="H7" s="52"/>
      <c r="I7" s="52"/>
    </row>
    <row r="8" spans="2:9" s="51" customFormat="1" x14ac:dyDescent="0.25">
      <c r="B8" s="52"/>
      <c r="C8" s="52"/>
      <c r="D8" s="52"/>
      <c r="F8" s="52"/>
      <c r="G8" s="52"/>
      <c r="H8" s="52"/>
    </row>
    <row r="9" spans="2:9" s="51" customFormat="1" x14ac:dyDescent="0.25">
      <c r="B9" s="52"/>
      <c r="C9" s="52"/>
      <c r="D9" s="52"/>
      <c r="E9" s="52"/>
      <c r="F9" s="52"/>
      <c r="G9" s="52"/>
      <c r="H9" s="52"/>
    </row>
    <row r="10" spans="2:9" s="51" customFormat="1" ht="22.8" x14ac:dyDescent="0.4">
      <c r="B10" s="52"/>
      <c r="C10" s="52"/>
      <c r="D10" s="52"/>
      <c r="I10" s="54"/>
    </row>
    <row r="11" spans="2:9" s="51" customFormat="1" x14ac:dyDescent="0.25">
      <c r="B11" s="52"/>
      <c r="C11" s="52"/>
      <c r="D11" s="52"/>
    </row>
    <row r="12" spans="2:9" s="51" customFormat="1" ht="27" customHeight="1" x14ac:dyDescent="0.4">
      <c r="B12" s="52"/>
      <c r="C12" s="52"/>
      <c r="D12" s="52"/>
      <c r="E12" s="52"/>
      <c r="F12" s="52"/>
      <c r="G12" s="52"/>
      <c r="H12" s="52"/>
      <c r="I12" s="54"/>
    </row>
    <row r="13" spans="2:9" s="51" customFormat="1" ht="19.5" customHeight="1" x14ac:dyDescent="0.4">
      <c r="B13" s="52"/>
      <c r="I13" s="54"/>
    </row>
    <row r="14" spans="2:9" s="51" customFormat="1" x14ac:dyDescent="0.25">
      <c r="B14" s="52"/>
      <c r="C14" s="52"/>
      <c r="D14" s="52"/>
      <c r="F14" s="52"/>
      <c r="G14" s="52"/>
      <c r="H14" s="52"/>
    </row>
    <row r="15" spans="2:9" s="51" customFormat="1" x14ac:dyDescent="0.25">
      <c r="B15" s="52"/>
      <c r="C15" s="52"/>
      <c r="D15" s="52"/>
      <c r="F15" s="52"/>
      <c r="G15" s="52"/>
      <c r="H15" s="52"/>
      <c r="I15" s="52"/>
    </row>
    <row r="16" spans="2:9" s="51" customFormat="1" ht="34.799999999999997" x14ac:dyDescent="0.55000000000000004">
      <c r="B16" s="52"/>
      <c r="C16" s="52"/>
      <c r="D16" s="52"/>
      <c r="E16" s="55"/>
      <c r="F16" s="52"/>
      <c r="G16" s="52"/>
      <c r="H16" s="52"/>
      <c r="I16" s="52"/>
    </row>
    <row r="17" spans="2:9" s="51" customFormat="1" ht="32.4" x14ac:dyDescent="0.55000000000000004">
      <c r="B17" s="52"/>
      <c r="C17" s="52"/>
      <c r="D17" s="52"/>
      <c r="E17" s="56"/>
      <c r="F17" s="52"/>
      <c r="G17" s="52"/>
      <c r="H17" s="52"/>
      <c r="I17" s="52"/>
    </row>
    <row r="18" spans="2:9" s="51" customFormat="1" ht="32.4" x14ac:dyDescent="0.55000000000000004">
      <c r="D18" s="56"/>
    </row>
    <row r="19" spans="2:9" s="51" customFormat="1" ht="18" x14ac:dyDescent="0.35">
      <c r="E19" s="57"/>
      <c r="I19" s="58"/>
    </row>
    <row r="20" spans="2:9" s="51" customFormat="1" x14ac:dyDescent="0.25"/>
    <row r="21" spans="2:9" s="51" customFormat="1" x14ac:dyDescent="0.25">
      <c r="E21" s="59"/>
    </row>
    <row r="22" spans="2:9" s="51" customFormat="1" ht="25.8" x14ac:dyDescent="0.5">
      <c r="E22" s="60"/>
    </row>
    <row r="23" spans="2:9" s="51" customFormat="1" x14ac:dyDescent="0.25"/>
    <row r="24" spans="2:9" s="51" customFormat="1" x14ac:dyDescent="0.25"/>
    <row r="25" spans="2:9" s="51" customFormat="1" ht="18" x14ac:dyDescent="0.35">
      <c r="E25" s="61"/>
    </row>
    <row r="26" spans="2:9" s="51" customFormat="1" ht="18" x14ac:dyDescent="0.35">
      <c r="E26" s="62"/>
    </row>
    <row r="27" spans="2:9" s="51" customFormat="1" x14ac:dyDescent="0.25"/>
    <row r="28" spans="2:9" s="51" customFormat="1" x14ac:dyDescent="0.25"/>
    <row r="29" spans="2:9" s="51" customFormat="1" x14ac:dyDescent="0.25"/>
    <row r="30" spans="2:9" s="51" customFormat="1" x14ac:dyDescent="0.25"/>
    <row r="31" spans="2:9" s="51" customFormat="1" x14ac:dyDescent="0.25"/>
    <row r="32" spans="2:9" s="51" customFormat="1" x14ac:dyDescent="0.25"/>
    <row r="33" spans="1:9" s="51" customFormat="1" ht="35.4" x14ac:dyDescent="0.25">
      <c r="A33" s="63"/>
    </row>
    <row r="34" spans="1:9" s="51" customFormat="1" x14ac:dyDescent="0.25"/>
    <row r="35" spans="1:9" s="51" customFormat="1" x14ac:dyDescent="0.25"/>
    <row r="36" spans="1:9" s="51" customFormat="1" ht="32.4" x14ac:dyDescent="0.25">
      <c r="B36" s="64"/>
    </row>
    <row r="37" spans="1:9" s="51" customFormat="1" x14ac:dyDescent="0.25"/>
    <row r="38" spans="1:9" s="51" customFormat="1" x14ac:dyDescent="0.25"/>
    <row r="39" spans="1:9" s="51" customFormat="1" ht="17.399999999999999" x14ac:dyDescent="0.3">
      <c r="B39" s="65"/>
    </row>
    <row r="40" spans="1:9" s="51" customFormat="1" x14ac:dyDescent="0.25"/>
    <row r="41" spans="1:9" s="51" customFormat="1" ht="18" x14ac:dyDescent="0.35">
      <c r="I41" s="66"/>
    </row>
    <row r="42" spans="1:9" s="51" customFormat="1" x14ac:dyDescent="0.25"/>
    <row r="43" spans="1:9" s="51" customFormat="1" ht="18" x14ac:dyDescent="0.35">
      <c r="B43" s="936"/>
      <c r="C43" s="936"/>
      <c r="D43" s="936"/>
    </row>
    <row r="44" spans="1:9" s="51" customFormat="1" x14ac:dyDescent="0.25"/>
    <row r="45" spans="1:9" s="51" customFormat="1" x14ac:dyDescent="0.25"/>
    <row r="46" spans="1:9" s="51" customFormat="1" x14ac:dyDescent="0.25"/>
    <row r="47" spans="1:9" s="51" customFormat="1" x14ac:dyDescent="0.25"/>
    <row r="48" spans="1:9"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489</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c r="D47" s="421"/>
      <c r="E47" s="11"/>
      <c r="F47" s="144"/>
      <c r="G47" s="33"/>
      <c r="H47" s="158"/>
      <c r="I47" s="158"/>
      <c r="J47" s="37"/>
      <c r="K47" s="37"/>
      <c r="L47" s="158"/>
      <c r="M47" s="158"/>
      <c r="N47" s="147"/>
    </row>
    <row r="48" spans="1:14" s="3" customFormat="1" ht="15.6" x14ac:dyDescent="0.25">
      <c r="A48" s="38" t="s">
        <v>455</v>
      </c>
      <c r="B48" s="278"/>
      <c r="C48" s="279"/>
      <c r="D48" s="252"/>
      <c r="E48" s="27"/>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98726</v>
      </c>
      <c r="C66" s="348"/>
      <c r="D66" s="345">
        <f>IF(B66=0, "    ---- ", IF(ABS(ROUND(100/B66*C66-100,1))&lt;999,ROUND(100/B66*C66-100,1),IF(ROUND(100/B66*C66-100,1)&gt;999,999,-999)))</f>
        <v>-100</v>
      </c>
      <c r="E66" s="11">
        <f>IFERROR(100/'Skjema total MA'!C66*C66,0)</f>
        <v>0</v>
      </c>
      <c r="F66" s="347">
        <v>601762</v>
      </c>
      <c r="G66" s="347"/>
      <c r="H66" s="345">
        <f>IF(F66=0, "    ---- ", IF(ABS(ROUND(100/F66*G66-100,1))&lt;999,ROUND(100/F66*G66-100,1),IF(ROUND(100/F66*G66-100,1)&gt;999,999,-999)))</f>
        <v>-100</v>
      </c>
      <c r="I66" s="11">
        <f>IFERROR(100/'Skjema total MA'!F66*G66,0)</f>
        <v>0</v>
      </c>
      <c r="J66" s="306">
        <f t="shared" ref="J66:J68" si="0">SUM(B66,F66)</f>
        <v>700488</v>
      </c>
      <c r="K66" s="313"/>
      <c r="L66" s="422">
        <f>IF(J66=0, "    ---- ", IF(ABS(ROUND(100/J66*K66-100,1))&lt;999,ROUND(100/J66*K66-100,1),IF(ROUND(100/J66*K66-100,1)&gt;999,999,-999)))</f>
        <v>-100</v>
      </c>
      <c r="M66" s="11">
        <f>IFERROR(100/'Skjema total MA'!I66*K66,0)</f>
        <v>0</v>
      </c>
    </row>
    <row r="67" spans="1:14" x14ac:dyDescent="0.25">
      <c r="A67" s="413" t="s">
        <v>9</v>
      </c>
      <c r="B67" s="44">
        <v>98726</v>
      </c>
      <c r="C67" s="144"/>
      <c r="D67" s="165">
        <f>IF(B67=0, "    ---- ", IF(ABS(ROUND(100/B67*C67-100,1))&lt;999,ROUND(100/B67*C67-100,1),IF(ROUND(100/B67*C67-100,1)&gt;999,999,-999)))</f>
        <v>-100</v>
      </c>
      <c r="E67" s="27">
        <f>IFERROR(100/'Skjema total MA'!C67*C67,0)</f>
        <v>0</v>
      </c>
      <c r="F67" s="232"/>
      <c r="G67" s="144"/>
      <c r="H67" s="165"/>
      <c r="I67" s="27"/>
      <c r="J67" s="284">
        <f t="shared" si="0"/>
        <v>98726</v>
      </c>
      <c r="K67" s="44"/>
      <c r="L67" s="252">
        <f>IF(J67=0, "    ---- ", IF(ABS(ROUND(100/J67*K67-100,1))&lt;999,ROUND(100/J67*K67-100,1),IF(ROUND(100/J67*K67-100,1)&gt;999,999,-999)))</f>
        <v>-100</v>
      </c>
      <c r="M67" s="27">
        <f>IFERROR(100/'Skjema total MA'!I67*K67,0)</f>
        <v>0</v>
      </c>
    </row>
    <row r="68" spans="1:14" x14ac:dyDescent="0.25">
      <c r="A68" s="21" t="s">
        <v>10</v>
      </c>
      <c r="B68" s="289"/>
      <c r="C68" s="290"/>
      <c r="D68" s="165"/>
      <c r="E68" s="27"/>
      <c r="F68" s="289">
        <v>601762</v>
      </c>
      <c r="G68" s="290"/>
      <c r="H68" s="165">
        <f>IF(F68=0, "    ---- ", IF(ABS(ROUND(100/F68*G68-100,1))&lt;999,ROUND(100/F68*G68-100,1),IF(ROUND(100/F68*G68-100,1)&gt;999,999,-999)))</f>
        <v>-100</v>
      </c>
      <c r="I68" s="27">
        <f>IFERROR(100/'Skjema total MA'!F68*G68,0)</f>
        <v>0</v>
      </c>
      <c r="J68" s="284">
        <f t="shared" si="0"/>
        <v>601762</v>
      </c>
      <c r="K68" s="44"/>
      <c r="L68" s="252">
        <f>IF(J68=0, "    ---- ", IF(ABS(ROUND(100/J68*K68-100,1))&lt;999,ROUND(100/J68*K68-100,1),IF(ROUND(100/J68*K68-100,1)&gt;999,999,-999)))</f>
        <v>-100</v>
      </c>
      <c r="M68" s="27">
        <f>IFERROR(100/'Skjema total MA'!I68*K68,0)</f>
        <v>0</v>
      </c>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v>601762</v>
      </c>
      <c r="G72" s="278"/>
      <c r="H72" s="165">
        <f>IF(F72=0, "    ---- ", IF(ABS(ROUND(100/F72*G72-100,1))&lt;999,ROUND(100/F72*G72-100,1),IF(ROUND(100/F72*G72-100,1)&gt;999,999,-999)))</f>
        <v>-100</v>
      </c>
      <c r="I72" s="411">
        <f>IFERROR(100/'Skjema total MA'!F72*G72,0)</f>
        <v>0</v>
      </c>
      <c r="J72" s="284">
        <f t="shared" ref="J72" si="1">SUM(B72,F72)</f>
        <v>601762</v>
      </c>
      <c r="K72" s="287"/>
      <c r="L72" s="252">
        <f>IF(J72=0, "    ---- ", IF(ABS(ROUND(100/J72*K72-100,1))&lt;999,ROUND(100/J72*K72-100,1),IF(ROUND(100/J72*K72-100,1)&gt;999,999,-999)))</f>
        <v>-100</v>
      </c>
      <c r="M72" s="23">
        <f>IFERROR(100/'Skjema total MA'!I72*K72,0)</f>
        <v>0</v>
      </c>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v>601762</v>
      </c>
      <c r="G74" s="278"/>
      <c r="H74" s="165">
        <f>IF(F74=0, "    ---- ", IF(ABS(ROUND(100/F74*G74-100,1))&lt;999,ROUND(100/F74*G74-100,1),IF(ROUND(100/F74*G74-100,1)&gt;999,999,-999)))</f>
        <v>-100</v>
      </c>
      <c r="I74" s="411">
        <f>IFERROR(100/'Skjema total MA'!F74*G74,0)</f>
        <v>0</v>
      </c>
      <c r="J74" s="284">
        <f t="shared" ref="J74" si="2">SUM(B74,F74)</f>
        <v>601762</v>
      </c>
      <c r="K74" s="287"/>
      <c r="L74" s="252">
        <f>IF(J74=0, "    ---- ", IF(ABS(ROUND(100/J74*K74-100,1))&lt;999,ROUND(100/J74*K74-100,1),IF(ROUND(100/J74*K74-100,1)&gt;999,999,-999)))</f>
        <v>-100</v>
      </c>
      <c r="M74" s="23">
        <f>IFERROR(100/'Skjema total MA'!I74*K74,0)</f>
        <v>0</v>
      </c>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v>98726</v>
      </c>
      <c r="C77" s="232"/>
      <c r="D77" s="165">
        <f>IF(B77=0, "    ---- ", IF(ABS(ROUND(100/B77*C77-100,1))&lt;999,ROUND(100/B77*C77-100,1),IF(ROUND(100/B77*C77-100,1)&gt;999,999,-999)))</f>
        <v>-100</v>
      </c>
      <c r="E77" s="27">
        <f>IFERROR(100/'Skjema total MA'!C77*C77,0)</f>
        <v>0</v>
      </c>
      <c r="F77" s="232">
        <v>601762</v>
      </c>
      <c r="G77" s="144"/>
      <c r="H77" s="165">
        <f>IF(F77=0, "    ---- ", IF(ABS(ROUND(100/F77*G77-100,1))&lt;999,ROUND(100/F77*G77-100,1),IF(ROUND(100/F77*G77-100,1)&gt;999,999,-999)))</f>
        <v>-100</v>
      </c>
      <c r="I77" s="27">
        <f>IFERROR(100/'Skjema total MA'!F77*G77,0)</f>
        <v>0</v>
      </c>
      <c r="J77" s="284">
        <f t="shared" ref="J77:J79" si="3">SUM(B77,F77)</f>
        <v>700488</v>
      </c>
      <c r="K77" s="44"/>
      <c r="L77" s="252">
        <f>IF(J77=0, "    ---- ", IF(ABS(ROUND(100/J77*K77-100,1))&lt;999,ROUND(100/J77*K77-100,1),IF(ROUND(100/J77*K77-100,1)&gt;999,999,-999)))</f>
        <v>-100</v>
      </c>
      <c r="M77" s="27">
        <f>IFERROR(100/'Skjema total MA'!I77*K77,0)</f>
        <v>0</v>
      </c>
    </row>
    <row r="78" spans="1:14" x14ac:dyDescent="0.25">
      <c r="A78" s="21" t="s">
        <v>9</v>
      </c>
      <c r="B78" s="232">
        <v>98726</v>
      </c>
      <c r="C78" s="144"/>
      <c r="D78" s="165">
        <f>IF(B78=0, "    ---- ", IF(ABS(ROUND(100/B78*C78-100,1))&lt;999,ROUND(100/B78*C78-100,1),IF(ROUND(100/B78*C78-100,1)&gt;999,999,-999)))</f>
        <v>-100</v>
      </c>
      <c r="E78" s="27">
        <f>IFERROR(100/'Skjema total MA'!C78*C78,0)</f>
        <v>0</v>
      </c>
      <c r="F78" s="232"/>
      <c r="G78" s="144"/>
      <c r="H78" s="165"/>
      <c r="I78" s="27"/>
      <c r="J78" s="284">
        <f t="shared" si="3"/>
        <v>98726</v>
      </c>
      <c r="K78" s="44"/>
      <c r="L78" s="252">
        <f>IF(J78=0, "    ---- ", IF(ABS(ROUND(100/J78*K78-100,1))&lt;999,ROUND(100/J78*K78-100,1),IF(ROUND(100/J78*K78-100,1)&gt;999,999,-999)))</f>
        <v>-100</v>
      </c>
      <c r="M78" s="27">
        <f>IFERROR(100/'Skjema total MA'!I78*K78,0)</f>
        <v>0</v>
      </c>
    </row>
    <row r="79" spans="1:14" x14ac:dyDescent="0.25">
      <c r="A79" s="38" t="s">
        <v>495</v>
      </c>
      <c r="B79" s="289"/>
      <c r="C79" s="290"/>
      <c r="D79" s="165"/>
      <c r="E79" s="27"/>
      <c r="F79" s="289">
        <v>601762</v>
      </c>
      <c r="G79" s="290"/>
      <c r="H79" s="165">
        <f>IF(F79=0, "    ---- ", IF(ABS(ROUND(100/F79*G79-100,1))&lt;999,ROUND(100/F79*G79-100,1),IF(ROUND(100/F79*G79-100,1)&gt;999,999,-999)))</f>
        <v>-100</v>
      </c>
      <c r="I79" s="27">
        <f>IFERROR(100/'Skjema total MA'!F79*G79,0)</f>
        <v>0</v>
      </c>
      <c r="J79" s="284">
        <f t="shared" si="3"/>
        <v>601762</v>
      </c>
      <c r="K79" s="44"/>
      <c r="L79" s="252">
        <f>IF(J79=0, "    ---- ", IF(ABS(ROUND(100/J79*K79-100,1))&lt;999,ROUND(100/J79*K79-100,1),IF(ROUND(100/J79*K79-100,1)&gt;999,999,-999)))</f>
        <v>-100</v>
      </c>
      <c r="M79" s="27">
        <f>IFERROR(100/'Skjema total MA'!I79*K79,0)</f>
        <v>0</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v>601762</v>
      </c>
      <c r="G83" s="278"/>
      <c r="H83" s="165">
        <f>IF(F83=0, "    ---- ", IF(ABS(ROUND(100/F83*G83-100,1))&lt;999,ROUND(100/F83*G83-100,1),IF(ROUND(100/F83*G83-100,1)&gt;999,999,-999)))</f>
        <v>-100</v>
      </c>
      <c r="I83" s="411">
        <f>IFERROR(100/'Skjema total MA'!F83*G83,0)</f>
        <v>0</v>
      </c>
      <c r="J83" s="284">
        <f t="shared" ref="J83" si="4">SUM(B83,F83)</f>
        <v>601762</v>
      </c>
      <c r="K83" s="287"/>
      <c r="L83" s="252">
        <f>IF(J83=0, "    ---- ", IF(ABS(ROUND(100/J83*K83-100,1))&lt;999,ROUND(100/J83*K83-100,1),IF(ROUND(100/J83*K83-100,1)&gt;999,999,-999)))</f>
        <v>-100</v>
      </c>
      <c r="M83" s="23">
        <f>IFERROR(100/'Skjema total MA'!I83*K83,0)</f>
        <v>0</v>
      </c>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v>601762</v>
      </c>
      <c r="G85" s="278"/>
      <c r="H85" s="165">
        <f>IF(F85=0, "    ---- ", IF(ABS(ROUND(100/F85*G85-100,1))&lt;999,ROUND(100/F85*G85-100,1),IF(ROUND(100/F85*G85-100,1)&gt;999,999,-999)))</f>
        <v>-100</v>
      </c>
      <c r="I85" s="411">
        <f>IFERROR(100/'Skjema total MA'!F85*G85,0)</f>
        <v>0</v>
      </c>
      <c r="J85" s="284">
        <f t="shared" ref="J85" si="5">SUM(B85,F85)</f>
        <v>601762</v>
      </c>
      <c r="K85" s="287"/>
      <c r="L85" s="252">
        <f>IF(J85=0, "    ---- ", IF(ABS(ROUND(100/J85*K85-100,1))&lt;999,ROUND(100/J85*K85-100,1),IF(ROUND(100/J85*K85-100,1)&gt;999,999,-999)))</f>
        <v>-100</v>
      </c>
      <c r="M85" s="23">
        <f>IFERROR(100/'Skjema total MA'!I85*K85,0)</f>
        <v>0</v>
      </c>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v>1799572</v>
      </c>
      <c r="C87" s="348"/>
      <c r="D87" s="170">
        <f>IF(B87=0, "    ---- ", IF(ABS(ROUND(100/B87*C87-100,1))&lt;999,ROUND(100/B87*C87-100,1),IF(ROUND(100/B87*C87-100,1)&gt;999,999,-999)))</f>
        <v>-100</v>
      </c>
      <c r="E87" s="11">
        <f>IFERROR(100/'Skjema total MA'!C87*C87,0)</f>
        <v>0</v>
      </c>
      <c r="F87" s="347">
        <v>5959168</v>
      </c>
      <c r="G87" s="347"/>
      <c r="H87" s="170">
        <f>IF(F87=0, "    ---- ", IF(ABS(ROUND(100/F87*G87-100,1))&lt;999,ROUND(100/F87*G87-100,1),IF(ROUND(100/F87*G87-100,1)&gt;999,999,-999)))</f>
        <v>-100</v>
      </c>
      <c r="I87" s="11">
        <f>IFERROR(100/'Skjema total MA'!F87*G87,0)</f>
        <v>0</v>
      </c>
      <c r="J87" s="306">
        <f t="shared" ref="J87:J89" si="6">SUM(B87,F87)</f>
        <v>7758740</v>
      </c>
      <c r="K87" s="234"/>
      <c r="L87" s="422">
        <f>IF(J87=0, "    ---- ", IF(ABS(ROUND(100/J87*K87-100,1))&lt;999,ROUND(100/J87*K87-100,1),IF(ROUND(100/J87*K87-100,1)&gt;999,999,-999)))</f>
        <v>-100</v>
      </c>
      <c r="M87" s="11">
        <f>IFERROR(100/'Skjema total MA'!I87*K87,0)</f>
        <v>0</v>
      </c>
    </row>
    <row r="88" spans="1:13" x14ac:dyDescent="0.25">
      <c r="A88" s="21" t="s">
        <v>9</v>
      </c>
      <c r="B88" s="232">
        <v>1799572</v>
      </c>
      <c r="C88" s="144"/>
      <c r="D88" s="165">
        <f>IF(B88=0, "    ---- ", IF(ABS(ROUND(100/B88*C88-100,1))&lt;999,ROUND(100/B88*C88-100,1),IF(ROUND(100/B88*C88-100,1)&gt;999,999,-999)))</f>
        <v>-100</v>
      </c>
      <c r="E88" s="27">
        <f>IFERROR(100/'Skjema total MA'!C88*C88,0)</f>
        <v>0</v>
      </c>
      <c r="F88" s="232"/>
      <c r="G88" s="144"/>
      <c r="H88" s="165"/>
      <c r="I88" s="27"/>
      <c r="J88" s="284">
        <f t="shared" si="6"/>
        <v>1799572</v>
      </c>
      <c r="K88" s="44"/>
      <c r="L88" s="252">
        <f>IF(J88=0, "    ---- ", IF(ABS(ROUND(100/J88*K88-100,1))&lt;999,ROUND(100/J88*K88-100,1),IF(ROUND(100/J88*K88-100,1)&gt;999,999,-999)))</f>
        <v>-100</v>
      </c>
      <c r="M88" s="27">
        <f>IFERROR(100/'Skjema total MA'!I88*K88,0)</f>
        <v>0</v>
      </c>
    </row>
    <row r="89" spans="1:13" x14ac:dyDescent="0.25">
      <c r="A89" s="21" t="s">
        <v>10</v>
      </c>
      <c r="B89" s="232"/>
      <c r="C89" s="144"/>
      <c r="D89" s="165"/>
      <c r="E89" s="27"/>
      <c r="F89" s="232">
        <v>5959168</v>
      </c>
      <c r="G89" s="144"/>
      <c r="H89" s="165">
        <f>IF(F89=0, "    ---- ", IF(ABS(ROUND(100/F89*G89-100,1))&lt;999,ROUND(100/F89*G89-100,1),IF(ROUND(100/F89*G89-100,1)&gt;999,999,-999)))</f>
        <v>-100</v>
      </c>
      <c r="I89" s="27">
        <f>IFERROR(100/'Skjema total MA'!F89*G89,0)</f>
        <v>0</v>
      </c>
      <c r="J89" s="284">
        <f t="shared" si="6"/>
        <v>5959168</v>
      </c>
      <c r="K89" s="44"/>
      <c r="L89" s="252">
        <f>IF(J89=0, "    ---- ", IF(ABS(ROUND(100/J89*K89-100,1))&lt;999,ROUND(100/J89*K89-100,1),IF(ROUND(100/J89*K89-100,1)&gt;999,999,-999)))</f>
        <v>-100</v>
      </c>
      <c r="M89" s="27">
        <f>IFERROR(100/'Skjema total MA'!I89*K89,0)</f>
        <v>0</v>
      </c>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v>5959168</v>
      </c>
      <c r="G93" s="278"/>
      <c r="H93" s="165">
        <f>IF(F93=0, "    ---- ", IF(ABS(ROUND(100/F93*G93-100,1))&lt;999,ROUND(100/F93*G93-100,1),IF(ROUND(100/F93*G93-100,1)&gt;999,999,-999)))</f>
        <v>-100</v>
      </c>
      <c r="I93" s="411">
        <f>IFERROR(100/'Skjema total MA'!F93*G93,0)</f>
        <v>0</v>
      </c>
      <c r="J93" s="284">
        <f t="shared" ref="J93" si="7">SUM(B93,F93)</f>
        <v>5959168</v>
      </c>
      <c r="K93" s="287"/>
      <c r="L93" s="252">
        <f>IF(J93=0, "    ---- ", IF(ABS(ROUND(100/J93*K93-100,1))&lt;999,ROUND(100/J93*K93-100,1),IF(ROUND(100/J93*K93-100,1)&gt;999,999,-999)))</f>
        <v>-100</v>
      </c>
      <c r="M93" s="23">
        <f>IFERROR(100/'Skjema total MA'!I93*K93,0)</f>
        <v>0</v>
      </c>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v>5959168</v>
      </c>
      <c r="G95" s="278"/>
      <c r="H95" s="165">
        <f>IF(F95=0, "    ---- ", IF(ABS(ROUND(100/F95*G95-100,1))&lt;999,ROUND(100/F95*G95-100,1),IF(ROUND(100/F95*G95-100,1)&gt;999,999,-999)))</f>
        <v>-100</v>
      </c>
      <c r="I95" s="411">
        <f>IFERROR(100/'Skjema total MA'!F95*G95,0)</f>
        <v>0</v>
      </c>
      <c r="J95" s="284">
        <f t="shared" ref="J95" si="8">SUM(B95,F95)</f>
        <v>5959168</v>
      </c>
      <c r="K95" s="287"/>
      <c r="L95" s="252">
        <f>IF(J95=0, "    ---- ", IF(ABS(ROUND(100/J95*K95-100,1))&lt;999,ROUND(100/J95*K95-100,1),IF(ROUND(100/J95*K95-100,1)&gt;999,999,-999)))</f>
        <v>-100</v>
      </c>
      <c r="M95" s="23">
        <f>IFERROR(100/'Skjema total MA'!I95*K95,0)</f>
        <v>0</v>
      </c>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v>1799572</v>
      </c>
      <c r="C98" s="232"/>
      <c r="D98" s="165">
        <f>IF(B98=0, "    ---- ", IF(ABS(ROUND(100/B98*C98-100,1))&lt;999,ROUND(100/B98*C98-100,1),IF(ROUND(100/B98*C98-100,1)&gt;999,999,-999)))</f>
        <v>-100</v>
      </c>
      <c r="E98" s="27">
        <f>IFERROR(100/'Skjema total MA'!C98*C98,0)</f>
        <v>0</v>
      </c>
      <c r="F98" s="289">
        <v>5959168</v>
      </c>
      <c r="G98" s="289"/>
      <c r="H98" s="165">
        <f>IF(F98=0, "    ---- ", IF(ABS(ROUND(100/F98*G98-100,1))&lt;999,ROUND(100/F98*G98-100,1),IF(ROUND(100/F98*G98-100,1)&gt;999,999,-999)))</f>
        <v>-100</v>
      </c>
      <c r="I98" s="27">
        <f>IFERROR(100/'Skjema total MA'!F98*G98,0)</f>
        <v>0</v>
      </c>
      <c r="J98" s="284">
        <f t="shared" ref="J98:J100" si="9">SUM(B98,F98)</f>
        <v>7758740</v>
      </c>
      <c r="K98" s="44"/>
      <c r="L98" s="252">
        <f>IF(J98=0, "    ---- ", IF(ABS(ROUND(100/J98*K98-100,1))&lt;999,ROUND(100/J98*K98-100,1),IF(ROUND(100/J98*K98-100,1)&gt;999,999,-999)))</f>
        <v>-100</v>
      </c>
      <c r="M98" s="27">
        <f>IFERROR(100/'Skjema total MA'!I98*K98,0)</f>
        <v>0</v>
      </c>
    </row>
    <row r="99" spans="1:13" x14ac:dyDescent="0.25">
      <c r="A99" s="21" t="s">
        <v>9</v>
      </c>
      <c r="B99" s="289">
        <v>1799572</v>
      </c>
      <c r="C99" s="290"/>
      <c r="D99" s="165">
        <f>IF(B99=0, "    ---- ", IF(ABS(ROUND(100/B99*C99-100,1))&lt;999,ROUND(100/B99*C99-100,1),IF(ROUND(100/B99*C99-100,1)&gt;999,999,-999)))</f>
        <v>-100</v>
      </c>
      <c r="E99" s="27">
        <f>IFERROR(100/'Skjema total MA'!C99*C99,0)</f>
        <v>0</v>
      </c>
      <c r="F99" s="232"/>
      <c r="G99" s="144"/>
      <c r="H99" s="165"/>
      <c r="I99" s="27"/>
      <c r="J99" s="284">
        <f t="shared" si="9"/>
        <v>1799572</v>
      </c>
      <c r="K99" s="44"/>
      <c r="L99" s="252">
        <f>IF(J99=0, "    ---- ", IF(ABS(ROUND(100/J99*K99-100,1))&lt;999,ROUND(100/J99*K99-100,1),IF(ROUND(100/J99*K99-100,1)&gt;999,999,-999)))</f>
        <v>-100</v>
      </c>
      <c r="M99" s="27">
        <f>IFERROR(100/'Skjema total MA'!I99*K99,0)</f>
        <v>0</v>
      </c>
    </row>
    <row r="100" spans="1:13" x14ac:dyDescent="0.25">
      <c r="A100" s="38" t="s">
        <v>495</v>
      </c>
      <c r="B100" s="289"/>
      <c r="C100" s="290"/>
      <c r="D100" s="165"/>
      <c r="E100" s="27"/>
      <c r="F100" s="232">
        <v>5959168</v>
      </c>
      <c r="G100" s="232"/>
      <c r="H100" s="165">
        <f>IF(F100=0, "    ---- ", IF(ABS(ROUND(100/F100*G100-100,1))&lt;999,ROUND(100/F100*G100-100,1),IF(ROUND(100/F100*G100-100,1)&gt;999,999,-999)))</f>
        <v>-100</v>
      </c>
      <c r="I100" s="27">
        <f>IFERROR(100/'Skjema total MA'!F100*G100,0)</f>
        <v>0</v>
      </c>
      <c r="J100" s="284">
        <f t="shared" si="9"/>
        <v>5959168</v>
      </c>
      <c r="K100" s="44"/>
      <c r="L100" s="252">
        <f>IF(J100=0, "    ---- ", IF(ABS(ROUND(100/J100*K100-100,1))&lt;999,ROUND(100/J100*K100-100,1),IF(ROUND(100/J100*K100-100,1)&gt;999,999,-999)))</f>
        <v>-100</v>
      </c>
      <c r="M100" s="27">
        <f>IFERROR(100/'Skjema total MA'!I100*K100,0)</f>
        <v>0</v>
      </c>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v>5959168</v>
      </c>
      <c r="G104" s="278"/>
      <c r="H104" s="165">
        <f>IF(F104=0, "    ---- ", IF(ABS(ROUND(100/F104*G104-100,1))&lt;999,ROUND(100/F104*G104-100,1),IF(ROUND(100/F104*G104-100,1)&gt;999,999,-999)))</f>
        <v>-100</v>
      </c>
      <c r="I104" s="411">
        <f>IFERROR(100/'Skjema total MA'!F104*G104,0)</f>
        <v>0</v>
      </c>
      <c r="J104" s="284">
        <f t="shared" ref="J104" si="10">SUM(B104,F104)</f>
        <v>5959168</v>
      </c>
      <c r="K104" s="287"/>
      <c r="L104" s="252">
        <f>IF(J104=0, "    ---- ", IF(ABS(ROUND(100/J104*K104-100,1))&lt;999,ROUND(100/J104*K104-100,1),IF(ROUND(100/J104*K104-100,1)&gt;999,999,-999)))</f>
        <v>-100</v>
      </c>
      <c r="M104" s="23">
        <f>IFERROR(100/'Skjema total MA'!I104*K104,0)</f>
        <v>0</v>
      </c>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v>5959168</v>
      </c>
      <c r="G106" s="278"/>
      <c r="H106" s="165">
        <f>IF(F106=0, "    ---- ", IF(ABS(ROUND(100/F106*G106-100,1))&lt;999,ROUND(100/F106*G106-100,1),IF(ROUND(100/F106*G106-100,1)&gt;999,999,-999)))</f>
        <v>-100</v>
      </c>
      <c r="I106" s="411">
        <f>IFERROR(100/'Skjema total MA'!F106*G106,0)</f>
        <v>0</v>
      </c>
      <c r="J106" s="284">
        <f t="shared" ref="J106" si="11">SUM(B106,F106)</f>
        <v>5959168</v>
      </c>
      <c r="K106" s="287"/>
      <c r="L106" s="252">
        <f>IF(J106=0, "    ---- ", IF(ABS(ROUND(100/J106*K106-100,1))&lt;999,ROUND(100/J106*K106-100,1),IF(ROUND(100/J106*K106-100,1)&gt;999,999,-999)))</f>
        <v>-100</v>
      </c>
      <c r="M106" s="23">
        <f>IFERROR(100/'Skjema total MA'!I106*K106,0)</f>
        <v>0</v>
      </c>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v>986391</v>
      </c>
      <c r="C108" s="232"/>
      <c r="D108" s="165">
        <f>IF(B108=0, "    ---- ", IF(ABS(ROUND(100/B108*C108-100,1))&lt;999,ROUND(100/B108*C108-100,1),IF(ROUND(100/B108*C108-100,1)&gt;999,999,-999)))</f>
        <v>-100</v>
      </c>
      <c r="E108" s="27">
        <f>IFERROR(100/'Skjema total MA'!C108*C108,0)</f>
        <v>0</v>
      </c>
      <c r="F108" s="232"/>
      <c r="G108" s="232"/>
      <c r="H108" s="165"/>
      <c r="I108" s="27"/>
      <c r="J108" s="284">
        <f t="shared" ref="J108:J111" si="12">SUM(B108,F108)</f>
        <v>986391</v>
      </c>
      <c r="K108" s="44"/>
      <c r="L108" s="252">
        <f>IF(J108=0, "    ---- ", IF(ABS(ROUND(100/J108*K108-100,1))&lt;999,ROUND(100/J108*K108-100,1),IF(ROUND(100/J108*K108-100,1)&gt;999,999,-999)))</f>
        <v>-100</v>
      </c>
      <c r="M108" s="27">
        <f>IFERROR(100/'Skjema total MA'!I108*K108,0)</f>
        <v>0</v>
      </c>
    </row>
    <row r="109" spans="1:13" ht="15.75" customHeight="1" x14ac:dyDescent="0.25">
      <c r="A109" s="21" t="s">
        <v>510</v>
      </c>
      <c r="B109" s="232"/>
      <c r="C109" s="232"/>
      <c r="D109" s="165"/>
      <c r="E109" s="27"/>
      <c r="F109" s="232">
        <v>2598522</v>
      </c>
      <c r="G109" s="232"/>
      <c r="H109" s="165">
        <f>IF(F109=0, "    ---- ", IF(ABS(ROUND(100/F109*G109-100,1))&lt;999,ROUND(100/F109*G109-100,1),IF(ROUND(100/F109*G109-100,1)&gt;999,999,-999)))</f>
        <v>-100</v>
      </c>
      <c r="I109" s="27">
        <f>IFERROR(100/'Skjema total MA'!F109*G109,0)</f>
        <v>0</v>
      </c>
      <c r="J109" s="284">
        <f t="shared" si="12"/>
        <v>2598522</v>
      </c>
      <c r="K109" s="44"/>
      <c r="L109" s="252">
        <f>IF(J109=0, "    ---- ", IF(ABS(ROUND(100/J109*K109-100,1))&lt;999,ROUND(100/J109*K109-100,1),IF(ROUND(100/J109*K109-100,1)&gt;999,999,-999)))</f>
        <v>-100</v>
      </c>
      <c r="M109" s="27">
        <f>IFERROR(100/'Skjema total MA'!I109*K109,0)</f>
        <v>0</v>
      </c>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v>7508</v>
      </c>
      <c r="C111" s="158"/>
      <c r="D111" s="170">
        <f>IF(B111=0, "    ---- ", IF(ABS(ROUND(100/B111*C111-100,1))&lt;999,ROUND(100/B111*C111-100,1),IF(ROUND(100/B111*C111-100,1)&gt;999,999,-999)))</f>
        <v>-100</v>
      </c>
      <c r="E111" s="11">
        <f>IFERROR(100/'Skjema total MA'!C111*C111,0)</f>
        <v>0</v>
      </c>
      <c r="F111" s="305">
        <v>321250</v>
      </c>
      <c r="G111" s="158"/>
      <c r="H111" s="170">
        <f>IF(F111=0, "    ---- ", IF(ABS(ROUND(100/F111*G111-100,1))&lt;999,ROUND(100/F111*G111-100,1),IF(ROUND(100/F111*G111-100,1)&gt;999,999,-999)))</f>
        <v>-100</v>
      </c>
      <c r="I111" s="11">
        <f>IFERROR(100/'Skjema total MA'!F111*G111,0)</f>
        <v>0</v>
      </c>
      <c r="J111" s="306">
        <f t="shared" si="12"/>
        <v>328758</v>
      </c>
      <c r="K111" s="234"/>
      <c r="L111" s="422">
        <f>IF(J111=0, "    ---- ", IF(ABS(ROUND(100/J111*K111-100,1))&lt;999,ROUND(100/J111*K111-100,1),IF(ROUND(100/J111*K111-100,1)&gt;999,999,-999)))</f>
        <v>-100</v>
      </c>
      <c r="M111" s="11">
        <f>IFERROR(100/'Skjema total MA'!I111*K111,0)</f>
        <v>0</v>
      </c>
    </row>
    <row r="112" spans="1:13" x14ac:dyDescent="0.25">
      <c r="A112" s="21" t="s">
        <v>9</v>
      </c>
      <c r="B112" s="232">
        <v>7508</v>
      </c>
      <c r="C112" s="144"/>
      <c r="D112" s="165">
        <f t="shared" ref="D112" si="13">IF(B112=0, "    ---- ", IF(ABS(ROUND(100/B112*C112-100,1))&lt;999,ROUND(100/B112*C112-100,1),IF(ROUND(100/B112*C112-100,1)&gt;999,999,-999)))</f>
        <v>-100</v>
      </c>
      <c r="E112" s="27">
        <f>IFERROR(100/'Skjema total MA'!C112*C112,0)</f>
        <v>0</v>
      </c>
      <c r="F112" s="232"/>
      <c r="G112" s="144"/>
      <c r="H112" s="165"/>
      <c r="I112" s="27"/>
      <c r="J112" s="284">
        <f t="shared" ref="J112:J125" si="14">SUM(B112,F112)</f>
        <v>7508</v>
      </c>
      <c r="K112" s="44"/>
      <c r="L112" s="252">
        <f t="shared" ref="L112:L125" si="15">IF(J112=0, "    ---- ", IF(ABS(ROUND(100/J112*K112-100,1))&lt;999,ROUND(100/J112*K112-100,1),IF(ROUND(100/J112*K112-100,1)&gt;999,999,-999)))</f>
        <v>-100</v>
      </c>
      <c r="M112" s="27">
        <f>IFERROR(100/'Skjema total MA'!I112*K112,0)</f>
        <v>0</v>
      </c>
    </row>
    <row r="113" spans="1:14" x14ac:dyDescent="0.25">
      <c r="A113" s="21" t="s">
        <v>495</v>
      </c>
      <c r="B113" s="232"/>
      <c r="C113" s="144"/>
      <c r="D113" s="165"/>
      <c r="E113" s="27"/>
      <c r="F113" s="232">
        <v>321250</v>
      </c>
      <c r="G113" s="144"/>
      <c r="H113" s="165">
        <f t="shared" ref="H113:H125" si="16">IF(F113=0, "    ---- ", IF(ABS(ROUND(100/F113*G113-100,1))&lt;999,ROUND(100/F113*G113-100,1),IF(ROUND(100/F113*G113-100,1)&gt;999,999,-999)))</f>
        <v>-100</v>
      </c>
      <c r="I113" s="27">
        <f>IFERROR(100/'Skjema total MA'!F113*G113,0)</f>
        <v>0</v>
      </c>
      <c r="J113" s="284">
        <f t="shared" si="14"/>
        <v>321250</v>
      </c>
      <c r="K113" s="44"/>
      <c r="L113" s="252">
        <f t="shared" si="15"/>
        <v>-100</v>
      </c>
      <c r="M113" s="27">
        <f>IFERROR(100/'Skjema total MA'!I113*K113,0)</f>
        <v>0</v>
      </c>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v>228691</v>
      </c>
      <c r="G117" s="232"/>
      <c r="H117" s="165">
        <f t="shared" si="16"/>
        <v>-100</v>
      </c>
      <c r="I117" s="27">
        <f>IFERROR(100/'Skjema total MA'!F117*G117,0)</f>
        <v>0</v>
      </c>
      <c r="J117" s="284">
        <f t="shared" si="14"/>
        <v>228691</v>
      </c>
      <c r="K117" s="44"/>
      <c r="L117" s="252">
        <f t="shared" si="15"/>
        <v>-100</v>
      </c>
      <c r="M117" s="27">
        <f>IFERROR(100/'Skjema total MA'!I117*K117,0)</f>
        <v>0</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v>177310</v>
      </c>
      <c r="G119" s="158"/>
      <c r="H119" s="170">
        <f t="shared" si="16"/>
        <v>-100</v>
      </c>
      <c r="I119" s="11">
        <f>IFERROR(100/'Skjema total MA'!F119*G119,0)</f>
        <v>0</v>
      </c>
      <c r="J119" s="306">
        <f t="shared" si="14"/>
        <v>177310</v>
      </c>
      <c r="K119" s="234"/>
      <c r="L119" s="422">
        <f t="shared" si="15"/>
        <v>-100</v>
      </c>
      <c r="M119" s="11">
        <f>IFERROR(100/'Skjema total MA'!I119*K119,0)</f>
        <v>0</v>
      </c>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v>177310</v>
      </c>
      <c r="G121" s="144"/>
      <c r="H121" s="165">
        <f t="shared" si="16"/>
        <v>-100</v>
      </c>
      <c r="I121" s="27">
        <f>IFERROR(100/'Skjema total MA'!F121*G121,0)</f>
        <v>0</v>
      </c>
      <c r="J121" s="284">
        <f t="shared" si="14"/>
        <v>177310</v>
      </c>
      <c r="K121" s="44"/>
      <c r="L121" s="252">
        <f t="shared" si="15"/>
        <v>-100</v>
      </c>
      <c r="M121" s="27">
        <f>IFERROR(100/'Skjema total MA'!I121*K121,0)</f>
        <v>0</v>
      </c>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v>83395</v>
      </c>
      <c r="G125" s="232"/>
      <c r="H125" s="165">
        <f t="shared" si="16"/>
        <v>-100</v>
      </c>
      <c r="I125" s="27">
        <f>IFERROR(100/'Skjema total MA'!F125*G125,0)</f>
        <v>0</v>
      </c>
      <c r="J125" s="284">
        <f t="shared" si="14"/>
        <v>83395</v>
      </c>
      <c r="K125" s="44"/>
      <c r="L125" s="252">
        <f t="shared" si="15"/>
        <v>-100</v>
      </c>
      <c r="M125" s="27">
        <f>IFERROR(100/'Skjema total MA'!I125*K125,0)</f>
        <v>0</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369" priority="132">
      <formula>kvartal &lt; 4</formula>
    </cfRule>
  </conditionalFormatting>
  <conditionalFormatting sqref="B69">
    <cfRule type="expression" dxfId="2368" priority="100">
      <formula>kvartal &lt; 4</formula>
    </cfRule>
  </conditionalFormatting>
  <conditionalFormatting sqref="C69">
    <cfRule type="expression" dxfId="2367" priority="99">
      <formula>kvartal &lt; 4</formula>
    </cfRule>
  </conditionalFormatting>
  <conditionalFormatting sqref="B72">
    <cfRule type="expression" dxfId="2366" priority="98">
      <formula>kvartal &lt; 4</formula>
    </cfRule>
  </conditionalFormatting>
  <conditionalFormatting sqref="C72">
    <cfRule type="expression" dxfId="2365" priority="97">
      <formula>kvartal &lt; 4</formula>
    </cfRule>
  </conditionalFormatting>
  <conditionalFormatting sqref="B80">
    <cfRule type="expression" dxfId="2364" priority="96">
      <formula>kvartal &lt; 4</formula>
    </cfRule>
  </conditionalFormatting>
  <conditionalFormatting sqref="C80">
    <cfRule type="expression" dxfId="2363" priority="95">
      <formula>kvartal &lt; 4</formula>
    </cfRule>
  </conditionalFormatting>
  <conditionalFormatting sqref="B83">
    <cfRule type="expression" dxfId="2362" priority="94">
      <formula>kvartal &lt; 4</formula>
    </cfRule>
  </conditionalFormatting>
  <conditionalFormatting sqref="C83">
    <cfRule type="expression" dxfId="2361" priority="93">
      <formula>kvartal &lt; 4</formula>
    </cfRule>
  </conditionalFormatting>
  <conditionalFormatting sqref="B90">
    <cfRule type="expression" dxfId="2360" priority="84">
      <formula>kvartal &lt; 4</formula>
    </cfRule>
  </conditionalFormatting>
  <conditionalFormatting sqref="C90">
    <cfRule type="expression" dxfId="2359" priority="83">
      <formula>kvartal &lt; 4</formula>
    </cfRule>
  </conditionalFormatting>
  <conditionalFormatting sqref="B93">
    <cfRule type="expression" dxfId="2358" priority="82">
      <formula>kvartal &lt; 4</formula>
    </cfRule>
  </conditionalFormatting>
  <conditionalFormatting sqref="C93">
    <cfRule type="expression" dxfId="2357" priority="81">
      <formula>kvartal &lt; 4</formula>
    </cfRule>
  </conditionalFormatting>
  <conditionalFormatting sqref="B101">
    <cfRule type="expression" dxfId="2356" priority="80">
      <formula>kvartal &lt; 4</formula>
    </cfRule>
  </conditionalFormatting>
  <conditionalFormatting sqref="C101">
    <cfRule type="expression" dxfId="2355" priority="79">
      <formula>kvartal &lt; 4</formula>
    </cfRule>
  </conditionalFormatting>
  <conditionalFormatting sqref="B104">
    <cfRule type="expression" dxfId="2354" priority="78">
      <formula>kvartal &lt; 4</formula>
    </cfRule>
  </conditionalFormatting>
  <conditionalFormatting sqref="C104">
    <cfRule type="expression" dxfId="2353" priority="77">
      <formula>kvartal &lt; 4</formula>
    </cfRule>
  </conditionalFormatting>
  <conditionalFormatting sqref="B115">
    <cfRule type="expression" dxfId="2352" priority="76">
      <formula>kvartal &lt; 4</formula>
    </cfRule>
  </conditionalFormatting>
  <conditionalFormatting sqref="C115">
    <cfRule type="expression" dxfId="2351" priority="75">
      <formula>kvartal &lt; 4</formula>
    </cfRule>
  </conditionalFormatting>
  <conditionalFormatting sqref="B123">
    <cfRule type="expression" dxfId="2350" priority="74">
      <formula>kvartal &lt; 4</formula>
    </cfRule>
  </conditionalFormatting>
  <conditionalFormatting sqref="C123">
    <cfRule type="expression" dxfId="2349" priority="73">
      <formula>kvartal &lt; 4</formula>
    </cfRule>
  </conditionalFormatting>
  <conditionalFormatting sqref="F70">
    <cfRule type="expression" dxfId="2348" priority="72">
      <formula>kvartal &lt; 4</formula>
    </cfRule>
  </conditionalFormatting>
  <conditionalFormatting sqref="G70">
    <cfRule type="expression" dxfId="2347" priority="71">
      <formula>kvartal &lt; 4</formula>
    </cfRule>
  </conditionalFormatting>
  <conditionalFormatting sqref="F71:G71">
    <cfRule type="expression" dxfId="2346" priority="70">
      <formula>kvartal &lt; 4</formula>
    </cfRule>
  </conditionalFormatting>
  <conditionalFormatting sqref="F73:G74">
    <cfRule type="expression" dxfId="2345" priority="69">
      <formula>kvartal &lt; 4</formula>
    </cfRule>
  </conditionalFormatting>
  <conditionalFormatting sqref="F81:G82">
    <cfRule type="expression" dxfId="2344" priority="68">
      <formula>kvartal &lt; 4</formula>
    </cfRule>
  </conditionalFormatting>
  <conditionalFormatting sqref="F84:G85">
    <cfRule type="expression" dxfId="2343" priority="67">
      <formula>kvartal &lt; 4</formula>
    </cfRule>
  </conditionalFormatting>
  <conditionalFormatting sqref="F91:G92">
    <cfRule type="expression" dxfId="2342" priority="62">
      <formula>kvartal &lt; 4</formula>
    </cfRule>
  </conditionalFormatting>
  <conditionalFormatting sqref="F94:G95">
    <cfRule type="expression" dxfId="2341" priority="61">
      <formula>kvartal &lt; 4</formula>
    </cfRule>
  </conditionalFormatting>
  <conditionalFormatting sqref="F102:G103">
    <cfRule type="expression" dxfId="2340" priority="60">
      <formula>kvartal &lt; 4</formula>
    </cfRule>
  </conditionalFormatting>
  <conditionalFormatting sqref="F105:G106">
    <cfRule type="expression" dxfId="2339" priority="59">
      <formula>kvartal &lt; 4</formula>
    </cfRule>
  </conditionalFormatting>
  <conditionalFormatting sqref="F115">
    <cfRule type="expression" dxfId="2338" priority="58">
      <formula>kvartal &lt; 4</formula>
    </cfRule>
  </conditionalFormatting>
  <conditionalFormatting sqref="G115">
    <cfRule type="expression" dxfId="2337" priority="57">
      <formula>kvartal &lt; 4</formula>
    </cfRule>
  </conditionalFormatting>
  <conditionalFormatting sqref="F123:G123">
    <cfRule type="expression" dxfId="2336" priority="56">
      <formula>kvartal &lt; 4</formula>
    </cfRule>
  </conditionalFormatting>
  <conditionalFormatting sqref="F69:G69">
    <cfRule type="expression" dxfId="2335" priority="55">
      <formula>kvartal &lt; 4</formula>
    </cfRule>
  </conditionalFormatting>
  <conditionalFormatting sqref="F72:G72">
    <cfRule type="expression" dxfId="2334" priority="54">
      <formula>kvartal &lt; 4</formula>
    </cfRule>
  </conditionalFormatting>
  <conditionalFormatting sqref="F80:G80">
    <cfRule type="expression" dxfId="2333" priority="53">
      <formula>kvartal &lt; 4</formula>
    </cfRule>
  </conditionalFormatting>
  <conditionalFormatting sqref="F83:G83">
    <cfRule type="expression" dxfId="2332" priority="52">
      <formula>kvartal &lt; 4</formula>
    </cfRule>
  </conditionalFormatting>
  <conditionalFormatting sqref="F90:G90">
    <cfRule type="expression" dxfId="2331" priority="46">
      <formula>kvartal &lt; 4</formula>
    </cfRule>
  </conditionalFormatting>
  <conditionalFormatting sqref="F93">
    <cfRule type="expression" dxfId="2330" priority="45">
      <formula>kvartal &lt; 4</formula>
    </cfRule>
  </conditionalFormatting>
  <conditionalFormatting sqref="G93">
    <cfRule type="expression" dxfId="2329" priority="44">
      <formula>kvartal &lt; 4</formula>
    </cfRule>
  </conditionalFormatting>
  <conditionalFormatting sqref="F101">
    <cfRule type="expression" dxfId="2328" priority="43">
      <formula>kvartal &lt; 4</formula>
    </cfRule>
  </conditionalFormatting>
  <conditionalFormatting sqref="G101">
    <cfRule type="expression" dxfId="2327" priority="42">
      <formula>kvartal &lt; 4</formula>
    </cfRule>
  </conditionalFormatting>
  <conditionalFormatting sqref="G104">
    <cfRule type="expression" dxfId="2326" priority="41">
      <formula>kvartal &lt; 4</formula>
    </cfRule>
  </conditionalFormatting>
  <conditionalFormatting sqref="F104">
    <cfRule type="expression" dxfId="2325" priority="40">
      <formula>kvartal &lt; 4</formula>
    </cfRule>
  </conditionalFormatting>
  <conditionalFormatting sqref="J69:K71 J73:K73 K72">
    <cfRule type="expression" dxfId="2324" priority="39">
      <formula>kvartal &lt; 4</formula>
    </cfRule>
  </conditionalFormatting>
  <conditionalFormatting sqref="K74">
    <cfRule type="expression" dxfId="2323" priority="38">
      <formula>kvartal &lt; 4</formula>
    </cfRule>
  </conditionalFormatting>
  <conditionalFormatting sqref="J80:K82 J84:K84 K83 K85">
    <cfRule type="expression" dxfId="2322" priority="37">
      <formula>kvartal &lt; 4</formula>
    </cfRule>
  </conditionalFormatting>
  <conditionalFormatting sqref="J90:K92 J94:K94 K93 K95">
    <cfRule type="expression" dxfId="2321" priority="34">
      <formula>kvartal &lt; 4</formula>
    </cfRule>
  </conditionalFormatting>
  <conditionalFormatting sqref="J101:K103 J105:K105 K104 K106">
    <cfRule type="expression" dxfId="2320" priority="33">
      <formula>kvartal &lt; 4</formula>
    </cfRule>
  </conditionalFormatting>
  <conditionalFormatting sqref="J115:K115">
    <cfRule type="expression" dxfId="2319" priority="32">
      <formula>kvartal &lt; 4</formula>
    </cfRule>
  </conditionalFormatting>
  <conditionalFormatting sqref="J123:K123">
    <cfRule type="expression" dxfId="2318" priority="31">
      <formula>kvartal &lt; 4</formula>
    </cfRule>
  </conditionalFormatting>
  <conditionalFormatting sqref="A50:A52">
    <cfRule type="expression" dxfId="2317" priority="12">
      <formula>kvartal &lt; 4</formula>
    </cfRule>
  </conditionalFormatting>
  <conditionalFormatting sqref="A69:A74">
    <cfRule type="expression" dxfId="2316" priority="10">
      <formula>kvartal &lt; 4</formula>
    </cfRule>
  </conditionalFormatting>
  <conditionalFormatting sqref="A80:A85">
    <cfRule type="expression" dxfId="2315" priority="9">
      <formula>kvartal &lt; 4</formula>
    </cfRule>
  </conditionalFormatting>
  <conditionalFormatting sqref="A90:A95">
    <cfRule type="expression" dxfId="2314" priority="6">
      <formula>kvartal &lt; 4</formula>
    </cfRule>
  </conditionalFormatting>
  <conditionalFormatting sqref="A101:A106">
    <cfRule type="expression" dxfId="2313" priority="5">
      <formula>kvartal &lt; 4</formula>
    </cfRule>
  </conditionalFormatting>
  <conditionalFormatting sqref="A115">
    <cfRule type="expression" dxfId="2312" priority="4">
      <formula>kvartal &lt; 4</formula>
    </cfRule>
  </conditionalFormatting>
  <conditionalFormatting sqref="A123">
    <cfRule type="expression" dxfId="2311"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7" x14ac:dyDescent="0.25">
      <c r="A1" s="171" t="s">
        <v>136</v>
      </c>
      <c r="B1" s="928"/>
      <c r="C1" s="246" t="s">
        <v>124</v>
      </c>
      <c r="D1" s="26"/>
      <c r="E1" s="26"/>
      <c r="F1" s="26"/>
      <c r="G1" s="26"/>
      <c r="H1" s="26"/>
      <c r="I1" s="26"/>
      <c r="J1" s="26"/>
      <c r="K1" s="26"/>
      <c r="L1" s="26"/>
      <c r="M1" s="26"/>
    </row>
    <row r="2" spans="1:17" ht="15.6" x14ac:dyDescent="0.3">
      <c r="A2" s="164" t="s">
        <v>28</v>
      </c>
      <c r="B2" s="963"/>
      <c r="C2" s="963"/>
      <c r="D2" s="963"/>
      <c r="E2" s="296"/>
      <c r="F2" s="963"/>
      <c r="G2" s="963"/>
      <c r="H2" s="963"/>
      <c r="I2" s="296"/>
      <c r="J2" s="963"/>
      <c r="K2" s="963"/>
      <c r="L2" s="963"/>
      <c r="M2" s="296"/>
    </row>
    <row r="3" spans="1:17" ht="15.6" x14ac:dyDescent="0.3">
      <c r="A3" s="162"/>
      <c r="B3" s="296"/>
      <c r="C3" s="296"/>
      <c r="D3" s="296"/>
      <c r="E3" s="296"/>
      <c r="F3" s="296"/>
      <c r="G3" s="296"/>
      <c r="H3" s="296"/>
      <c r="I3" s="296"/>
      <c r="J3" s="296"/>
      <c r="K3" s="296"/>
      <c r="L3" s="296"/>
      <c r="M3" s="296"/>
    </row>
    <row r="4" spans="1:17" x14ac:dyDescent="0.25">
      <c r="A4" s="143"/>
      <c r="B4" s="959" t="s">
        <v>0</v>
      </c>
      <c r="C4" s="960"/>
      <c r="D4" s="960"/>
      <c r="E4" s="298"/>
      <c r="F4" s="959" t="s">
        <v>1</v>
      </c>
      <c r="G4" s="960"/>
      <c r="H4" s="960"/>
      <c r="I4" s="301"/>
      <c r="J4" s="959" t="s">
        <v>2</v>
      </c>
      <c r="K4" s="960"/>
      <c r="L4" s="960"/>
      <c r="M4" s="301"/>
    </row>
    <row r="5" spans="1:17"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7" x14ac:dyDescent="0.25">
      <c r="A6" s="926"/>
      <c r="B6" s="155"/>
      <c r="C6" s="155"/>
      <c r="D6" s="244" t="s">
        <v>4</v>
      </c>
      <c r="E6" s="155" t="s">
        <v>30</v>
      </c>
      <c r="F6" s="160"/>
      <c r="G6" s="160"/>
      <c r="H6" s="243" t="s">
        <v>4</v>
      </c>
      <c r="I6" s="155" t="s">
        <v>30</v>
      </c>
      <c r="J6" s="160"/>
      <c r="K6" s="160"/>
      <c r="L6" s="243" t="s">
        <v>4</v>
      </c>
      <c r="M6" s="155" t="s">
        <v>30</v>
      </c>
    </row>
    <row r="7" spans="1:17" ht="15.6" x14ac:dyDescent="0.25">
      <c r="A7" s="14" t="s">
        <v>23</v>
      </c>
      <c r="B7" s="303">
        <v>303146</v>
      </c>
      <c r="C7" s="304">
        <v>286134</v>
      </c>
      <c r="D7" s="345">
        <f t="shared" ref="D7:D12" si="0">IF(B7=0, "    ---- ", IF(ABS(ROUND(100/B7*C7-100,1))&lt;999,ROUND(100/B7*C7-100,1),IF(ROUND(100/B7*C7-100,1)&gt;999,999,-999)))</f>
        <v>-5.6</v>
      </c>
      <c r="E7" s="11">
        <f>IFERROR(100/'Skjema total MA'!C7*C7,0)</f>
        <v>5.8140777389151275</v>
      </c>
      <c r="F7" s="303">
        <v>573652</v>
      </c>
      <c r="G7" s="304">
        <v>559786</v>
      </c>
      <c r="H7" s="345">
        <f t="shared" ref="H7:H12" si="1">IF(F7=0, "    ---- ", IF(ABS(ROUND(100/F7*G7-100,1))&lt;999,ROUND(100/F7*G7-100,1),IF(ROUND(100/F7*G7-100,1)&gt;999,999,-999)))</f>
        <v>-2.4</v>
      </c>
      <c r="I7" s="159">
        <f>IFERROR(100/'Skjema total MA'!F7*G7,0)</f>
        <v>3.7983779994399125</v>
      </c>
      <c r="J7" s="305">
        <f t="shared" ref="J7:K12" si="2">SUM(B7,F7)</f>
        <v>876798</v>
      </c>
      <c r="K7" s="306">
        <f t="shared" si="2"/>
        <v>845920</v>
      </c>
      <c r="L7" s="421">
        <f t="shared" ref="L7:L12" si="3">IF(J7=0, "    ---- ", IF(ABS(ROUND(100/J7*K7-100,1))&lt;999,ROUND(100/J7*K7-100,1),IF(ROUND(100/J7*K7-100,1)&gt;999,999,-999)))</f>
        <v>-3.5</v>
      </c>
      <c r="M7" s="11">
        <f>IFERROR(100/'Skjema total MA'!I7*K7,0)</f>
        <v>4.3029872892663104</v>
      </c>
    </row>
    <row r="8" spans="1:17" ht="15.6" x14ac:dyDescent="0.25">
      <c r="A8" s="21" t="s">
        <v>25</v>
      </c>
      <c r="B8" s="278">
        <v>37483.847000000002</v>
      </c>
      <c r="C8" s="279">
        <v>30252.177</v>
      </c>
      <c r="D8" s="165">
        <f t="shared" si="0"/>
        <v>-19.3</v>
      </c>
      <c r="E8" s="27">
        <f>IFERROR(100/'Skjema total MA'!C8*C8,0)</f>
        <v>0.93398789153948536</v>
      </c>
      <c r="F8" s="282"/>
      <c r="G8" s="283"/>
      <c r="H8" s="165"/>
      <c r="I8" s="174"/>
      <c r="J8" s="232">
        <f t="shared" si="2"/>
        <v>37483.847000000002</v>
      </c>
      <c r="K8" s="284">
        <f t="shared" si="2"/>
        <v>30252.177</v>
      </c>
      <c r="L8" s="165">
        <f t="shared" si="3"/>
        <v>-19.3</v>
      </c>
      <c r="M8" s="27">
        <f>IFERROR(100/'Skjema total MA'!I8*K8,0)</f>
        <v>0.93398789153948536</v>
      </c>
    </row>
    <row r="9" spans="1:17" ht="15.6" x14ac:dyDescent="0.25">
      <c r="A9" s="21" t="s">
        <v>24</v>
      </c>
      <c r="B9" s="278">
        <v>26769.696</v>
      </c>
      <c r="C9" s="279">
        <v>19918.037</v>
      </c>
      <c r="D9" s="165">
        <f t="shared" si="0"/>
        <v>-25.6</v>
      </c>
      <c r="E9" s="27">
        <f>IFERROR(100/'Skjema total MA'!C9*C9,0)</f>
        <v>1.9976491663141336</v>
      </c>
      <c r="F9" s="282"/>
      <c r="G9" s="283"/>
      <c r="H9" s="165"/>
      <c r="I9" s="174"/>
      <c r="J9" s="232">
        <f t="shared" si="2"/>
        <v>26769.696</v>
      </c>
      <c r="K9" s="284">
        <f t="shared" si="2"/>
        <v>19918.037</v>
      </c>
      <c r="L9" s="165">
        <f t="shared" si="3"/>
        <v>-25.6</v>
      </c>
      <c r="M9" s="27">
        <f>IFERROR(100/'Skjema total MA'!I9*K9,0)</f>
        <v>1.9976491663141336</v>
      </c>
    </row>
    <row r="10" spans="1:17" ht="15.6" x14ac:dyDescent="0.25">
      <c r="A10" s="13" t="s">
        <v>444</v>
      </c>
      <c r="B10" s="307">
        <v>11407762</v>
      </c>
      <c r="C10" s="308">
        <v>10311471</v>
      </c>
      <c r="D10" s="170">
        <f t="shared" si="0"/>
        <v>-9.6</v>
      </c>
      <c r="E10" s="11">
        <f>IFERROR(100/'Skjema total MA'!C10*C10,0)</f>
        <v>54.66588916271656</v>
      </c>
      <c r="F10" s="307">
        <v>6816144</v>
      </c>
      <c r="G10" s="308">
        <v>7736331.7800000003</v>
      </c>
      <c r="H10" s="170">
        <f t="shared" si="1"/>
        <v>13.5</v>
      </c>
      <c r="I10" s="159">
        <f>IFERROR(100/'Skjema total MA'!F10*G10,0)</f>
        <v>10.005028013621503</v>
      </c>
      <c r="J10" s="305">
        <f t="shared" si="2"/>
        <v>18223906</v>
      </c>
      <c r="K10" s="306">
        <f t="shared" si="2"/>
        <v>18047802.780000001</v>
      </c>
      <c r="L10" s="422">
        <f t="shared" si="3"/>
        <v>-1</v>
      </c>
      <c r="M10" s="11">
        <f>IFERROR(100/'Skjema total MA'!I10*K10,0)</f>
        <v>18.763215245276331</v>
      </c>
      <c r="Q10" s="148"/>
    </row>
    <row r="11" spans="1:17" s="43" customFormat="1" ht="15.6" x14ac:dyDescent="0.25">
      <c r="A11" s="13" t="s">
        <v>445</v>
      </c>
      <c r="B11" s="307">
        <v>40437.802000000003</v>
      </c>
      <c r="C11" s="308">
        <v>94145.505999999994</v>
      </c>
      <c r="D11" s="170">
        <f t="shared" si="0"/>
        <v>132.80000000000001</v>
      </c>
      <c r="E11" s="11">
        <f>IFERROR(100/'Skjema total MA'!C11*C11,0)</f>
        <v>100</v>
      </c>
      <c r="F11" s="307">
        <v>50397</v>
      </c>
      <c r="G11" s="308">
        <v>51821</v>
      </c>
      <c r="H11" s="170">
        <f t="shared" si="1"/>
        <v>2.8</v>
      </c>
      <c r="I11" s="159">
        <f>IFERROR(100/'Skjema total MA'!F11*G11,0)</f>
        <v>7.7359426899124912</v>
      </c>
      <c r="J11" s="305">
        <f t="shared" si="2"/>
        <v>90834.801999999996</v>
      </c>
      <c r="K11" s="306">
        <f t="shared" si="2"/>
        <v>145966.50599999999</v>
      </c>
      <c r="L11" s="422">
        <f t="shared" si="3"/>
        <v>60.7</v>
      </c>
      <c r="M11" s="11">
        <f>IFERROR(100/'Skjema total MA'!I11*K11,0)</f>
        <v>19.105098051083882</v>
      </c>
      <c r="N11" s="142"/>
    </row>
    <row r="12" spans="1:17" s="43" customFormat="1" ht="15.6" x14ac:dyDescent="0.25">
      <c r="A12" s="41" t="s">
        <v>446</v>
      </c>
      <c r="B12" s="309">
        <v>2832</v>
      </c>
      <c r="C12" s="310">
        <v>7169</v>
      </c>
      <c r="D12" s="168">
        <f t="shared" si="0"/>
        <v>153.1</v>
      </c>
      <c r="E12" s="36">
        <f>IFERROR(100/'Skjema total MA'!C12*C12,0)</f>
        <v>100</v>
      </c>
      <c r="F12" s="309">
        <v>111139</v>
      </c>
      <c r="G12" s="310">
        <v>40461</v>
      </c>
      <c r="H12" s="168">
        <f t="shared" si="1"/>
        <v>-63.6</v>
      </c>
      <c r="I12" s="168">
        <f>IFERROR(100/'Skjema total MA'!F12*G12,0)</f>
        <v>22.623604710147475</v>
      </c>
      <c r="J12" s="311">
        <f t="shared" si="2"/>
        <v>113971</v>
      </c>
      <c r="K12" s="312">
        <f t="shared" si="2"/>
        <v>47630</v>
      </c>
      <c r="L12" s="423">
        <f t="shared" si="3"/>
        <v>-58.2</v>
      </c>
      <c r="M12" s="36">
        <f>IFERROR(100/'Skjema total MA'!I12*K12,0)</f>
        <v>25.60571265640607</v>
      </c>
      <c r="N12" s="142"/>
      <c r="Q12" s="142"/>
    </row>
    <row r="13" spans="1:17" s="43" customFormat="1" x14ac:dyDescent="0.25">
      <c r="A13" s="167"/>
      <c r="B13" s="144"/>
      <c r="C13" s="33"/>
      <c r="D13" s="158"/>
      <c r="E13" s="158"/>
      <c r="F13" s="144"/>
      <c r="G13" s="33"/>
      <c r="H13" s="158"/>
      <c r="I13" s="158"/>
      <c r="J13" s="48"/>
      <c r="K13" s="48"/>
      <c r="L13" s="158"/>
      <c r="M13" s="158"/>
      <c r="N13" s="142"/>
    </row>
    <row r="14" spans="1:17" x14ac:dyDescent="0.25">
      <c r="A14" s="152" t="s">
        <v>273</v>
      </c>
      <c r="B14" s="26"/>
    </row>
    <row r="15" spans="1:17" x14ac:dyDescent="0.25">
      <c r="F15" s="145"/>
      <c r="G15" s="145"/>
      <c r="H15" s="145"/>
      <c r="I15" s="145"/>
      <c r="J15" s="145"/>
      <c r="K15" s="145"/>
      <c r="L15" s="145"/>
      <c r="M15" s="145"/>
    </row>
    <row r="16" spans="1:17"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359517</v>
      </c>
      <c r="C22" s="307">
        <v>286134.08895</v>
      </c>
      <c r="D22" s="345">
        <f t="shared" ref="D22:D39" si="4">IF(B22=0, "    ---- ", IF(ABS(ROUND(100/B22*C22-100,1))&lt;999,ROUND(100/B22*C22-100,1),IF(ROUND(100/B22*C22-100,1)&gt;999,999,-999)))</f>
        <v>-20.399999999999999</v>
      </c>
      <c r="E22" s="11">
        <f>IFERROR(100/'Skjema total MA'!C22*C22,0)</f>
        <v>14.814616066323307</v>
      </c>
      <c r="F22" s="315">
        <v>153751</v>
      </c>
      <c r="G22" s="315">
        <v>137648.04199999999</v>
      </c>
      <c r="H22" s="345">
        <f t="shared" ref="H22:H35" si="5">IF(F22=0, "    ---- ", IF(ABS(ROUND(100/F22*G22-100,1))&lt;999,ROUND(100/F22*G22-100,1),IF(ROUND(100/F22*G22-100,1)&gt;999,999,-999)))</f>
        <v>-10.5</v>
      </c>
      <c r="I22" s="11">
        <f>IFERROR(100/'Skjema total MA'!F22*G22,0)</f>
        <v>8.0219898182099367</v>
      </c>
      <c r="J22" s="313">
        <f t="shared" ref="J22:J39" si="6">SUM(B22,F22)</f>
        <v>513268</v>
      </c>
      <c r="K22" s="313">
        <f t="shared" ref="K22:K39" si="7">SUM(C22,G22)</f>
        <v>423782.13095000002</v>
      </c>
      <c r="L22" s="421">
        <f t="shared" ref="L22:L35" si="8">IF(J22=0, "    ---- ", IF(ABS(ROUND(100/J22*K22-100,1))&lt;999,ROUND(100/J22*K22-100,1),IF(ROUND(100/J22*K22-100,1)&gt;999,999,-999)))</f>
        <v>-17.399999999999999</v>
      </c>
      <c r="M22" s="24">
        <f>IFERROR(100/'Skjema total MA'!I22*K22,0)</f>
        <v>11.61901635529366</v>
      </c>
    </row>
    <row r="23" spans="1:14" ht="15.6" x14ac:dyDescent="0.25">
      <c r="A23" s="782" t="s">
        <v>447</v>
      </c>
      <c r="B23" s="278">
        <v>290578.51655274897</v>
      </c>
      <c r="C23" s="278">
        <v>239461.545146574</v>
      </c>
      <c r="D23" s="165">
        <f t="shared" si="4"/>
        <v>-17.600000000000001</v>
      </c>
      <c r="E23" s="11">
        <f>IFERROR(100/'Skjema total MA'!C23*C23,0)</f>
        <v>21.588047273143474</v>
      </c>
      <c r="F23" s="287">
        <v>143048</v>
      </c>
      <c r="G23" s="287">
        <v>127922</v>
      </c>
      <c r="H23" s="165">
        <f t="shared" si="5"/>
        <v>-10.6</v>
      </c>
      <c r="I23" s="411">
        <f>IFERROR(100/'Skjema total MA'!F23*G23,0)</f>
        <v>62.297149724399318</v>
      </c>
      <c r="J23" s="287">
        <f t="shared" si="6"/>
        <v>433626.51655274897</v>
      </c>
      <c r="K23" s="287">
        <f t="shared" si="7"/>
        <v>367383.54514657403</v>
      </c>
      <c r="L23" s="165">
        <f t="shared" si="8"/>
        <v>-15.3</v>
      </c>
      <c r="M23" s="23">
        <f>IFERROR(100/'Skjema total MA'!I23*K23,0)</f>
        <v>27.946971358880035</v>
      </c>
    </row>
    <row r="24" spans="1:14" ht="15.6" x14ac:dyDescent="0.25">
      <c r="A24" s="782" t="s">
        <v>448</v>
      </c>
      <c r="B24" s="278">
        <v>30477.494268946299</v>
      </c>
      <c r="C24" s="278">
        <v>16968.556639957998</v>
      </c>
      <c r="D24" s="165">
        <f t="shared" si="4"/>
        <v>-44.3</v>
      </c>
      <c r="E24" s="11">
        <f>IFERROR(100/'Skjema total MA'!C24*C24,0)</f>
        <v>70.376646767236849</v>
      </c>
      <c r="F24" s="287">
        <v>218</v>
      </c>
      <c r="G24" s="287">
        <v>176.54900000000001</v>
      </c>
      <c r="H24" s="165">
        <f t="shared" si="5"/>
        <v>-19</v>
      </c>
      <c r="I24" s="411">
        <f>IFERROR(100/'Skjema total MA'!F24*G24,0)</f>
        <v>138.37879951106666</v>
      </c>
      <c r="J24" s="287">
        <f t="shared" si="6"/>
        <v>30695.494268946299</v>
      </c>
      <c r="K24" s="287">
        <f t="shared" si="7"/>
        <v>17145.105639957997</v>
      </c>
      <c r="L24" s="165">
        <f t="shared" si="8"/>
        <v>-44.1</v>
      </c>
      <c r="M24" s="23">
        <f>IFERROR(100/'Skjema total MA'!I24*K24,0)</f>
        <v>70.734586590252803</v>
      </c>
    </row>
    <row r="25" spans="1:14" ht="15.6" x14ac:dyDescent="0.25">
      <c r="A25" s="782" t="s">
        <v>449</v>
      </c>
      <c r="B25" s="278">
        <v>38460.989178304699</v>
      </c>
      <c r="C25" s="278">
        <v>29703.987163467598</v>
      </c>
      <c r="D25" s="165">
        <f t="shared" si="4"/>
        <v>-22.8</v>
      </c>
      <c r="E25" s="11">
        <f>IFERROR(100/'Skjema total MA'!C25*C25,0)</f>
        <v>99.574268195336387</v>
      </c>
      <c r="F25" s="287">
        <v>10485</v>
      </c>
      <c r="G25" s="287">
        <v>9549.4930000000004</v>
      </c>
      <c r="H25" s="165">
        <f t="shared" si="5"/>
        <v>-8.9</v>
      </c>
      <c r="I25" s="411">
        <f>IFERROR(100/'Skjema total MA'!F25*G25,0)</f>
        <v>51.507117790788193</v>
      </c>
      <c r="J25" s="287">
        <f t="shared" si="6"/>
        <v>48945.989178304699</v>
      </c>
      <c r="K25" s="287">
        <f t="shared" si="7"/>
        <v>39253.480163467597</v>
      </c>
      <c r="L25" s="165">
        <f t="shared" si="8"/>
        <v>-19.8</v>
      </c>
      <c r="M25" s="23">
        <f>IFERROR(100/'Skjema total MA'!I25*K25,0)</f>
        <v>81.150637773753118</v>
      </c>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114135.42</v>
      </c>
      <c r="C28" s="284">
        <v>106932.421</v>
      </c>
      <c r="D28" s="165">
        <f t="shared" si="4"/>
        <v>-6.3</v>
      </c>
      <c r="E28" s="11">
        <f>IFERROR(100/'Skjema total MA'!C28*C28,0)</f>
        <v>4.9048589123009201</v>
      </c>
      <c r="F28" s="232"/>
      <c r="G28" s="284"/>
      <c r="H28" s="165"/>
      <c r="I28" s="27"/>
      <c r="J28" s="44">
        <f t="shared" si="6"/>
        <v>114135.42</v>
      </c>
      <c r="K28" s="44">
        <f t="shared" si="7"/>
        <v>106932.421</v>
      </c>
      <c r="L28" s="252">
        <f t="shared" si="8"/>
        <v>-6.3</v>
      </c>
      <c r="M28" s="23">
        <f>IFERROR(100/'Skjema total MA'!I28*K28,0)</f>
        <v>4.9048589123009201</v>
      </c>
    </row>
    <row r="29" spans="1:14" s="3" customFormat="1" ht="15.6" x14ac:dyDescent="0.25">
      <c r="A29" s="13" t="s">
        <v>444</v>
      </c>
      <c r="B29" s="234">
        <v>23675188</v>
      </c>
      <c r="C29" s="234">
        <v>22715954</v>
      </c>
      <c r="D29" s="170">
        <f t="shared" si="4"/>
        <v>-4.0999999999999996</v>
      </c>
      <c r="E29" s="11">
        <f>IFERROR(100/'Skjema total MA'!C29*C29,0)</f>
        <v>50.126527005764217</v>
      </c>
      <c r="F29" s="305">
        <v>5800755.8720000004</v>
      </c>
      <c r="G29" s="305">
        <v>5126853.28</v>
      </c>
      <c r="H29" s="170">
        <f t="shared" si="5"/>
        <v>-11.6</v>
      </c>
      <c r="I29" s="11">
        <f>IFERROR(100/'Skjema total MA'!F29*G29,0)</f>
        <v>19.176198462897759</v>
      </c>
      <c r="J29" s="234">
        <f t="shared" si="6"/>
        <v>29475943.872000001</v>
      </c>
      <c r="K29" s="234">
        <f t="shared" si="7"/>
        <v>27842807.280000001</v>
      </c>
      <c r="L29" s="422">
        <f t="shared" si="8"/>
        <v>-5.5</v>
      </c>
      <c r="M29" s="24">
        <f>IFERROR(100/'Skjema total MA'!I29*K29,0)</f>
        <v>38.642263006327951</v>
      </c>
      <c r="N29" s="147"/>
    </row>
    <row r="30" spans="1:14" s="3" customFormat="1" ht="15.6" x14ac:dyDescent="0.25">
      <c r="A30" s="782" t="s">
        <v>447</v>
      </c>
      <c r="B30" s="278">
        <v>9409533.4427842703</v>
      </c>
      <c r="C30" s="278">
        <v>9028292.3113427609</v>
      </c>
      <c r="D30" s="165">
        <f t="shared" si="4"/>
        <v>-4.0999999999999996</v>
      </c>
      <c r="E30" s="11">
        <f>IFERROR(100/'Skjema total MA'!C30*C30,0)</f>
        <v>56.561768930470308</v>
      </c>
      <c r="F30" s="287">
        <v>2262139.9010000001</v>
      </c>
      <c r="G30" s="287">
        <v>1604382.676</v>
      </c>
      <c r="H30" s="165">
        <f t="shared" si="5"/>
        <v>-29.1</v>
      </c>
      <c r="I30" s="411">
        <f>IFERROR(100/'Skjema total MA'!F30*G30,0)</f>
        <v>38.654726741458283</v>
      </c>
      <c r="J30" s="287">
        <f t="shared" si="6"/>
        <v>11671673.343784271</v>
      </c>
      <c r="K30" s="287">
        <f t="shared" si="7"/>
        <v>10632674.98734276</v>
      </c>
      <c r="L30" s="165">
        <f t="shared" si="8"/>
        <v>-8.9</v>
      </c>
      <c r="M30" s="23">
        <f>IFERROR(100/'Skjema total MA'!I30*K30,0)</f>
        <v>52.866331533244811</v>
      </c>
      <c r="N30" s="147"/>
    </row>
    <row r="31" spans="1:14" s="3" customFormat="1" ht="15.6" x14ac:dyDescent="0.25">
      <c r="A31" s="782" t="s">
        <v>448</v>
      </c>
      <c r="B31" s="278">
        <v>11835719.7385203</v>
      </c>
      <c r="C31" s="278">
        <v>11356179.124783801</v>
      </c>
      <c r="D31" s="165">
        <f t="shared" si="4"/>
        <v>-4.0999999999999996</v>
      </c>
      <c r="E31" s="11">
        <f>IFERROR(100/'Skjema total MA'!C31*C31,0)</f>
        <v>50.457426221264512</v>
      </c>
      <c r="F31" s="287">
        <v>3047627.2349999999</v>
      </c>
      <c r="G31" s="287">
        <v>2988603.344</v>
      </c>
      <c r="H31" s="165">
        <f t="shared" si="5"/>
        <v>-1.9</v>
      </c>
      <c r="I31" s="411">
        <f>IFERROR(100/'Skjema total MA'!F31*G31,0)</f>
        <v>31.839015718460349</v>
      </c>
      <c r="J31" s="287">
        <f t="shared" si="6"/>
        <v>14883346.973520299</v>
      </c>
      <c r="K31" s="287">
        <f t="shared" si="7"/>
        <v>14344782.468783801</v>
      </c>
      <c r="L31" s="165">
        <f t="shared" si="8"/>
        <v>-3.6</v>
      </c>
      <c r="M31" s="23">
        <f>IFERROR(100/'Skjema total MA'!I31*K31,0)</f>
        <v>44.977748789863071</v>
      </c>
      <c r="N31" s="147"/>
    </row>
    <row r="32" spans="1:14" ht="15.6" x14ac:dyDescent="0.25">
      <c r="A32" s="782" t="s">
        <v>449</v>
      </c>
      <c r="B32" s="278">
        <v>2429934.8186954102</v>
      </c>
      <c r="C32" s="278">
        <v>2331482.5638734298</v>
      </c>
      <c r="D32" s="165">
        <f t="shared" si="4"/>
        <v>-4.0999999999999996</v>
      </c>
      <c r="E32" s="11">
        <f>IFERROR(100/'Skjema total MA'!C32*C32,0)</f>
        <v>78.502403111811205</v>
      </c>
      <c r="F32" s="287">
        <v>490988.73599999998</v>
      </c>
      <c r="G32" s="287">
        <v>533867.26</v>
      </c>
      <c r="H32" s="165">
        <f t="shared" si="5"/>
        <v>8.6999999999999993</v>
      </c>
      <c r="I32" s="411">
        <f>IFERROR(100/'Skjema total MA'!F32*G32,0)</f>
        <v>9.0606307913085455</v>
      </c>
      <c r="J32" s="287">
        <f t="shared" si="6"/>
        <v>2920923.5546954102</v>
      </c>
      <c r="K32" s="287">
        <f t="shared" si="7"/>
        <v>2865349.8238734296</v>
      </c>
      <c r="L32" s="165">
        <f t="shared" si="8"/>
        <v>-1.9</v>
      </c>
      <c r="M32" s="23">
        <f>IFERROR(100/'Skjema total MA'!I32*K32,0)</f>
        <v>32.3325734583387</v>
      </c>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v>18712.062010000001</v>
      </c>
      <c r="C34" s="306">
        <v>8345.6181500000002</v>
      </c>
      <c r="D34" s="170">
        <f t="shared" si="4"/>
        <v>-55.4</v>
      </c>
      <c r="E34" s="11">
        <f>IFERROR(100/'Skjema total MA'!C34*C34,0)</f>
        <v>39.744967599571034</v>
      </c>
      <c r="F34" s="305">
        <v>-87975</v>
      </c>
      <c r="G34" s="306">
        <v>-64069</v>
      </c>
      <c r="H34" s="170">
        <f t="shared" si="5"/>
        <v>-27.2</v>
      </c>
      <c r="I34" s="11">
        <f>IFERROR(100/'Skjema total MA'!F34*G34,0)</f>
        <v>-252.48762427883995</v>
      </c>
      <c r="J34" s="234">
        <f t="shared" si="6"/>
        <v>-69262.937990000006</v>
      </c>
      <c r="K34" s="234">
        <f t="shared" si="7"/>
        <v>-55723.381849999998</v>
      </c>
      <c r="L34" s="422">
        <f t="shared" si="8"/>
        <v>-19.5</v>
      </c>
      <c r="M34" s="24">
        <f>IFERROR(100/'Skjema total MA'!I34*K34,0)</f>
        <v>-120.16334227727063</v>
      </c>
    </row>
    <row r="35" spans="1:14" ht="15.6" x14ac:dyDescent="0.25">
      <c r="A35" s="13" t="s">
        <v>446</v>
      </c>
      <c r="B35" s="234">
        <v>-127224</v>
      </c>
      <c r="C35" s="306">
        <v>-83611</v>
      </c>
      <c r="D35" s="170">
        <f t="shared" si="4"/>
        <v>-34.299999999999997</v>
      </c>
      <c r="E35" s="11">
        <f>IFERROR(100/'Skjema total MA'!C35*C35,0)</f>
        <v>101.07308518825883</v>
      </c>
      <c r="F35" s="305">
        <v>62357</v>
      </c>
      <c r="G35" s="306">
        <v>22179</v>
      </c>
      <c r="H35" s="170">
        <f t="shared" si="5"/>
        <v>-64.400000000000006</v>
      </c>
      <c r="I35" s="11">
        <f>IFERROR(100/'Skjema total MA'!F35*G35,0)</f>
        <v>13.377398109957092</v>
      </c>
      <c r="J35" s="234">
        <f t="shared" si="6"/>
        <v>-64867</v>
      </c>
      <c r="K35" s="234">
        <f t="shared" si="7"/>
        <v>-61432</v>
      </c>
      <c r="L35" s="422">
        <f t="shared" si="8"/>
        <v>-5.3</v>
      </c>
      <c r="M35" s="24">
        <f>IFERROR(100/'Skjema total MA'!I35*K35,0)</f>
        <v>-73.950963347090664</v>
      </c>
    </row>
    <row r="36" spans="1:14" ht="15.6" x14ac:dyDescent="0.25">
      <c r="A36" s="12" t="s">
        <v>282</v>
      </c>
      <c r="B36" s="234">
        <v>11455</v>
      </c>
      <c r="C36" s="306">
        <v>9086.9405000000006</v>
      </c>
      <c r="D36" s="170">
        <f t="shared" si="4"/>
        <v>-20.7</v>
      </c>
      <c r="E36" s="11">
        <f>100/'Skjema total MA'!C36*C36</f>
        <v>99.299153416448149</v>
      </c>
      <c r="F36" s="316"/>
      <c r="G36" s="317"/>
      <c r="H36" s="170"/>
      <c r="I36" s="428"/>
      <c r="J36" s="234">
        <f t="shared" si="6"/>
        <v>11455</v>
      </c>
      <c r="K36" s="234">
        <f t="shared" si="7"/>
        <v>9086.9405000000006</v>
      </c>
      <c r="L36" s="422"/>
      <c r="M36" s="24">
        <f>IFERROR(100/'Skjema total MA'!I36*K36,0)</f>
        <v>99.299153416448149</v>
      </c>
    </row>
    <row r="37" spans="1:14" ht="15.6" x14ac:dyDescent="0.25">
      <c r="A37" s="12" t="s">
        <v>452</v>
      </c>
      <c r="B37" s="234">
        <v>2874439.86784</v>
      </c>
      <c r="C37" s="306">
        <v>2705435</v>
      </c>
      <c r="D37" s="170">
        <f t="shared" si="4"/>
        <v>-5.9</v>
      </c>
      <c r="E37" s="11">
        <f>100/'Skjema total MA'!C37*C37</f>
        <v>85.890434349275921</v>
      </c>
      <c r="F37" s="316"/>
      <c r="G37" s="318"/>
      <c r="H37" s="170"/>
      <c r="I37" s="428"/>
      <c r="J37" s="234">
        <f t="shared" si="6"/>
        <v>2874439.86784</v>
      </c>
      <c r="K37" s="234">
        <f t="shared" si="7"/>
        <v>2705435</v>
      </c>
      <c r="L37" s="422"/>
      <c r="M37" s="24">
        <f>IFERROR(100/'Skjema total MA'!I37*K37,0)</f>
        <v>85.890434349275921</v>
      </c>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v>19</v>
      </c>
      <c r="C39" s="312">
        <v>5</v>
      </c>
      <c r="D39" s="168">
        <f t="shared" si="4"/>
        <v>-73.7</v>
      </c>
      <c r="E39" s="36">
        <f>IFERROR(100/'Skjema total MA'!C38*C39,0)</f>
        <v>0</v>
      </c>
      <c r="F39" s="319"/>
      <c r="G39" s="320"/>
      <c r="H39" s="168"/>
      <c r="I39" s="36"/>
      <c r="J39" s="234">
        <f t="shared" si="6"/>
        <v>19</v>
      </c>
      <c r="K39" s="234">
        <f t="shared" si="7"/>
        <v>5</v>
      </c>
      <c r="L39" s="423"/>
      <c r="M39" s="36">
        <f>IFERROR(100/'Skjema total MA'!I39*K39,0)</f>
        <v>100</v>
      </c>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546332</v>
      </c>
      <c r="C47" s="308">
        <v>593924.25899999996</v>
      </c>
      <c r="D47" s="421">
        <f t="shared" ref="D47:D57" si="9">IF(B47=0, "    ---- ", IF(ABS(ROUND(100/B47*C47-100,1))&lt;999,ROUND(100/B47*C47-100,1),IF(ROUND(100/B47*C47-100,1)&gt;999,999,-999)))</f>
        <v>8.6999999999999993</v>
      </c>
      <c r="E47" s="11">
        <f>IFERROR(100/'Skjema total MA'!C47*C47,0)</f>
        <v>11.659279942523259</v>
      </c>
      <c r="F47" s="144"/>
      <c r="G47" s="33"/>
      <c r="H47" s="158"/>
      <c r="I47" s="158"/>
      <c r="J47" s="37"/>
      <c r="K47" s="37"/>
      <c r="L47" s="158"/>
      <c r="M47" s="158"/>
      <c r="N47" s="147"/>
    </row>
    <row r="48" spans="1:14" s="3" customFormat="1" ht="15.6" x14ac:dyDescent="0.25">
      <c r="A48" s="38" t="s">
        <v>455</v>
      </c>
      <c r="B48" s="278">
        <v>546332</v>
      </c>
      <c r="C48" s="279">
        <v>593924.25899999996</v>
      </c>
      <c r="D48" s="252">
        <f t="shared" si="9"/>
        <v>8.6999999999999993</v>
      </c>
      <c r="E48" s="27">
        <f>IFERROR(100/'Skjema total MA'!C48*C48,0)</f>
        <v>20.97020076966901</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v>59044</v>
      </c>
      <c r="C53" s="308">
        <v>39418</v>
      </c>
      <c r="D53" s="422">
        <f t="shared" si="9"/>
        <v>-33.200000000000003</v>
      </c>
      <c r="E53" s="11">
        <f>IFERROR(100/'Skjema total MA'!C53*C53,0)</f>
        <v>14.413797098761304</v>
      </c>
      <c r="F53" s="144"/>
      <c r="G53" s="33"/>
      <c r="H53" s="144"/>
      <c r="I53" s="144"/>
      <c r="J53" s="33"/>
      <c r="K53" s="33"/>
      <c r="L53" s="158"/>
      <c r="M53" s="158"/>
      <c r="N53" s="147"/>
    </row>
    <row r="54" spans="1:14" s="3" customFormat="1" ht="15.6" x14ac:dyDescent="0.25">
      <c r="A54" s="38" t="s">
        <v>455</v>
      </c>
      <c r="B54" s="278">
        <v>59044</v>
      </c>
      <c r="C54" s="279">
        <v>39418</v>
      </c>
      <c r="D54" s="252">
        <f t="shared" si="9"/>
        <v>-33.200000000000003</v>
      </c>
      <c r="E54" s="27">
        <f>IFERROR(100/'Skjema total MA'!C54*C54,0)</f>
        <v>14.744036089501078</v>
      </c>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v>14642</v>
      </c>
      <c r="C56" s="308">
        <v>30758</v>
      </c>
      <c r="D56" s="422">
        <f t="shared" si="9"/>
        <v>110.1</v>
      </c>
      <c r="E56" s="11">
        <f>IFERROR(100/'Skjema total MA'!C56*C56,0)</f>
        <v>8.6126057601414203</v>
      </c>
      <c r="F56" s="144"/>
      <c r="G56" s="33"/>
      <c r="H56" s="144"/>
      <c r="I56" s="144"/>
      <c r="J56" s="33"/>
      <c r="K56" s="33"/>
      <c r="L56" s="158"/>
      <c r="M56" s="158"/>
      <c r="N56" s="147"/>
    </row>
    <row r="57" spans="1:14" s="3" customFormat="1" ht="15.6" x14ac:dyDescent="0.25">
      <c r="A57" s="38" t="s">
        <v>455</v>
      </c>
      <c r="B57" s="278">
        <v>14642</v>
      </c>
      <c r="C57" s="279">
        <v>30758</v>
      </c>
      <c r="D57" s="252">
        <f t="shared" si="9"/>
        <v>110.1</v>
      </c>
      <c r="E57" s="27">
        <f>IFERROR(100/'Skjema total MA'!C57*C57,0)</f>
        <v>8.6126057601414203</v>
      </c>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2243403.92227</v>
      </c>
      <c r="C66" s="348">
        <v>2007365</v>
      </c>
      <c r="D66" s="345">
        <f>IF(B66=0, "    ---- ", IF(ABS(ROUND(100/B66*C66-100,1))&lt;999,ROUND(100/B66*C66-100,1),IF(ROUND(100/B66*C66-100,1)&gt;999,999,-999)))</f>
        <v>-10.5</v>
      </c>
      <c r="E66" s="11">
        <f>IFERROR(100/'Skjema total MA'!C66*C66,0)</f>
        <v>26.408453060360767</v>
      </c>
      <c r="F66" s="347">
        <v>9383093</v>
      </c>
      <c r="G66" s="347">
        <v>11153808</v>
      </c>
      <c r="H66" s="345">
        <f>IF(F66=0, "    ---- ", IF(ABS(ROUND(100/F66*G66-100,1))&lt;999,ROUND(100/F66*G66-100,1),IF(ROUND(100/F66*G66-100,1)&gt;999,999,-999)))</f>
        <v>18.899999999999999</v>
      </c>
      <c r="I66" s="11">
        <f>IFERROR(100/'Skjema total MA'!F66*G66,0)</f>
        <v>29.21507798380598</v>
      </c>
      <c r="J66" s="306">
        <f t="shared" ref="J66:K68" si="10">SUM(B66,F66)</f>
        <v>11626496.92227</v>
      </c>
      <c r="K66" s="313">
        <f t="shared" si="10"/>
        <v>13161173</v>
      </c>
      <c r="L66" s="422">
        <f>IF(J66=0, "    ---- ", IF(ABS(ROUND(100/J66*K66-100,1))&lt;999,ROUND(100/J66*K66-100,1),IF(ROUND(100/J66*K66-100,1)&gt;999,999,-999)))</f>
        <v>13.2</v>
      </c>
      <c r="M66" s="11">
        <f>IFERROR(100/'Skjema total MA'!I66*K66,0)</f>
        <v>28.74906618997564</v>
      </c>
    </row>
    <row r="67" spans="1:14" x14ac:dyDescent="0.25">
      <c r="A67" s="21" t="s">
        <v>9</v>
      </c>
      <c r="B67" s="44">
        <v>1965598.92227</v>
      </c>
      <c r="C67" s="144">
        <v>1697347</v>
      </c>
      <c r="D67" s="165">
        <f>IF(B67=0, "    ---- ", IF(ABS(ROUND(100/B67*C67-100,1))&lt;999,ROUND(100/B67*C67-100,1),IF(ROUND(100/B67*C67-100,1)&gt;999,999,-999)))</f>
        <v>-13.6</v>
      </c>
      <c r="E67" s="27">
        <f>IFERROR(100/'Skjema total MA'!C67*C67,0)</f>
        <v>32.799555854375932</v>
      </c>
      <c r="F67" s="232"/>
      <c r="G67" s="144"/>
      <c r="H67" s="165"/>
      <c r="I67" s="27"/>
      <c r="J67" s="284">
        <f t="shared" si="10"/>
        <v>1965598.92227</v>
      </c>
      <c r="K67" s="44">
        <f t="shared" si="10"/>
        <v>1697347</v>
      </c>
      <c r="L67" s="252">
        <f>IF(J67=0, "    ---- ", IF(ABS(ROUND(100/J67*K67-100,1))&lt;999,ROUND(100/J67*K67-100,1),IF(ROUND(100/J67*K67-100,1)&gt;999,999,-999)))</f>
        <v>-13.6</v>
      </c>
      <c r="M67" s="27">
        <f>IFERROR(100/'Skjema total MA'!I67*K67,0)</f>
        <v>32.799555854375932</v>
      </c>
    </row>
    <row r="68" spans="1:14" x14ac:dyDescent="0.25">
      <c r="A68" s="21" t="s">
        <v>10</v>
      </c>
      <c r="B68" s="289"/>
      <c r="C68" s="290"/>
      <c r="D68" s="165"/>
      <c r="E68" s="27"/>
      <c r="F68" s="289">
        <v>9383093</v>
      </c>
      <c r="G68" s="290">
        <v>11153808</v>
      </c>
      <c r="H68" s="165">
        <f>IF(F68=0, "    ---- ", IF(ABS(ROUND(100/F68*G68-100,1))&lt;999,ROUND(100/F68*G68-100,1),IF(ROUND(100/F68*G68-100,1)&gt;999,999,-999)))</f>
        <v>18.899999999999999</v>
      </c>
      <c r="I68" s="27">
        <f>IFERROR(100/'Skjema total MA'!F68*G68,0)</f>
        <v>30.423128878104382</v>
      </c>
      <c r="J68" s="284">
        <f t="shared" si="10"/>
        <v>9383093</v>
      </c>
      <c r="K68" s="44">
        <f t="shared" si="10"/>
        <v>11153808</v>
      </c>
      <c r="L68" s="252">
        <f>IF(J68=0, "    ---- ", IF(ABS(ROUND(100/J68*K68-100,1))&lt;999,ROUND(100/J68*K68-100,1),IF(ROUND(100/J68*K68-100,1)&gt;999,999,-999)))</f>
        <v>18.899999999999999</v>
      </c>
      <c r="M68" s="27">
        <f>IFERROR(100/'Skjema total MA'!I68*K68,0)</f>
        <v>30.385252702852245</v>
      </c>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v>9383093</v>
      </c>
      <c r="G72" s="278">
        <v>11153808</v>
      </c>
      <c r="H72" s="165">
        <f>IF(F72=0, "    ---- ", IF(ABS(ROUND(100/F72*G72-100,1))&lt;999,ROUND(100/F72*G72-100,1),IF(ROUND(100/F72*G72-100,1)&gt;999,999,-999)))</f>
        <v>18.899999999999999</v>
      </c>
      <c r="I72" s="27">
        <f>IFERROR(100/'Skjema total MA'!F72*G72,0)</f>
        <v>30.424908948988154</v>
      </c>
      <c r="J72" s="284">
        <f t="shared" ref="J72" si="11">SUM(B72,F72)</f>
        <v>9383093</v>
      </c>
      <c r="K72" s="44">
        <f t="shared" ref="K72" si="12">SUM(C72,G72)</f>
        <v>11153808</v>
      </c>
      <c r="L72" s="252">
        <f>IF(J72=0, "    ---- ", IF(ABS(ROUND(100/J72*K72-100,1))&lt;999,ROUND(100/J72*K72-100,1),IF(ROUND(100/J72*K72-100,1)&gt;999,999,-999)))</f>
        <v>18.899999999999999</v>
      </c>
      <c r="M72" s="23">
        <f>IFERROR(100/'Skjema total MA'!I72*K72,0)</f>
        <v>30.393272467369311</v>
      </c>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v>9383093</v>
      </c>
      <c r="G74" s="278">
        <v>11153808</v>
      </c>
      <c r="H74" s="165">
        <f>IF(F74=0, "    ---- ", IF(ABS(ROUND(100/F74*G74-100,1))&lt;999,ROUND(100/F74*G74-100,1),IF(ROUND(100/F74*G74-100,1)&gt;999,999,-999)))</f>
        <v>18.899999999999999</v>
      </c>
      <c r="I74" s="27">
        <f>IFERROR(100/'Skjema total MA'!F74*G74,0)</f>
        <v>30.424915588337058</v>
      </c>
      <c r="J74" s="284">
        <f t="shared" ref="J74" si="13">SUM(B74,F74)</f>
        <v>9383093</v>
      </c>
      <c r="K74" s="44">
        <f t="shared" ref="K74" si="14">SUM(C74,G74)</f>
        <v>11153808</v>
      </c>
      <c r="L74" s="252">
        <f>IF(J74=0, "    ---- ", IF(ABS(ROUND(100/J74*K74-100,1))&lt;999,ROUND(100/J74*K74-100,1),IF(ROUND(100/J74*K74-100,1)&gt;999,999,-999)))</f>
        <v>18.899999999999999</v>
      </c>
      <c r="M74" s="23">
        <f>IFERROR(100/'Skjema total MA'!I74*K74,0)</f>
        <v>30.424915588337058</v>
      </c>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v>277805</v>
      </c>
      <c r="C76" s="144">
        <v>310018</v>
      </c>
      <c r="D76" s="165">
        <f>IF(B76=0, "    ---- ", IF(ABS(ROUND(100/B76*C76-100,1))&lt;999,ROUND(100/B76*C76-100,1),IF(ROUND(100/B76*C76-100,1)&gt;999,999,-999)))</f>
        <v>11.6</v>
      </c>
      <c r="E76" s="27">
        <f>IFERROR(100/'Skjema total MA'!C77*C76,0)</f>
        <v>6.0503581620207667</v>
      </c>
      <c r="F76" s="232"/>
      <c r="G76" s="144"/>
      <c r="H76" s="165"/>
      <c r="I76" s="27"/>
      <c r="J76" s="284">
        <f t="shared" ref="J76:K79" si="15">SUM(B76,F76)</f>
        <v>277805</v>
      </c>
      <c r="K76" s="44">
        <f t="shared" si="15"/>
        <v>310018</v>
      </c>
      <c r="L76" s="252">
        <f>IF(J76=0, "    ---- ", IF(ABS(ROUND(100/J76*K76-100,1))&lt;999,ROUND(100/J76*K76-100,1),IF(ROUND(100/J76*K76-100,1)&gt;999,999,-999)))</f>
        <v>11.6</v>
      </c>
      <c r="M76" s="27">
        <f>IFERROR(100/'Skjema total MA'!I77*K76,0)</f>
        <v>0.74212848505664053</v>
      </c>
      <c r="N76" s="147"/>
    </row>
    <row r="77" spans="1:14" ht="15.6" x14ac:dyDescent="0.25">
      <c r="A77" s="21" t="s">
        <v>461</v>
      </c>
      <c r="B77" s="232">
        <v>1938437.92227</v>
      </c>
      <c r="C77" s="232">
        <v>1676041</v>
      </c>
      <c r="D77" s="165">
        <f>IF(B77=0, "    ---- ", IF(ABS(ROUND(100/B77*C77-100,1))&lt;999,ROUND(100/B77*C77-100,1),IF(ROUND(100/B77*C77-100,1)&gt;999,999,-999)))</f>
        <v>-13.5</v>
      </c>
      <c r="E77" s="27">
        <f>IFERROR(100/'Skjema total MA'!C77*C77,0)</f>
        <v>32.709869569610305</v>
      </c>
      <c r="F77" s="232">
        <v>9383093</v>
      </c>
      <c r="G77" s="144">
        <v>11153808</v>
      </c>
      <c r="H77" s="165">
        <f>IF(F77=0, "    ---- ", IF(ABS(ROUND(100/F77*G77-100,1))&lt;999,ROUND(100/F77*G77-100,1),IF(ROUND(100/F77*G77-100,1)&gt;999,999,-999)))</f>
        <v>18.899999999999999</v>
      </c>
      <c r="I77" s="27">
        <f>IFERROR(100/'Skjema total MA'!F77*G77,0)</f>
        <v>30.43313791480648</v>
      </c>
      <c r="J77" s="284">
        <f t="shared" si="15"/>
        <v>11321530.92227</v>
      </c>
      <c r="K77" s="44">
        <f t="shared" si="15"/>
        <v>12829849</v>
      </c>
      <c r="L77" s="252">
        <f>IF(J77=0, "    ---- ", IF(ABS(ROUND(100/J77*K77-100,1))&lt;999,ROUND(100/J77*K77-100,1),IF(ROUND(100/J77*K77-100,1)&gt;999,999,-999)))</f>
        <v>13.3</v>
      </c>
      <c r="M77" s="27">
        <f>IFERROR(100/'Skjema total MA'!I77*K77,0)</f>
        <v>30.712398640967475</v>
      </c>
    </row>
    <row r="78" spans="1:14" x14ac:dyDescent="0.25">
      <c r="A78" s="21" t="s">
        <v>9</v>
      </c>
      <c r="B78" s="232">
        <v>1938437.92227</v>
      </c>
      <c r="C78" s="144">
        <v>1676041</v>
      </c>
      <c r="D78" s="165">
        <f>IF(B78=0, "    ---- ", IF(ABS(ROUND(100/B78*C78-100,1))&lt;999,ROUND(100/B78*C78-100,1),IF(ROUND(100/B78*C78-100,1)&gt;999,999,-999)))</f>
        <v>-13.5</v>
      </c>
      <c r="E78" s="27">
        <f>IFERROR(100/'Skjema total MA'!C78*C78,0)</f>
        <v>32.990254533653257</v>
      </c>
      <c r="F78" s="232"/>
      <c r="G78" s="144"/>
      <c r="H78" s="165"/>
      <c r="I78" s="27"/>
      <c r="J78" s="284">
        <f t="shared" si="15"/>
        <v>1938437.92227</v>
      </c>
      <c r="K78" s="44">
        <f t="shared" si="15"/>
        <v>1676041</v>
      </c>
      <c r="L78" s="252">
        <f>IF(J78=0, "    ---- ", IF(ABS(ROUND(100/J78*K78-100,1))&lt;999,ROUND(100/J78*K78-100,1),IF(ROUND(100/J78*K78-100,1)&gt;999,999,-999)))</f>
        <v>-13.5</v>
      </c>
      <c r="M78" s="27">
        <f>IFERROR(100/'Skjema total MA'!I78*K78,0)</f>
        <v>32.990254533653257</v>
      </c>
    </row>
    <row r="79" spans="1:14" x14ac:dyDescent="0.25">
      <c r="A79" s="38" t="s">
        <v>495</v>
      </c>
      <c r="B79" s="289"/>
      <c r="C79" s="290"/>
      <c r="D79" s="165"/>
      <c r="E79" s="27"/>
      <c r="F79" s="289">
        <v>9383093</v>
      </c>
      <c r="G79" s="290">
        <v>11153808</v>
      </c>
      <c r="H79" s="165">
        <f>IF(F79=0, "    ---- ", IF(ABS(ROUND(100/F79*G79-100,1))&lt;999,ROUND(100/F79*G79-100,1),IF(ROUND(100/F79*G79-100,1)&gt;999,999,-999)))</f>
        <v>18.899999999999999</v>
      </c>
      <c r="I79" s="27">
        <f>IFERROR(100/'Skjema total MA'!F79*G79,0)</f>
        <v>30.43313791480648</v>
      </c>
      <c r="J79" s="284">
        <f t="shared" si="15"/>
        <v>9383093</v>
      </c>
      <c r="K79" s="44">
        <f t="shared" si="15"/>
        <v>11153808</v>
      </c>
      <c r="L79" s="252">
        <f>IF(J79=0, "    ---- ", IF(ABS(ROUND(100/J79*K79-100,1))&lt;999,ROUND(100/J79*K79-100,1),IF(ROUND(100/J79*K79-100,1)&gt;999,999,-999)))</f>
        <v>18.899999999999999</v>
      </c>
      <c r="M79" s="27">
        <f>IFERROR(100/'Skjema total MA'!I79*K79,0)</f>
        <v>30.397019435999646</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v>9383093</v>
      </c>
      <c r="G83" s="278">
        <v>11153808</v>
      </c>
      <c r="H83" s="165">
        <f>IF(F83=0, "    ---- ", IF(ABS(ROUND(100/F83*G83-100,1))&lt;999,ROUND(100/F83*G83-100,1),IF(ROUND(100/F83*G83-100,1)&gt;999,999,-999)))</f>
        <v>18.899999999999999</v>
      </c>
      <c r="I83" s="27">
        <f>IFERROR(100/'Skjema total MA'!F83*G83,0)</f>
        <v>30.43313791480648</v>
      </c>
      <c r="J83" s="284">
        <f t="shared" ref="J83" si="16">SUM(B83,F83)</f>
        <v>9383093</v>
      </c>
      <c r="K83" s="44">
        <f t="shared" ref="K83" si="17">SUM(C83,G83)</f>
        <v>11153808</v>
      </c>
      <c r="L83" s="252">
        <f>IF(J83=0, "    ---- ", IF(ABS(ROUND(100/J83*K83-100,1))&lt;999,ROUND(100/J83*K83-100,1),IF(ROUND(100/J83*K83-100,1)&gt;999,999,-999)))</f>
        <v>18.899999999999999</v>
      </c>
      <c r="M83" s="23">
        <f>IFERROR(100/'Skjema total MA'!I83*K83,0)</f>
        <v>30.397019435999646</v>
      </c>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v>9383093</v>
      </c>
      <c r="G85" s="278">
        <v>11153808</v>
      </c>
      <c r="H85" s="165">
        <f>IF(F85=0, "    ---- ", IF(ABS(ROUND(100/F85*G85-100,1))&lt;999,ROUND(100/F85*G85-100,1),IF(ROUND(100/F85*G85-100,1)&gt;999,999,-999)))</f>
        <v>18.899999999999999</v>
      </c>
      <c r="I85" s="27">
        <f>IFERROR(100/'Skjema total MA'!F85*G85,0)</f>
        <v>30.433144557747333</v>
      </c>
      <c r="J85" s="284">
        <f t="shared" ref="J85" si="18">SUM(B85,F85)</f>
        <v>9383093</v>
      </c>
      <c r="K85" s="44">
        <f t="shared" ref="K85" si="19">SUM(C85,G85)</f>
        <v>11153808</v>
      </c>
      <c r="L85" s="252">
        <f>IF(J85=0, "    ---- ", IF(ABS(ROUND(100/J85*K85-100,1))&lt;999,ROUND(100/J85*K85-100,1),IF(ROUND(100/J85*K85-100,1)&gt;999,999,-999)))</f>
        <v>18.899999999999999</v>
      </c>
      <c r="M85" s="23">
        <f>IFERROR(100/'Skjema total MA'!I85*K85,0)</f>
        <v>30.433144557747333</v>
      </c>
    </row>
    <row r="86" spans="1:13" ht="15.6" x14ac:dyDescent="0.25">
      <c r="A86" s="21" t="s">
        <v>462</v>
      </c>
      <c r="B86" s="232">
        <v>27161</v>
      </c>
      <c r="C86" s="144">
        <v>21306</v>
      </c>
      <c r="D86" s="165">
        <f>IF(B86=0, "    ---- ", IF(ABS(ROUND(100/B86*C86-100,1))&lt;999,ROUND(100/B86*C86-100,1),IF(ROUND(100/B86*C86-100,1)&gt;999,999,-999)))</f>
        <v>-21.6</v>
      </c>
      <c r="E86" s="27">
        <f>IFERROR(100/'Skjema total MA'!C86*C86,0)</f>
        <v>22.045018232511012</v>
      </c>
      <c r="F86" s="232"/>
      <c r="G86" s="144"/>
      <c r="H86" s="165"/>
      <c r="I86" s="27"/>
      <c r="J86" s="284">
        <f t="shared" ref="J86:K91" si="20">SUM(B86,F86)</f>
        <v>27161</v>
      </c>
      <c r="K86" s="44">
        <f t="shared" si="20"/>
        <v>21306</v>
      </c>
      <c r="L86" s="252">
        <f>IF(J86=0, "    ---- ", IF(ABS(ROUND(100/J86*K86-100,1))&lt;999,ROUND(100/J86*K86-100,1),IF(ROUND(100/J86*K86-100,1)&gt;999,999,-999)))</f>
        <v>-21.6</v>
      </c>
      <c r="M86" s="27">
        <f>IFERROR(100/'Skjema total MA'!I86*K86,0)</f>
        <v>19.599763012721116</v>
      </c>
    </row>
    <row r="87" spans="1:13" ht="15.6" x14ac:dyDescent="0.25">
      <c r="A87" s="13" t="s">
        <v>444</v>
      </c>
      <c r="B87" s="348">
        <v>155627194.35600001</v>
      </c>
      <c r="C87" s="348">
        <v>157785056</v>
      </c>
      <c r="D87" s="170">
        <f>IF(B87=0, "    ---- ", IF(ABS(ROUND(100/B87*C87-100,1))&lt;999,ROUND(100/B87*C87-100,1),IF(ROUND(100/B87*C87-100,1)&gt;999,999,-999)))</f>
        <v>1.4</v>
      </c>
      <c r="E87" s="11">
        <f>IFERROR(100/'Skjema total MA'!C87*C87,0)</f>
        <v>39.013459361439274</v>
      </c>
      <c r="F87" s="347">
        <v>98243481.718999997</v>
      </c>
      <c r="G87" s="347">
        <v>125884224.02114999</v>
      </c>
      <c r="H87" s="170">
        <f>IF(F87=0, "    ---- ", IF(ABS(ROUND(100/F87*G87-100,1))&lt;999,ROUND(100/F87*G87-100,1),IF(ROUND(100/F87*G87-100,1)&gt;999,999,-999)))</f>
        <v>28.1</v>
      </c>
      <c r="I87" s="11">
        <f>IFERROR(100/'Skjema total MA'!F87*G87,0)</f>
        <v>27.981582250823852</v>
      </c>
      <c r="J87" s="306">
        <f t="shared" si="20"/>
        <v>253870676.07499999</v>
      </c>
      <c r="K87" s="234">
        <f t="shared" si="20"/>
        <v>283669280.02114999</v>
      </c>
      <c r="L87" s="422">
        <f>IF(J87=0, "    ---- ", IF(ABS(ROUND(100/J87*K87-100,1))&lt;999,ROUND(100/J87*K87-100,1),IF(ROUND(100/J87*K87-100,1)&gt;999,999,-999)))</f>
        <v>11.7</v>
      </c>
      <c r="M87" s="11">
        <f>IFERROR(100/'Skjema total MA'!I87*K87,0)</f>
        <v>33.204104344436026</v>
      </c>
    </row>
    <row r="88" spans="1:13" x14ac:dyDescent="0.25">
      <c r="A88" s="21" t="s">
        <v>9</v>
      </c>
      <c r="B88" s="232">
        <v>155491624</v>
      </c>
      <c r="C88" s="144">
        <v>157596680</v>
      </c>
      <c r="D88" s="165">
        <f>IF(B88=0, "    ---- ", IF(ABS(ROUND(100/B88*C88-100,1))&lt;999,ROUND(100/B88*C88-100,1),IF(ROUND(100/B88*C88-100,1)&gt;999,999,-999)))</f>
        <v>1.4</v>
      </c>
      <c r="E88" s="27">
        <f>IFERROR(100/'Skjema total MA'!C88*C88,0)</f>
        <v>40.354339850178981</v>
      </c>
      <c r="F88" s="232"/>
      <c r="G88" s="144"/>
      <c r="H88" s="165"/>
      <c r="I88" s="27"/>
      <c r="J88" s="284">
        <f t="shared" si="20"/>
        <v>155491624</v>
      </c>
      <c r="K88" s="44">
        <f t="shared" si="20"/>
        <v>157596680</v>
      </c>
      <c r="L88" s="252">
        <f>IF(J88=0, "    ---- ", IF(ABS(ROUND(100/J88*K88-100,1))&lt;999,ROUND(100/J88*K88-100,1),IF(ROUND(100/J88*K88-100,1)&gt;999,999,-999)))</f>
        <v>1.4</v>
      </c>
      <c r="M88" s="27">
        <f>IFERROR(100/'Skjema total MA'!I88*K88,0)</f>
        <v>40.354339850178981</v>
      </c>
    </row>
    <row r="89" spans="1:13" x14ac:dyDescent="0.25">
      <c r="A89" s="21" t="s">
        <v>10</v>
      </c>
      <c r="B89" s="232">
        <v>95888</v>
      </c>
      <c r="C89" s="144">
        <v>138054</v>
      </c>
      <c r="D89" s="165">
        <f>IF(B89=0, "    ---- ", IF(ABS(ROUND(100/B89*C89-100,1))&lt;999,ROUND(100/B89*C89-100,1),IF(ROUND(100/B89*C89-100,1)&gt;999,999,-999)))</f>
        <v>44</v>
      </c>
      <c r="E89" s="27">
        <f>IFERROR(100/'Skjema total MA'!C89*C89,0)</f>
        <v>4.357032600185768</v>
      </c>
      <c r="F89" s="232">
        <v>98243481.718999997</v>
      </c>
      <c r="G89" s="144">
        <v>125884224.02114999</v>
      </c>
      <c r="H89" s="165">
        <f>IF(F89=0, "    ---- ", IF(ABS(ROUND(100/F89*G89-100,1))&lt;999,ROUND(100/F89*G89-100,1),IF(ROUND(100/F89*G89-100,1)&gt;999,999,-999)))</f>
        <v>28.1</v>
      </c>
      <c r="I89" s="27">
        <f>IFERROR(100/'Skjema total MA'!F89*G89,0)</f>
        <v>28.286381039196741</v>
      </c>
      <c r="J89" s="284">
        <f t="shared" si="20"/>
        <v>98339369.718999997</v>
      </c>
      <c r="K89" s="44">
        <f t="shared" si="20"/>
        <v>126022278.02114999</v>
      </c>
      <c r="L89" s="252">
        <f>IF(J89=0, "    ---- ", IF(ABS(ROUND(100/J89*K89-100,1))&lt;999,ROUND(100/J89*K89-100,1),IF(ROUND(100/J89*K89-100,1)&gt;999,999,-999)))</f>
        <v>28.2</v>
      </c>
      <c r="M89" s="27">
        <f>IFERROR(100/'Skjema total MA'!I89*K89,0)</f>
        <v>28.117214669492522</v>
      </c>
    </row>
    <row r="90" spans="1:13" ht="15.6" x14ac:dyDescent="0.25">
      <c r="A90" s="293" t="s">
        <v>459</v>
      </c>
      <c r="B90" s="278"/>
      <c r="C90" s="278"/>
      <c r="D90" s="165"/>
      <c r="E90" s="411"/>
      <c r="F90" s="278">
        <v>100750.96799999999</v>
      </c>
      <c r="G90" s="278">
        <v>101501</v>
      </c>
      <c r="H90" s="165">
        <f t="shared" ref="H90:H91" si="21">IF(F90=0, "    ---- ", IF(ABS(ROUND(100/F90*G90-100,1))&lt;999,ROUND(100/F90*G90-100,1),IF(ROUND(100/F90*G90-100,1)&gt;999,999,-999)))</f>
        <v>0.7</v>
      </c>
      <c r="I90" s="27">
        <f>IFERROR(100/'Skjema total MA'!F90*G90,0)</f>
        <v>88.057293067400039</v>
      </c>
      <c r="J90" s="284">
        <f t="shared" si="20"/>
        <v>100750.96799999999</v>
      </c>
      <c r="K90" s="44">
        <f t="shared" si="20"/>
        <v>101501</v>
      </c>
      <c r="L90" s="252">
        <f t="shared" ref="L90:L91" si="22">IF(J90=0, "    ---- ", IF(ABS(ROUND(100/J90*K90-100,1))&lt;999,ROUND(100/J90*K90-100,1),IF(ROUND(100/J90*K90-100,1)&gt;999,999,-999)))</f>
        <v>0.7</v>
      </c>
      <c r="M90" s="23">
        <f>IFERROR(100/'Skjema total MA'!I90*K90,0)</f>
        <v>88.057293067400039</v>
      </c>
    </row>
    <row r="91" spans="1:13" x14ac:dyDescent="0.25">
      <c r="A91" s="293" t="s">
        <v>12</v>
      </c>
      <c r="B91" s="233"/>
      <c r="C91" s="286"/>
      <c r="D91" s="165"/>
      <c r="E91" s="411"/>
      <c r="F91" s="278">
        <v>100750.96799999999</v>
      </c>
      <c r="G91" s="278">
        <v>101501</v>
      </c>
      <c r="H91" s="165">
        <f t="shared" si="21"/>
        <v>0.7</v>
      </c>
      <c r="I91" s="27">
        <f>IFERROR(100/'Skjema total MA'!F91*G91,0)</f>
        <v>100</v>
      </c>
      <c r="J91" s="284">
        <f t="shared" si="20"/>
        <v>100750.96799999999</v>
      </c>
      <c r="K91" s="44">
        <f t="shared" si="20"/>
        <v>101501</v>
      </c>
      <c r="L91" s="252">
        <f t="shared" si="22"/>
        <v>0.7</v>
      </c>
      <c r="M91" s="23">
        <f>IFERROR(100/'Skjema total MA'!I91*K91,0)</f>
        <v>100</v>
      </c>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v>95888</v>
      </c>
      <c r="C93" s="278">
        <v>138054</v>
      </c>
      <c r="D93" s="165">
        <f>IF(B93=0, "    ---- ", IF(ABS(ROUND(100/B93*C93-100,1))&lt;999,ROUND(100/B93*C93-100,1),IF(ROUND(100/B93*C93-100,1)&gt;999,999,-999)))</f>
        <v>44</v>
      </c>
      <c r="E93" s="27">
        <f>IFERROR(100/'Skjema total MA'!C93*C93,0)</f>
        <v>4.357032600185768</v>
      </c>
      <c r="F93" s="278">
        <v>98142730.751000002</v>
      </c>
      <c r="G93" s="278">
        <v>125782723.02114999</v>
      </c>
      <c r="H93" s="165">
        <f>IF(F93=0, "    ---- ", IF(ABS(ROUND(100/F93*G93-100,1))&lt;999,ROUND(100/F93*G93-100,1),IF(ROUND(100/F93*G93-100,1)&gt;999,999,-999)))</f>
        <v>28.2</v>
      </c>
      <c r="I93" s="27">
        <f>IFERROR(100/'Skjema total MA'!F93*G93,0)</f>
        <v>28.270895959218564</v>
      </c>
      <c r="J93" s="284">
        <f t="shared" ref="J93" si="23">SUM(B93,F93)</f>
        <v>98238618.751000002</v>
      </c>
      <c r="K93" s="44">
        <f t="shared" ref="K93" si="24">SUM(C93,G93)</f>
        <v>125920777.02114999</v>
      </c>
      <c r="L93" s="252">
        <f>IF(J93=0, "    ---- ", IF(ABS(ROUND(100/J93*K93-100,1))&lt;999,ROUND(100/J93*K93-100,1),IF(ROUND(100/J93*K93-100,1)&gt;999,999,-999)))</f>
        <v>28.2</v>
      </c>
      <c r="M93" s="23">
        <f>IFERROR(100/'Skjema total MA'!I93*K93,0)</f>
        <v>28.101795571376414</v>
      </c>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v>98142730.751000002</v>
      </c>
      <c r="G95" s="278">
        <v>125782723.02114999</v>
      </c>
      <c r="H95" s="165">
        <f>IF(F95=0, "    ---- ", IF(ABS(ROUND(100/F95*G95-100,1))&lt;999,ROUND(100/F95*G95-100,1),IF(ROUND(100/F95*G95-100,1)&gt;999,999,-999)))</f>
        <v>28.2</v>
      </c>
      <c r="I95" s="27">
        <f>IFERROR(100/'Skjema total MA'!F95*G95,0)</f>
        <v>28.319315998915698</v>
      </c>
      <c r="J95" s="284">
        <f t="shared" ref="J95" si="25">SUM(B95,F95)</f>
        <v>98142730.751000002</v>
      </c>
      <c r="K95" s="44">
        <f t="shared" ref="K95" si="26">SUM(C95,G95)</f>
        <v>125782723.02114999</v>
      </c>
      <c r="L95" s="252">
        <f>IF(J95=0, "    ---- ", IF(ABS(ROUND(100/J95*K95-100,1))&lt;999,ROUND(100/J95*K95-100,1),IF(ROUND(100/J95*K95-100,1)&gt;999,999,-999)))</f>
        <v>28.2</v>
      </c>
      <c r="M95" s="23">
        <f>IFERROR(100/'Skjema total MA'!I95*K95,0)</f>
        <v>28.319315998915698</v>
      </c>
    </row>
    <row r="96" spans="1:13" x14ac:dyDescent="0.25">
      <c r="A96" s="21" t="s">
        <v>346</v>
      </c>
      <c r="B96" s="232"/>
      <c r="C96" s="144"/>
      <c r="D96" s="165"/>
      <c r="E96" s="27"/>
      <c r="F96" s="232"/>
      <c r="G96" s="144"/>
      <c r="H96" s="165"/>
      <c r="I96" s="27"/>
      <c r="J96" s="284"/>
      <c r="K96" s="44"/>
      <c r="L96" s="252"/>
      <c r="M96" s="27"/>
    </row>
    <row r="97" spans="1:13" x14ac:dyDescent="0.25">
      <c r="A97" s="21" t="s">
        <v>345</v>
      </c>
      <c r="B97" s="232">
        <v>39682.356</v>
      </c>
      <c r="C97" s="144">
        <v>50322</v>
      </c>
      <c r="D97" s="165">
        <f>IF(B97=0, "    ---- ", IF(ABS(ROUND(100/B97*C97-100,1))&lt;999,ROUND(100/B97*C97-100,1),IF(ROUND(100/B97*C97-100,1)&gt;999,999,-999)))</f>
        <v>26.8</v>
      </c>
      <c r="E97" s="27">
        <f>IFERROR(100/'Skjema total MA'!C97*C97,0)</f>
        <v>0.63871740294202062</v>
      </c>
      <c r="F97" s="232"/>
      <c r="G97" s="144"/>
      <c r="H97" s="165"/>
      <c r="I97" s="27"/>
      <c r="J97" s="284">
        <f t="shared" ref="J97:K100" si="27">SUM(B97,F97)</f>
        <v>39682.356</v>
      </c>
      <c r="K97" s="44">
        <f t="shared" si="27"/>
        <v>50322</v>
      </c>
      <c r="L97" s="252">
        <f>IF(J97=0, "    ---- ", IF(ABS(ROUND(100/J97*K97-100,1))&lt;999,ROUND(100/J97*K97-100,1),IF(ROUND(100/J97*K97-100,1)&gt;999,999,-999)))</f>
        <v>26.8</v>
      </c>
      <c r="M97" s="27">
        <f>IFERROR(100/'Skjema total MA'!I97*K97,0)</f>
        <v>0.63871740294202062</v>
      </c>
    </row>
    <row r="98" spans="1:13" ht="15.6" x14ac:dyDescent="0.25">
      <c r="A98" s="21" t="s">
        <v>461</v>
      </c>
      <c r="B98" s="232">
        <v>154427527</v>
      </c>
      <c r="C98" s="232">
        <v>156603938</v>
      </c>
      <c r="D98" s="165">
        <f>IF(B98=0, "    ---- ", IF(ABS(ROUND(100/B98*C98-100,1))&lt;999,ROUND(100/B98*C98-100,1),IF(ROUND(100/B98*C98-100,1)&gt;999,999,-999)))</f>
        <v>1.4</v>
      </c>
      <c r="E98" s="27">
        <f>IFERROR(100/'Skjema total MA'!C98*C98,0)</f>
        <v>40.239010328495063</v>
      </c>
      <c r="F98" s="289">
        <v>98142730.751000002</v>
      </c>
      <c r="G98" s="289">
        <v>125782723.02114999</v>
      </c>
      <c r="H98" s="165">
        <f>IF(F98=0, "    ---- ", IF(ABS(ROUND(100/F98*G98-100,1))&lt;999,ROUND(100/F98*G98-100,1),IF(ROUND(100/F98*G98-100,1)&gt;999,999,-999)))</f>
        <v>28.2</v>
      </c>
      <c r="I98" s="27">
        <f>IFERROR(100/'Skjema total MA'!F98*G98,0)</f>
        <v>28.324791706117782</v>
      </c>
      <c r="J98" s="284">
        <f t="shared" si="27"/>
        <v>252570257.75099999</v>
      </c>
      <c r="K98" s="44">
        <f t="shared" si="27"/>
        <v>282386661.02114999</v>
      </c>
      <c r="L98" s="252">
        <f>IF(J98=0, "    ---- ", IF(ABS(ROUND(100/J98*K98-100,1))&lt;999,ROUND(100/J98*K98-100,1),IF(ROUND(100/J98*K98-100,1)&gt;999,999,-999)))</f>
        <v>11.8</v>
      </c>
      <c r="M98" s="27">
        <f>IFERROR(100/'Skjema total MA'!I98*K98,0)</f>
        <v>33.889492838018853</v>
      </c>
    </row>
    <row r="99" spans="1:13" x14ac:dyDescent="0.25">
      <c r="A99" s="21" t="s">
        <v>9</v>
      </c>
      <c r="B99" s="289">
        <v>154331639</v>
      </c>
      <c r="C99" s="290">
        <v>156465884</v>
      </c>
      <c r="D99" s="165">
        <f>IF(B99=0, "    ---- ", IF(ABS(ROUND(100/B99*C99-100,1))&lt;999,ROUND(100/B99*C99-100,1),IF(ROUND(100/B99*C99-100,1)&gt;999,999,-999)))</f>
        <v>1.4</v>
      </c>
      <c r="E99" s="27">
        <f>IFERROR(100/'Skjema total MA'!C99*C99,0)</f>
        <v>40.53354026009869</v>
      </c>
      <c r="F99" s="232"/>
      <c r="G99" s="144"/>
      <c r="H99" s="165"/>
      <c r="I99" s="27"/>
      <c r="J99" s="284">
        <f t="shared" si="27"/>
        <v>154331639</v>
      </c>
      <c r="K99" s="44">
        <f t="shared" si="27"/>
        <v>156465884</v>
      </c>
      <c r="L99" s="252">
        <f>IF(J99=0, "    ---- ", IF(ABS(ROUND(100/J99*K99-100,1))&lt;999,ROUND(100/J99*K99-100,1),IF(ROUND(100/J99*K99-100,1)&gt;999,999,-999)))</f>
        <v>1.4</v>
      </c>
      <c r="M99" s="27">
        <f>IFERROR(100/'Skjema total MA'!I99*K99,0)</f>
        <v>40.53354026009869</v>
      </c>
    </row>
    <row r="100" spans="1:13" x14ac:dyDescent="0.25">
      <c r="A100" s="38" t="s">
        <v>495</v>
      </c>
      <c r="B100" s="289">
        <v>95888</v>
      </c>
      <c r="C100" s="290">
        <v>138054</v>
      </c>
      <c r="D100" s="165">
        <f>IF(B100=0, "    ---- ", IF(ABS(ROUND(100/B100*C100-100,1))&lt;999,ROUND(100/B100*C100-100,1),IF(ROUND(100/B100*C100-100,1)&gt;999,999,-999)))</f>
        <v>44</v>
      </c>
      <c r="E100" s="27">
        <f>IFERROR(100/'Skjema total MA'!C100*C100,0)</f>
        <v>4.357032600185768</v>
      </c>
      <c r="F100" s="232">
        <v>98142730.751000002</v>
      </c>
      <c r="G100" s="232">
        <v>125782723.02114999</v>
      </c>
      <c r="H100" s="165">
        <f>IF(F100=0, "    ---- ", IF(ABS(ROUND(100/F100*G100-100,1))&lt;999,ROUND(100/F100*G100-100,1),IF(ROUND(100/F100*G100-100,1)&gt;999,999,-999)))</f>
        <v>28.2</v>
      </c>
      <c r="I100" s="27">
        <f>IFERROR(100/'Skjema total MA'!F100*G100,0)</f>
        <v>28.324791706117782</v>
      </c>
      <c r="J100" s="284">
        <f t="shared" si="27"/>
        <v>98238618.751000002</v>
      </c>
      <c r="K100" s="44">
        <f t="shared" si="27"/>
        <v>125920777.02114999</v>
      </c>
      <c r="L100" s="252">
        <f>IF(J100=0, "    ---- ", IF(ABS(ROUND(100/J100*K100-100,1))&lt;999,ROUND(100/J100*K100-100,1),IF(ROUND(100/J100*K100-100,1)&gt;999,999,-999)))</f>
        <v>28.2</v>
      </c>
      <c r="M100" s="27">
        <f>IFERROR(100/'Skjema total MA'!I100*K100,0)</f>
        <v>28.154989397993422</v>
      </c>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v>95888</v>
      </c>
      <c r="C104" s="278">
        <v>138054</v>
      </c>
      <c r="D104" s="165">
        <f>IF(B104=0, "    ---- ", IF(ABS(ROUND(100/B104*C104-100,1))&lt;999,ROUND(100/B104*C104-100,1),IF(ROUND(100/B104*C104-100,1)&gt;999,999,-999)))</f>
        <v>44</v>
      </c>
      <c r="E104" s="27">
        <f>IFERROR(100/'Skjema total MA'!C104*C104,0)</f>
        <v>4.357032600185768</v>
      </c>
      <c r="F104" s="278">
        <v>98142730.751000002</v>
      </c>
      <c r="G104" s="278">
        <v>125782723.02114999</v>
      </c>
      <c r="H104" s="165">
        <f>IF(F104=0, "    ---- ", IF(ABS(ROUND(100/F104*G104-100,1))&lt;999,ROUND(100/F104*G104-100,1),IF(ROUND(100/F104*G104-100,1)&gt;999,999,-999)))</f>
        <v>28.2</v>
      </c>
      <c r="I104" s="27">
        <f>IFERROR(100/'Skjema total MA'!F104*G104,0)</f>
        <v>28.324791706117782</v>
      </c>
      <c r="J104" s="284">
        <f t="shared" ref="J104" si="28">SUM(B104,F104)</f>
        <v>98238618.751000002</v>
      </c>
      <c r="K104" s="44">
        <f t="shared" ref="K104" si="29">SUM(C104,G104)</f>
        <v>125920777.02114999</v>
      </c>
      <c r="L104" s="252">
        <f>IF(J104=0, "    ---- ", IF(ABS(ROUND(100/J104*K104-100,1))&lt;999,ROUND(100/J104*K104-100,1),IF(ROUND(100/J104*K104-100,1)&gt;999,999,-999)))</f>
        <v>28.2</v>
      </c>
      <c r="M104" s="23">
        <f>IFERROR(100/'Skjema total MA'!I104*K104,0)</f>
        <v>28.154989397993422</v>
      </c>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v>98142730.751000002</v>
      </c>
      <c r="G106" s="278">
        <v>125782723.02114999</v>
      </c>
      <c r="H106" s="165">
        <f>IF(F106=0, "    ---- ", IF(ABS(ROUND(100/F106*G106-100,1))&lt;999,ROUND(100/F106*G106-100,1),IF(ROUND(100/F106*G106-100,1)&gt;999,999,-999)))</f>
        <v>28.2</v>
      </c>
      <c r="I106" s="27">
        <f>IFERROR(100/'Skjema total MA'!F106*G106,0)</f>
        <v>28.324797591478255</v>
      </c>
      <c r="J106" s="284">
        <f t="shared" ref="J106" si="30">SUM(B106,F106)</f>
        <v>98142730.751000002</v>
      </c>
      <c r="K106" s="44">
        <f t="shared" ref="K106" si="31">SUM(C106,G106)</f>
        <v>125782723.02114999</v>
      </c>
      <c r="L106" s="252">
        <f>IF(J106=0, "    ---- ", IF(ABS(ROUND(100/J106*K106-100,1))&lt;999,ROUND(100/J106*K106-100,1),IF(ROUND(100/J106*K106-100,1)&gt;999,999,-999)))</f>
        <v>28.2</v>
      </c>
      <c r="M106" s="23">
        <f>IFERROR(100/'Skjema total MA'!I106*K106,0)</f>
        <v>28.324797591478255</v>
      </c>
    </row>
    <row r="107" spans="1:13" ht="15.6" x14ac:dyDescent="0.25">
      <c r="A107" s="21" t="s">
        <v>462</v>
      </c>
      <c r="B107" s="232">
        <v>1159985.0260000001</v>
      </c>
      <c r="C107" s="144">
        <v>1130795.58</v>
      </c>
      <c r="D107" s="165">
        <f>IF(B107=0, "    ---- ", IF(ABS(ROUND(100/B107*C107-100,1))&lt;999,ROUND(100/B107*C107-100,1),IF(ROUND(100/B107*C107-100,1)&gt;999,999,-999)))</f>
        <v>-2.5</v>
      </c>
      <c r="E107" s="27">
        <f>IFERROR(100/'Skjema total MA'!C107*C107,0)</f>
        <v>25.037894629660684</v>
      </c>
      <c r="F107" s="232">
        <v>100750.96799999999</v>
      </c>
      <c r="G107" s="144">
        <v>101501</v>
      </c>
      <c r="H107" s="165">
        <f>IF(F107=0, "    ---- ", IF(ABS(ROUND(100/F107*G107-100,1))&lt;999,ROUND(100/F107*G107-100,1),IF(ROUND(100/F107*G107-100,1)&gt;999,999,-999)))</f>
        <v>0.7</v>
      </c>
      <c r="I107" s="27">
        <f>IFERROR(100/'Skjema total MA'!F107*G107,0)</f>
        <v>10.552692484772594</v>
      </c>
      <c r="J107" s="284">
        <f t="shared" ref="J107:K111" si="32">SUM(B107,F107)</f>
        <v>1260735.9939999999</v>
      </c>
      <c r="K107" s="44">
        <f t="shared" si="32"/>
        <v>1232296.58</v>
      </c>
      <c r="L107" s="252">
        <f>IF(J107=0, "    ---- ", IF(ABS(ROUND(100/J107*K107-100,1))&lt;999,ROUND(100/J107*K107-100,1),IF(ROUND(100/J107*K107-100,1)&gt;999,999,-999)))</f>
        <v>-2.2999999999999998</v>
      </c>
      <c r="M107" s="27">
        <f>IFERROR(100/'Skjema total MA'!I107*K107,0)</f>
        <v>22.494610752973337</v>
      </c>
    </row>
    <row r="108" spans="1:13" ht="15.6" x14ac:dyDescent="0.25">
      <c r="A108" s="21" t="s">
        <v>463</v>
      </c>
      <c r="B108" s="232">
        <v>136104325.31890199</v>
      </c>
      <c r="C108" s="232">
        <v>140018824.312125</v>
      </c>
      <c r="D108" s="165">
        <f>IF(B108=0, "    ---- ", IF(ABS(ROUND(100/B108*C108-100,1))&lt;999,ROUND(100/B108*C108-100,1),IF(ROUND(100/B108*C108-100,1)&gt;999,999,-999)))</f>
        <v>2.9</v>
      </c>
      <c r="E108" s="27">
        <f>IFERROR(100/'Skjema total MA'!C108*C108,0)</f>
        <v>41.624208947511462</v>
      </c>
      <c r="F108" s="232">
        <v>691103.30099999998</v>
      </c>
      <c r="G108" s="232">
        <v>943605</v>
      </c>
      <c r="H108" s="165">
        <f>IF(F108=0, "    ---- ", IF(ABS(ROUND(100/F108*G108-100,1))&lt;999,ROUND(100/F108*G108-100,1),IF(ROUND(100/F108*G108-100,1)&gt;999,999,-999)))</f>
        <v>36.5</v>
      </c>
      <c r="I108" s="27">
        <f>IFERROR(100/'Skjema total MA'!F108*G108,0)</f>
        <v>4.4817759908272699</v>
      </c>
      <c r="J108" s="284">
        <f t="shared" si="32"/>
        <v>136795428.61990198</v>
      </c>
      <c r="K108" s="44">
        <f t="shared" si="32"/>
        <v>140962429.312125</v>
      </c>
      <c r="L108" s="252">
        <f>IF(J108=0, "    ---- ", IF(ABS(ROUND(100/J108*K108-100,1))&lt;999,ROUND(100/J108*K108-100,1),IF(ROUND(100/J108*K108-100,1)&gt;999,999,-999)))</f>
        <v>3</v>
      </c>
      <c r="M108" s="27">
        <f>IFERROR(100/'Skjema total MA'!I108*K108,0)</f>
        <v>39.436424202780522</v>
      </c>
    </row>
    <row r="109" spans="1:13" ht="15.75" customHeight="1" x14ac:dyDescent="0.25">
      <c r="A109" s="21" t="s">
        <v>510</v>
      </c>
      <c r="B109" s="232">
        <v>95888</v>
      </c>
      <c r="C109" s="232">
        <v>138054</v>
      </c>
      <c r="D109" s="165">
        <f>IF(B109=0, "    ---- ", IF(ABS(ROUND(100/B109*C109-100,1))&lt;999,ROUND(100/B109*C109-100,1),IF(ROUND(100/B109*C109-100,1)&gt;999,999,-999)))</f>
        <v>44</v>
      </c>
      <c r="E109" s="27">
        <f>IFERROR(100/'Skjema total MA'!C109*C109,0)</f>
        <v>8.3683880876140808</v>
      </c>
      <c r="F109" s="232">
        <v>35630782.989</v>
      </c>
      <c r="G109" s="232">
        <v>43130019</v>
      </c>
      <c r="H109" s="165">
        <f>IF(F109=0, "    ---- ", IF(ABS(ROUND(100/F109*G109-100,1))&lt;999,ROUND(100/F109*G109-100,1),IF(ROUND(100/F109*G109-100,1)&gt;999,999,-999)))</f>
        <v>21</v>
      </c>
      <c r="I109" s="27">
        <f>IFERROR(100/'Skjema total MA'!F109*G109,0)</f>
        <v>27.77472634741828</v>
      </c>
      <c r="J109" s="284">
        <f t="shared" si="32"/>
        <v>35726670.989</v>
      </c>
      <c r="K109" s="44">
        <f t="shared" si="32"/>
        <v>43268073</v>
      </c>
      <c r="L109" s="252">
        <f>IF(J109=0, "    ---- ", IF(ABS(ROUND(100/J109*K109-100,1))&lt;999,ROUND(100/J109*K109-100,1),IF(ROUND(100/J109*K109-100,1)&gt;999,999,-999)))</f>
        <v>21.1</v>
      </c>
      <c r="M109" s="27">
        <f>IFERROR(100/'Skjema total MA'!I109*K109,0)</f>
        <v>27.570725757376469</v>
      </c>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v>220615.82243</v>
      </c>
      <c r="C111" s="158">
        <v>328205.85638999997</v>
      </c>
      <c r="D111" s="170">
        <f>IF(B111=0, "    ---- ", IF(ABS(ROUND(100/B111*C111-100,1))&lt;999,ROUND(100/B111*C111-100,1),IF(ROUND(100/B111*C111-100,1)&gt;999,999,-999)))</f>
        <v>48.8</v>
      </c>
      <c r="E111" s="11">
        <f>IFERROR(100/'Skjema total MA'!C111*C111,0)</f>
        <v>57.793438544975004</v>
      </c>
      <c r="F111" s="305">
        <v>2806734</v>
      </c>
      <c r="G111" s="158">
        <v>30639878</v>
      </c>
      <c r="H111" s="170">
        <f>IF(F111=0, "    ---- ", IF(ABS(ROUND(100/F111*G111-100,1))&lt;999,ROUND(100/F111*G111-100,1),IF(ROUND(100/F111*G111-100,1)&gt;999,999,-999)))</f>
        <v>991.7</v>
      </c>
      <c r="I111" s="11">
        <f>IFERROR(100/'Skjema total MA'!F111*G111,0)</f>
        <v>36.387369928368095</v>
      </c>
      <c r="J111" s="306">
        <f t="shared" si="32"/>
        <v>3027349.8224300002</v>
      </c>
      <c r="K111" s="234">
        <f t="shared" si="32"/>
        <v>30968083.856389999</v>
      </c>
      <c r="L111" s="422">
        <f>IF(J111=0, "    ---- ", IF(ABS(ROUND(100/J111*K111-100,1))&lt;999,ROUND(100/J111*K111-100,1),IF(ROUND(100/J111*K111-100,1)&gt;999,999,-999)))</f>
        <v>922.9</v>
      </c>
      <c r="M111" s="11">
        <f>IFERROR(100/'Skjema total MA'!I111*K111,0)</f>
        <v>36.530769943220527</v>
      </c>
    </row>
    <row r="112" spans="1:13" x14ac:dyDescent="0.25">
      <c r="A112" s="21" t="s">
        <v>9</v>
      </c>
      <c r="B112" s="232">
        <v>220615.82243</v>
      </c>
      <c r="C112" s="144">
        <v>328205.85638999997</v>
      </c>
      <c r="D112" s="165">
        <f t="shared" ref="D112:D124" si="33">IF(B112=0, "    ---- ", IF(ABS(ROUND(100/B112*C112-100,1))&lt;999,ROUND(100/B112*C112-100,1),IF(ROUND(100/B112*C112-100,1)&gt;999,999,-999)))</f>
        <v>48.8</v>
      </c>
      <c r="E112" s="27">
        <f>IFERROR(100/'Skjema total MA'!C112*C112,0)</f>
        <v>74.262241575037308</v>
      </c>
      <c r="F112" s="232"/>
      <c r="G112" s="144"/>
      <c r="H112" s="165"/>
      <c r="I112" s="27"/>
      <c r="J112" s="284">
        <f t="shared" ref="J112:K125" si="34">SUM(B112,F112)</f>
        <v>220615.82243</v>
      </c>
      <c r="K112" s="44">
        <f t="shared" si="34"/>
        <v>328205.85638999997</v>
      </c>
      <c r="L112" s="252">
        <f t="shared" ref="L112:L125" si="35">IF(J112=0, "    ---- ", IF(ABS(ROUND(100/J112*K112-100,1))&lt;999,ROUND(100/J112*K112-100,1),IF(ROUND(100/J112*K112-100,1)&gt;999,999,-999)))</f>
        <v>48.8</v>
      </c>
      <c r="M112" s="27">
        <f>IFERROR(100/'Skjema total MA'!I112*K112,0)</f>
        <v>72.38928454605562</v>
      </c>
    </row>
    <row r="113" spans="1:14" x14ac:dyDescent="0.25">
      <c r="A113" s="21" t="s">
        <v>495</v>
      </c>
      <c r="B113" s="232"/>
      <c r="C113" s="144"/>
      <c r="D113" s="165"/>
      <c r="E113" s="27"/>
      <c r="F113" s="232">
        <v>2806734</v>
      </c>
      <c r="G113" s="144">
        <v>30639878</v>
      </c>
      <c r="H113" s="165">
        <f t="shared" ref="H113:H125" si="36">IF(F113=0, "    ---- ", IF(ABS(ROUND(100/F113*G113-100,1))&lt;999,ROUND(100/F113*G113-100,1),IF(ROUND(100/F113*G113-100,1)&gt;999,999,-999)))</f>
        <v>991.7</v>
      </c>
      <c r="I113" s="27">
        <f>IFERROR(100/'Skjema total MA'!F113*G113,0)</f>
        <v>36.392311955008672</v>
      </c>
      <c r="J113" s="284">
        <f t="shared" si="34"/>
        <v>2806734</v>
      </c>
      <c r="K113" s="44">
        <f t="shared" si="34"/>
        <v>30639878</v>
      </c>
      <c r="L113" s="252">
        <f t="shared" si="35"/>
        <v>991.7</v>
      </c>
      <c r="M113" s="27">
        <f>IFERROR(100/'Skjema total MA'!I113*K113,0)</f>
        <v>36.392204166486934</v>
      </c>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v>68743.774999999994</v>
      </c>
      <c r="C116" s="232">
        <v>77244</v>
      </c>
      <c r="D116" s="165">
        <f t="shared" si="33"/>
        <v>12.4</v>
      </c>
      <c r="E116" s="27">
        <f>IFERROR(100/'Skjema total MA'!C116*C116,0)</f>
        <v>66.120405573898282</v>
      </c>
      <c r="F116" s="232"/>
      <c r="G116" s="232"/>
      <c r="H116" s="165"/>
      <c r="I116" s="27"/>
      <c r="J116" s="284">
        <f t="shared" si="34"/>
        <v>68743.774999999994</v>
      </c>
      <c r="K116" s="44">
        <f t="shared" si="34"/>
        <v>77244</v>
      </c>
      <c r="L116" s="252">
        <f t="shared" si="35"/>
        <v>12.4</v>
      </c>
      <c r="M116" s="27">
        <f>IFERROR(100/'Skjema total MA'!I116*K116,0)</f>
        <v>60.225424380962686</v>
      </c>
    </row>
    <row r="117" spans="1:14" ht="15.75" customHeight="1" x14ac:dyDescent="0.25">
      <c r="A117" s="21" t="s">
        <v>510</v>
      </c>
      <c r="B117" s="232"/>
      <c r="C117" s="232"/>
      <c r="D117" s="165"/>
      <c r="E117" s="27"/>
      <c r="F117" s="232">
        <v>767307.74899999995</v>
      </c>
      <c r="G117" s="232">
        <v>25672480.656199999</v>
      </c>
      <c r="H117" s="165">
        <f t="shared" si="36"/>
        <v>999</v>
      </c>
      <c r="I117" s="27">
        <f>IFERROR(100/'Skjema total MA'!F117*G117,0)</f>
        <v>37.080478667441582</v>
      </c>
      <c r="J117" s="284">
        <f t="shared" si="34"/>
        <v>767307.74899999995</v>
      </c>
      <c r="K117" s="44">
        <f t="shared" si="34"/>
        <v>25672480.656199999</v>
      </c>
      <c r="L117" s="252">
        <f t="shared" si="35"/>
        <v>999</v>
      </c>
      <c r="M117" s="27">
        <f>IFERROR(100/'Skjema total MA'!I117*K117,0)</f>
        <v>37.080478667441582</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v>390187</v>
      </c>
      <c r="C119" s="158">
        <v>98189</v>
      </c>
      <c r="D119" s="170">
        <f t="shared" si="33"/>
        <v>-74.8</v>
      </c>
      <c r="E119" s="11">
        <f>IFERROR(100/'Skjema total MA'!C119*C119,0)</f>
        <v>18.762358952641165</v>
      </c>
      <c r="F119" s="305">
        <v>6027479</v>
      </c>
      <c r="G119" s="158">
        <v>31915445</v>
      </c>
      <c r="H119" s="170">
        <f t="shared" si="36"/>
        <v>429.5</v>
      </c>
      <c r="I119" s="11">
        <f>IFERROR(100/'Skjema total MA'!F119*G119,0)</f>
        <v>34.977013639197907</v>
      </c>
      <c r="J119" s="306">
        <f t="shared" si="34"/>
        <v>6417666</v>
      </c>
      <c r="K119" s="234">
        <f t="shared" si="34"/>
        <v>32013634</v>
      </c>
      <c r="L119" s="422">
        <f t="shared" si="35"/>
        <v>398.8</v>
      </c>
      <c r="M119" s="11">
        <f>IFERROR(100/'Skjema total MA'!I119*K119,0)</f>
        <v>34.88454781966184</v>
      </c>
    </row>
    <row r="120" spans="1:14" x14ac:dyDescent="0.25">
      <c r="A120" s="21" t="s">
        <v>9</v>
      </c>
      <c r="B120" s="232">
        <v>390187</v>
      </c>
      <c r="C120" s="144">
        <v>98189</v>
      </c>
      <c r="D120" s="165">
        <f t="shared" si="33"/>
        <v>-74.8</v>
      </c>
      <c r="E120" s="27">
        <f>IFERROR(100/'Skjema total MA'!C120*C120,0)</f>
        <v>27.671884911271757</v>
      </c>
      <c r="F120" s="232"/>
      <c r="G120" s="144"/>
      <c r="H120" s="165"/>
      <c r="I120" s="27"/>
      <c r="J120" s="284">
        <f t="shared" si="34"/>
        <v>390187</v>
      </c>
      <c r="K120" s="44">
        <f t="shared" si="34"/>
        <v>98189</v>
      </c>
      <c r="L120" s="252">
        <f t="shared" si="35"/>
        <v>-74.8</v>
      </c>
      <c r="M120" s="27">
        <f>IFERROR(100/'Skjema total MA'!I120*K120,0)</f>
        <v>27.671884911271757</v>
      </c>
    </row>
    <row r="121" spans="1:14" x14ac:dyDescent="0.25">
      <c r="A121" s="21" t="s">
        <v>495</v>
      </c>
      <c r="B121" s="232"/>
      <c r="C121" s="144"/>
      <c r="D121" s="165"/>
      <c r="E121" s="27"/>
      <c r="F121" s="232">
        <v>6027479</v>
      </c>
      <c r="G121" s="144">
        <v>31915445</v>
      </c>
      <c r="H121" s="165">
        <f t="shared" si="36"/>
        <v>429.5</v>
      </c>
      <c r="I121" s="27">
        <f>IFERROR(100/'Skjema total MA'!F121*G121,0)</f>
        <v>34.977013639197907</v>
      </c>
      <c r="J121" s="284">
        <f t="shared" si="34"/>
        <v>6027479</v>
      </c>
      <c r="K121" s="44">
        <f t="shared" si="34"/>
        <v>31915445</v>
      </c>
      <c r="L121" s="252">
        <f t="shared" si="35"/>
        <v>429.5</v>
      </c>
      <c r="M121" s="27">
        <f>IFERROR(100/'Skjema total MA'!I121*K121,0)</f>
        <v>34.97195857867564</v>
      </c>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v>56060.413999999997</v>
      </c>
      <c r="C124" s="232">
        <v>31897</v>
      </c>
      <c r="D124" s="165">
        <f t="shared" si="33"/>
        <v>-43.1</v>
      </c>
      <c r="E124" s="27">
        <f>IFERROR(100/'Skjema total MA'!C124*C124,0)</f>
        <v>83.29084404435082</v>
      </c>
      <c r="F124" s="232"/>
      <c r="G124" s="232"/>
      <c r="H124" s="165"/>
      <c r="I124" s="27"/>
      <c r="J124" s="284">
        <f t="shared" si="34"/>
        <v>56060.413999999997</v>
      </c>
      <c r="K124" s="44">
        <f t="shared" si="34"/>
        <v>31897</v>
      </c>
      <c r="L124" s="252">
        <f t="shared" si="35"/>
        <v>-43.1</v>
      </c>
      <c r="M124" s="27">
        <f>IFERROR(100/'Skjema total MA'!I124*K124,0)</f>
        <v>37.968294278099371</v>
      </c>
    </row>
    <row r="125" spans="1:14" ht="15.75" customHeight="1" x14ac:dyDescent="0.25">
      <c r="A125" s="21" t="s">
        <v>510</v>
      </c>
      <c r="B125" s="232"/>
      <c r="C125" s="232"/>
      <c r="D125" s="165"/>
      <c r="E125" s="27"/>
      <c r="F125" s="232">
        <v>1004527.12</v>
      </c>
      <c r="G125" s="232">
        <v>26178536.009830002</v>
      </c>
      <c r="H125" s="165">
        <f t="shared" si="36"/>
        <v>999</v>
      </c>
      <c r="I125" s="27">
        <f>IFERROR(100/'Skjema total MA'!F125*G125,0)</f>
        <v>36.284869698713251</v>
      </c>
      <c r="J125" s="284">
        <f t="shared" si="34"/>
        <v>1004527.12</v>
      </c>
      <c r="K125" s="44">
        <f t="shared" si="34"/>
        <v>26178536.009830002</v>
      </c>
      <c r="L125" s="252">
        <f t="shared" si="35"/>
        <v>999</v>
      </c>
      <c r="M125" s="27">
        <f>IFERROR(100/'Skjema total MA'!I125*K125,0)</f>
        <v>36.28364808151575</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310" priority="132">
      <formula>kvartal &lt; 4</formula>
    </cfRule>
  </conditionalFormatting>
  <conditionalFormatting sqref="B69">
    <cfRule type="expression" dxfId="2309" priority="100">
      <formula>kvartal &lt; 4</formula>
    </cfRule>
  </conditionalFormatting>
  <conditionalFormatting sqref="C69">
    <cfRule type="expression" dxfId="2308" priority="99">
      <formula>kvartal &lt; 4</formula>
    </cfRule>
  </conditionalFormatting>
  <conditionalFormatting sqref="B72">
    <cfRule type="expression" dxfId="2307" priority="98">
      <formula>kvartal &lt; 4</formula>
    </cfRule>
  </conditionalFormatting>
  <conditionalFormatting sqref="C72">
    <cfRule type="expression" dxfId="2306" priority="97">
      <formula>kvartal &lt; 4</formula>
    </cfRule>
  </conditionalFormatting>
  <conditionalFormatting sqref="B80">
    <cfRule type="expression" dxfId="2305" priority="96">
      <formula>kvartal &lt; 4</formula>
    </cfRule>
  </conditionalFormatting>
  <conditionalFormatting sqref="C80">
    <cfRule type="expression" dxfId="2304" priority="95">
      <formula>kvartal &lt; 4</formula>
    </cfRule>
  </conditionalFormatting>
  <conditionalFormatting sqref="B83">
    <cfRule type="expression" dxfId="2303" priority="94">
      <formula>kvartal &lt; 4</formula>
    </cfRule>
  </conditionalFormatting>
  <conditionalFormatting sqref="C83">
    <cfRule type="expression" dxfId="2302" priority="93">
      <formula>kvartal &lt; 4</formula>
    </cfRule>
  </conditionalFormatting>
  <conditionalFormatting sqref="B90">
    <cfRule type="expression" dxfId="2301" priority="84">
      <formula>kvartal &lt; 4</formula>
    </cfRule>
  </conditionalFormatting>
  <conditionalFormatting sqref="C90">
    <cfRule type="expression" dxfId="2300" priority="83">
      <formula>kvartal &lt; 4</formula>
    </cfRule>
  </conditionalFormatting>
  <conditionalFormatting sqref="B93">
    <cfRule type="expression" dxfId="2299" priority="82">
      <formula>kvartal &lt; 4</formula>
    </cfRule>
  </conditionalFormatting>
  <conditionalFormatting sqref="C93">
    <cfRule type="expression" dxfId="2298" priority="81">
      <formula>kvartal &lt; 4</formula>
    </cfRule>
  </conditionalFormatting>
  <conditionalFormatting sqref="B101">
    <cfRule type="expression" dxfId="2297" priority="80">
      <formula>kvartal &lt; 4</formula>
    </cfRule>
  </conditionalFormatting>
  <conditionalFormatting sqref="C101">
    <cfRule type="expression" dxfId="2296" priority="79">
      <formula>kvartal &lt; 4</formula>
    </cfRule>
  </conditionalFormatting>
  <conditionalFormatting sqref="B104">
    <cfRule type="expression" dxfId="2295" priority="78">
      <formula>kvartal &lt; 4</formula>
    </cfRule>
  </conditionalFormatting>
  <conditionalFormatting sqref="C104">
    <cfRule type="expression" dxfId="2294" priority="77">
      <formula>kvartal &lt; 4</formula>
    </cfRule>
  </conditionalFormatting>
  <conditionalFormatting sqref="B115">
    <cfRule type="expression" dxfId="2293" priority="76">
      <formula>kvartal &lt; 4</formula>
    </cfRule>
  </conditionalFormatting>
  <conditionalFormatting sqref="C115">
    <cfRule type="expression" dxfId="2292" priority="75">
      <formula>kvartal &lt; 4</formula>
    </cfRule>
  </conditionalFormatting>
  <conditionalFormatting sqref="B123">
    <cfRule type="expression" dxfId="2291" priority="74">
      <formula>kvartal &lt; 4</formula>
    </cfRule>
  </conditionalFormatting>
  <conditionalFormatting sqref="C123">
    <cfRule type="expression" dxfId="2290" priority="73">
      <formula>kvartal &lt; 4</formula>
    </cfRule>
  </conditionalFormatting>
  <conditionalFormatting sqref="F70">
    <cfRule type="expression" dxfId="2289" priority="72">
      <formula>kvartal &lt; 4</formula>
    </cfRule>
  </conditionalFormatting>
  <conditionalFormatting sqref="G70">
    <cfRule type="expression" dxfId="2288" priority="71">
      <formula>kvartal &lt; 4</formula>
    </cfRule>
  </conditionalFormatting>
  <conditionalFormatting sqref="F71:G71">
    <cfRule type="expression" dxfId="2287" priority="70">
      <formula>kvartal &lt; 4</formula>
    </cfRule>
  </conditionalFormatting>
  <conditionalFormatting sqref="F73:G74">
    <cfRule type="expression" dxfId="2286" priority="69">
      <formula>kvartal &lt; 4</formula>
    </cfRule>
  </conditionalFormatting>
  <conditionalFormatting sqref="F81:G82">
    <cfRule type="expression" dxfId="2285" priority="68">
      <formula>kvartal &lt; 4</formula>
    </cfRule>
  </conditionalFormatting>
  <conditionalFormatting sqref="F84:G85">
    <cfRule type="expression" dxfId="2284" priority="67">
      <formula>kvartal &lt; 4</formula>
    </cfRule>
  </conditionalFormatting>
  <conditionalFormatting sqref="F91:G92">
    <cfRule type="expression" dxfId="2283" priority="62">
      <formula>kvartal &lt; 4</formula>
    </cfRule>
  </conditionalFormatting>
  <conditionalFormatting sqref="F94:G95">
    <cfRule type="expression" dxfId="2282" priority="61">
      <formula>kvartal &lt; 4</formula>
    </cfRule>
  </conditionalFormatting>
  <conditionalFormatting sqref="F102:G103">
    <cfRule type="expression" dxfId="2281" priority="60">
      <formula>kvartal &lt; 4</formula>
    </cfRule>
  </conditionalFormatting>
  <conditionalFormatting sqref="F105:G106">
    <cfRule type="expression" dxfId="2280" priority="59">
      <formula>kvartal &lt; 4</formula>
    </cfRule>
  </conditionalFormatting>
  <conditionalFormatting sqref="F115">
    <cfRule type="expression" dxfId="2279" priority="58">
      <formula>kvartal &lt; 4</formula>
    </cfRule>
  </conditionalFormatting>
  <conditionalFormatting sqref="G115">
    <cfRule type="expression" dxfId="2278" priority="57">
      <formula>kvartal &lt; 4</formula>
    </cfRule>
  </conditionalFormatting>
  <conditionalFormatting sqref="F123:G123">
    <cfRule type="expression" dxfId="2277" priority="56">
      <formula>kvartal &lt; 4</formula>
    </cfRule>
  </conditionalFormatting>
  <conditionalFormatting sqref="F69:G69">
    <cfRule type="expression" dxfId="2276" priority="55">
      <formula>kvartal &lt; 4</formula>
    </cfRule>
  </conditionalFormatting>
  <conditionalFormatting sqref="F72:G72">
    <cfRule type="expression" dxfId="2275" priority="54">
      <formula>kvartal &lt; 4</formula>
    </cfRule>
  </conditionalFormatting>
  <conditionalFormatting sqref="F80:G80">
    <cfRule type="expression" dxfId="2274" priority="53">
      <formula>kvartal &lt; 4</formula>
    </cfRule>
  </conditionalFormatting>
  <conditionalFormatting sqref="F83:G83">
    <cfRule type="expression" dxfId="2273" priority="52">
      <formula>kvartal &lt; 4</formula>
    </cfRule>
  </conditionalFormatting>
  <conditionalFormatting sqref="F90:G90">
    <cfRule type="expression" dxfId="2272" priority="46">
      <formula>kvartal &lt; 4</formula>
    </cfRule>
  </conditionalFormatting>
  <conditionalFormatting sqref="F93">
    <cfRule type="expression" dxfId="2271" priority="45">
      <formula>kvartal &lt; 4</formula>
    </cfRule>
  </conditionalFormatting>
  <conditionalFormatting sqref="G93">
    <cfRule type="expression" dxfId="2270" priority="44">
      <formula>kvartal &lt; 4</formula>
    </cfRule>
  </conditionalFormatting>
  <conditionalFormatting sqref="F101">
    <cfRule type="expression" dxfId="2269" priority="43">
      <formula>kvartal &lt; 4</formula>
    </cfRule>
  </conditionalFormatting>
  <conditionalFormatting sqref="G101">
    <cfRule type="expression" dxfId="2268" priority="42">
      <formula>kvartal &lt; 4</formula>
    </cfRule>
  </conditionalFormatting>
  <conditionalFormatting sqref="G104">
    <cfRule type="expression" dxfId="2267" priority="41">
      <formula>kvartal &lt; 4</formula>
    </cfRule>
  </conditionalFormatting>
  <conditionalFormatting sqref="F104">
    <cfRule type="expression" dxfId="2266" priority="40">
      <formula>kvartal &lt; 4</formula>
    </cfRule>
  </conditionalFormatting>
  <conditionalFormatting sqref="J69:K71 J73:K73">
    <cfRule type="expression" dxfId="2265" priority="39">
      <formula>kvartal &lt; 4</formula>
    </cfRule>
  </conditionalFormatting>
  <conditionalFormatting sqref="J80:K82 J84:K84">
    <cfRule type="expression" dxfId="2264" priority="37">
      <formula>kvartal &lt; 4</formula>
    </cfRule>
  </conditionalFormatting>
  <conditionalFormatting sqref="J92:K92 J94:K94">
    <cfRule type="expression" dxfId="2263" priority="34">
      <formula>kvartal &lt; 4</formula>
    </cfRule>
  </conditionalFormatting>
  <conditionalFormatting sqref="J101:K103 J105:K105">
    <cfRule type="expression" dxfId="2262" priority="33">
      <formula>kvartal &lt; 4</formula>
    </cfRule>
  </conditionalFormatting>
  <conditionalFormatting sqref="J115:K115">
    <cfRule type="expression" dxfId="2261" priority="32">
      <formula>kvartal &lt; 4</formula>
    </cfRule>
  </conditionalFormatting>
  <conditionalFormatting sqref="J123:K123">
    <cfRule type="expression" dxfId="2260" priority="31">
      <formula>kvartal &lt; 4</formula>
    </cfRule>
  </conditionalFormatting>
  <conditionalFormatting sqref="A50:A52">
    <cfRule type="expression" dxfId="2259" priority="12">
      <formula>kvartal &lt; 4</formula>
    </cfRule>
  </conditionalFormatting>
  <conditionalFormatting sqref="A69:A74">
    <cfRule type="expression" dxfId="2258" priority="10">
      <formula>kvartal &lt; 4</formula>
    </cfRule>
  </conditionalFormatting>
  <conditionalFormatting sqref="A80:A85">
    <cfRule type="expression" dxfId="2257" priority="9">
      <formula>kvartal &lt; 4</formula>
    </cfRule>
  </conditionalFormatting>
  <conditionalFormatting sqref="A90:A95">
    <cfRule type="expression" dxfId="2256" priority="6">
      <formula>kvartal &lt; 4</formula>
    </cfRule>
  </conditionalFormatting>
  <conditionalFormatting sqref="A101:A106">
    <cfRule type="expression" dxfId="2255" priority="5">
      <formula>kvartal &lt; 4</formula>
    </cfRule>
  </conditionalFormatting>
  <conditionalFormatting sqref="A115">
    <cfRule type="expression" dxfId="2254" priority="4">
      <formula>kvartal &lt; 4</formula>
    </cfRule>
  </conditionalFormatting>
  <conditionalFormatting sqref="A123">
    <cfRule type="expression" dxfId="2253"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125</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335372</v>
      </c>
      <c r="C7" s="304">
        <v>375779</v>
      </c>
      <c r="D7" s="345">
        <f t="shared" ref="D7:D10" si="0">IF(B7=0, "    ---- ", IF(ABS(ROUND(100/B7*C7-100,1))&lt;999,ROUND(100/B7*C7-100,1),IF(ROUND(100/B7*C7-100,1)&gt;999,999,-999)))</f>
        <v>12</v>
      </c>
      <c r="E7" s="11">
        <f>IFERROR(100/'Skjema total MA'!C7*C7,0)</f>
        <v>7.6356124006646802</v>
      </c>
      <c r="F7" s="303"/>
      <c r="G7" s="304"/>
      <c r="H7" s="345"/>
      <c r="I7" s="159"/>
      <c r="J7" s="305">
        <f t="shared" ref="J7:K10" si="1">SUM(B7,F7)</f>
        <v>335372</v>
      </c>
      <c r="K7" s="306">
        <f t="shared" si="1"/>
        <v>375779</v>
      </c>
      <c r="L7" s="421">
        <f t="shared" ref="L7:L10" si="2">IF(J7=0, "    ---- ", IF(ABS(ROUND(100/J7*K7-100,1))&lt;999,ROUND(100/J7*K7-100,1),IF(ROUND(100/J7*K7-100,1)&gt;999,999,-999)))</f>
        <v>12</v>
      </c>
      <c r="M7" s="11">
        <f>IFERROR(100/'Skjema total MA'!I7*K7,0)</f>
        <v>1.9114954848841554</v>
      </c>
    </row>
    <row r="8" spans="1:14" ht="15.6" x14ac:dyDescent="0.25">
      <c r="A8" s="21" t="s">
        <v>25</v>
      </c>
      <c r="B8" s="278">
        <v>165835</v>
      </c>
      <c r="C8" s="279">
        <v>186135</v>
      </c>
      <c r="D8" s="165">
        <f t="shared" si="0"/>
        <v>12.2</v>
      </c>
      <c r="E8" s="27">
        <f>IFERROR(100/'Skjema total MA'!C8*C8,0)</f>
        <v>5.7466223403261889</v>
      </c>
      <c r="F8" s="282"/>
      <c r="G8" s="283"/>
      <c r="H8" s="165"/>
      <c r="I8" s="174"/>
      <c r="J8" s="232">
        <f t="shared" si="1"/>
        <v>165835</v>
      </c>
      <c r="K8" s="284">
        <f t="shared" si="1"/>
        <v>186135</v>
      </c>
      <c r="L8" s="165">
        <f t="shared" si="2"/>
        <v>12.2</v>
      </c>
      <c r="M8" s="27">
        <f>IFERROR(100/'Skjema total MA'!I8*K8,0)</f>
        <v>5.7466223403261889</v>
      </c>
    </row>
    <row r="9" spans="1:14" ht="15.6" x14ac:dyDescent="0.25">
      <c r="A9" s="21" t="s">
        <v>24</v>
      </c>
      <c r="B9" s="278">
        <v>169537</v>
      </c>
      <c r="C9" s="279">
        <v>189643</v>
      </c>
      <c r="D9" s="165">
        <f t="shared" si="0"/>
        <v>11.9</v>
      </c>
      <c r="E9" s="27">
        <f>IFERROR(100/'Skjema total MA'!C9*C9,0)</f>
        <v>19.019955673709774</v>
      </c>
      <c r="F9" s="282"/>
      <c r="G9" s="283"/>
      <c r="H9" s="165"/>
      <c r="I9" s="174"/>
      <c r="J9" s="232">
        <f t="shared" si="1"/>
        <v>169537</v>
      </c>
      <c r="K9" s="284">
        <f t="shared" si="1"/>
        <v>189643</v>
      </c>
      <c r="L9" s="165">
        <f t="shared" si="2"/>
        <v>11.9</v>
      </c>
      <c r="M9" s="27">
        <f>IFERROR(100/'Skjema total MA'!I9*K9,0)</f>
        <v>19.019955673709774</v>
      </c>
    </row>
    <row r="10" spans="1:14" ht="15.6" x14ac:dyDescent="0.25">
      <c r="A10" s="13" t="s">
        <v>444</v>
      </c>
      <c r="B10" s="307">
        <v>543598</v>
      </c>
      <c r="C10" s="308">
        <v>572507</v>
      </c>
      <c r="D10" s="170">
        <f t="shared" si="0"/>
        <v>5.3</v>
      </c>
      <c r="E10" s="11">
        <f>IFERROR(100/'Skjema total MA'!C10*C10,0)</f>
        <v>3.03512507642017</v>
      </c>
      <c r="F10" s="307"/>
      <c r="G10" s="308"/>
      <c r="H10" s="170"/>
      <c r="I10" s="159"/>
      <c r="J10" s="305">
        <f t="shared" si="1"/>
        <v>543598</v>
      </c>
      <c r="K10" s="306">
        <f t="shared" si="1"/>
        <v>572507</v>
      </c>
      <c r="L10" s="422">
        <f t="shared" si="2"/>
        <v>5.3</v>
      </c>
      <c r="M10" s="11">
        <f>IFERROR(100/'Skjema total MA'!I10*K10,0)</f>
        <v>0.59520110017666183</v>
      </c>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c r="D47" s="421"/>
      <c r="E47" s="11"/>
      <c r="F47" s="144"/>
      <c r="G47" s="33"/>
      <c r="H47" s="158"/>
      <c r="I47" s="158"/>
      <c r="J47" s="37"/>
      <c r="K47" s="37"/>
      <c r="L47" s="158"/>
      <c r="M47" s="158"/>
      <c r="N47" s="147"/>
    </row>
    <row r="48" spans="1:14" s="3" customFormat="1" ht="15.6" x14ac:dyDescent="0.25">
      <c r="A48" s="38" t="s">
        <v>455</v>
      </c>
      <c r="B48" s="278"/>
      <c r="C48" s="279"/>
      <c r="D48" s="252"/>
      <c r="E48" s="27"/>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252" priority="132">
      <formula>kvartal &lt; 4</formula>
    </cfRule>
  </conditionalFormatting>
  <conditionalFormatting sqref="B69">
    <cfRule type="expression" dxfId="2251" priority="100">
      <formula>kvartal &lt; 4</formula>
    </cfRule>
  </conditionalFormatting>
  <conditionalFormatting sqref="C69">
    <cfRule type="expression" dxfId="2250" priority="99">
      <formula>kvartal &lt; 4</formula>
    </cfRule>
  </conditionalFormatting>
  <conditionalFormatting sqref="B72">
    <cfRule type="expression" dxfId="2249" priority="98">
      <formula>kvartal &lt; 4</formula>
    </cfRule>
  </conditionalFormatting>
  <conditionalFormatting sqref="C72">
    <cfRule type="expression" dxfId="2248" priority="97">
      <formula>kvartal &lt; 4</formula>
    </cfRule>
  </conditionalFormatting>
  <conditionalFormatting sqref="B80">
    <cfRule type="expression" dxfId="2247" priority="96">
      <formula>kvartal &lt; 4</formula>
    </cfRule>
  </conditionalFormatting>
  <conditionalFormatting sqref="C80">
    <cfRule type="expression" dxfId="2246" priority="95">
      <formula>kvartal &lt; 4</formula>
    </cfRule>
  </conditionalFormatting>
  <conditionalFormatting sqref="B83">
    <cfRule type="expression" dxfId="2245" priority="94">
      <formula>kvartal &lt; 4</formula>
    </cfRule>
  </conditionalFormatting>
  <conditionalFormatting sqref="C83">
    <cfRule type="expression" dxfId="2244" priority="93">
      <formula>kvartal &lt; 4</formula>
    </cfRule>
  </conditionalFormatting>
  <conditionalFormatting sqref="B90">
    <cfRule type="expression" dxfId="2243" priority="84">
      <formula>kvartal &lt; 4</formula>
    </cfRule>
  </conditionalFormatting>
  <conditionalFormatting sqref="C90">
    <cfRule type="expression" dxfId="2242" priority="83">
      <formula>kvartal &lt; 4</formula>
    </cfRule>
  </conditionalFormatting>
  <conditionalFormatting sqref="B93">
    <cfRule type="expression" dxfId="2241" priority="82">
      <formula>kvartal &lt; 4</formula>
    </cfRule>
  </conditionalFormatting>
  <conditionalFormatting sqref="C93">
    <cfRule type="expression" dxfId="2240" priority="81">
      <formula>kvartal &lt; 4</formula>
    </cfRule>
  </conditionalFormatting>
  <conditionalFormatting sqref="B101">
    <cfRule type="expression" dxfId="2239" priority="80">
      <formula>kvartal &lt; 4</formula>
    </cfRule>
  </conditionalFormatting>
  <conditionalFormatting sqref="C101">
    <cfRule type="expression" dxfId="2238" priority="79">
      <formula>kvartal &lt; 4</formula>
    </cfRule>
  </conditionalFormatting>
  <conditionalFormatting sqref="B104">
    <cfRule type="expression" dxfId="2237" priority="78">
      <formula>kvartal &lt; 4</formula>
    </cfRule>
  </conditionalFormatting>
  <conditionalFormatting sqref="C104">
    <cfRule type="expression" dxfId="2236" priority="77">
      <formula>kvartal &lt; 4</formula>
    </cfRule>
  </conditionalFormatting>
  <conditionalFormatting sqref="B115">
    <cfRule type="expression" dxfId="2235" priority="76">
      <formula>kvartal &lt; 4</formula>
    </cfRule>
  </conditionalFormatting>
  <conditionalFormatting sqref="C115">
    <cfRule type="expression" dxfId="2234" priority="75">
      <formula>kvartal &lt; 4</formula>
    </cfRule>
  </conditionalFormatting>
  <conditionalFormatting sqref="B123">
    <cfRule type="expression" dxfId="2233" priority="74">
      <formula>kvartal &lt; 4</formula>
    </cfRule>
  </conditionalFormatting>
  <conditionalFormatting sqref="C123">
    <cfRule type="expression" dxfId="2232" priority="73">
      <formula>kvartal &lt; 4</formula>
    </cfRule>
  </conditionalFormatting>
  <conditionalFormatting sqref="F70">
    <cfRule type="expression" dxfId="2231" priority="72">
      <formula>kvartal &lt; 4</formula>
    </cfRule>
  </conditionalFormatting>
  <conditionalFormatting sqref="G70">
    <cfRule type="expression" dxfId="2230" priority="71">
      <formula>kvartal &lt; 4</formula>
    </cfRule>
  </conditionalFormatting>
  <conditionalFormatting sqref="F71:G71">
    <cfRule type="expression" dxfId="2229" priority="70">
      <formula>kvartal &lt; 4</formula>
    </cfRule>
  </conditionalFormatting>
  <conditionalFormatting sqref="F73:G74">
    <cfRule type="expression" dxfId="2228" priority="69">
      <formula>kvartal &lt; 4</formula>
    </cfRule>
  </conditionalFormatting>
  <conditionalFormatting sqref="F81:G82">
    <cfRule type="expression" dxfId="2227" priority="68">
      <formula>kvartal &lt; 4</formula>
    </cfRule>
  </conditionalFormatting>
  <conditionalFormatting sqref="F84:G85">
    <cfRule type="expression" dxfId="2226" priority="67">
      <formula>kvartal &lt; 4</formula>
    </cfRule>
  </conditionalFormatting>
  <conditionalFormatting sqref="F91:G92">
    <cfRule type="expression" dxfId="2225" priority="62">
      <formula>kvartal &lt; 4</formula>
    </cfRule>
  </conditionalFormatting>
  <conditionalFormatting sqref="F94:G95">
    <cfRule type="expression" dxfId="2224" priority="61">
      <formula>kvartal &lt; 4</formula>
    </cfRule>
  </conditionalFormatting>
  <conditionalFormatting sqref="F102:G103">
    <cfRule type="expression" dxfId="2223" priority="60">
      <formula>kvartal &lt; 4</formula>
    </cfRule>
  </conditionalFormatting>
  <conditionalFormatting sqref="F105:G106">
    <cfRule type="expression" dxfId="2222" priority="59">
      <formula>kvartal &lt; 4</formula>
    </cfRule>
  </conditionalFormatting>
  <conditionalFormatting sqref="F115">
    <cfRule type="expression" dxfId="2221" priority="58">
      <formula>kvartal &lt; 4</formula>
    </cfRule>
  </conditionalFormatting>
  <conditionalFormatting sqref="G115">
    <cfRule type="expression" dxfId="2220" priority="57">
      <formula>kvartal &lt; 4</formula>
    </cfRule>
  </conditionalFormatting>
  <conditionalFormatting sqref="F123:G123">
    <cfRule type="expression" dxfId="2219" priority="56">
      <formula>kvartal &lt; 4</formula>
    </cfRule>
  </conditionalFormatting>
  <conditionalFormatting sqref="F69:G69">
    <cfRule type="expression" dxfId="2218" priority="55">
      <formula>kvartal &lt; 4</formula>
    </cfRule>
  </conditionalFormatting>
  <conditionalFormatting sqref="F72:G72">
    <cfRule type="expression" dxfId="2217" priority="54">
      <formula>kvartal &lt; 4</formula>
    </cfRule>
  </conditionalFormatting>
  <conditionalFormatting sqref="F80:G80">
    <cfRule type="expression" dxfId="2216" priority="53">
      <formula>kvartal &lt; 4</formula>
    </cfRule>
  </conditionalFormatting>
  <conditionalFormatting sqref="F83:G83">
    <cfRule type="expression" dxfId="2215" priority="52">
      <formula>kvartal &lt; 4</formula>
    </cfRule>
  </conditionalFormatting>
  <conditionalFormatting sqref="F90:G90">
    <cfRule type="expression" dxfId="2214" priority="46">
      <formula>kvartal &lt; 4</formula>
    </cfRule>
  </conditionalFormatting>
  <conditionalFormatting sqref="F93">
    <cfRule type="expression" dxfId="2213" priority="45">
      <formula>kvartal &lt; 4</formula>
    </cfRule>
  </conditionalFormatting>
  <conditionalFormatting sqref="G93">
    <cfRule type="expression" dxfId="2212" priority="44">
      <formula>kvartal &lt; 4</formula>
    </cfRule>
  </conditionalFormatting>
  <conditionalFormatting sqref="F101">
    <cfRule type="expression" dxfId="2211" priority="43">
      <formula>kvartal &lt; 4</formula>
    </cfRule>
  </conditionalFormatting>
  <conditionalFormatting sqref="G101">
    <cfRule type="expression" dxfId="2210" priority="42">
      <formula>kvartal &lt; 4</formula>
    </cfRule>
  </conditionalFormatting>
  <conditionalFormatting sqref="G104">
    <cfRule type="expression" dxfId="2209" priority="41">
      <formula>kvartal &lt; 4</formula>
    </cfRule>
  </conditionalFormatting>
  <conditionalFormatting sqref="F104">
    <cfRule type="expression" dxfId="2208" priority="40">
      <formula>kvartal &lt; 4</formula>
    </cfRule>
  </conditionalFormatting>
  <conditionalFormatting sqref="J69:K73">
    <cfRule type="expression" dxfId="2207" priority="39">
      <formula>kvartal &lt; 4</formula>
    </cfRule>
  </conditionalFormatting>
  <conditionalFormatting sqref="J74:K74">
    <cfRule type="expression" dxfId="2206" priority="38">
      <formula>kvartal &lt; 4</formula>
    </cfRule>
  </conditionalFormatting>
  <conditionalFormatting sqref="J80:K85">
    <cfRule type="expression" dxfId="2205" priority="37">
      <formula>kvartal &lt; 4</formula>
    </cfRule>
  </conditionalFormatting>
  <conditionalFormatting sqref="J90:K95">
    <cfRule type="expression" dxfId="2204" priority="34">
      <formula>kvartal &lt; 4</formula>
    </cfRule>
  </conditionalFormatting>
  <conditionalFormatting sqref="J101:K106">
    <cfRule type="expression" dxfId="2203" priority="33">
      <formula>kvartal &lt; 4</formula>
    </cfRule>
  </conditionalFormatting>
  <conditionalFormatting sqref="J115:K115">
    <cfRule type="expression" dxfId="2202" priority="32">
      <formula>kvartal &lt; 4</formula>
    </cfRule>
  </conditionalFormatting>
  <conditionalFormatting sqref="J123:K123">
    <cfRule type="expression" dxfId="2201" priority="31">
      <formula>kvartal &lt; 4</formula>
    </cfRule>
  </conditionalFormatting>
  <conditionalFormatting sqref="A50:A52">
    <cfRule type="expression" dxfId="2200" priority="12">
      <formula>kvartal &lt; 4</formula>
    </cfRule>
  </conditionalFormatting>
  <conditionalFormatting sqref="A69:A74">
    <cfRule type="expression" dxfId="2199" priority="10">
      <formula>kvartal &lt; 4</formula>
    </cfRule>
  </conditionalFormatting>
  <conditionalFormatting sqref="A80:A85">
    <cfRule type="expression" dxfId="2198" priority="9">
      <formula>kvartal &lt; 4</formula>
    </cfRule>
  </conditionalFormatting>
  <conditionalFormatting sqref="A90:A95">
    <cfRule type="expression" dxfId="2197" priority="6">
      <formula>kvartal &lt; 4</formula>
    </cfRule>
  </conditionalFormatting>
  <conditionalFormatting sqref="A101:A106">
    <cfRule type="expression" dxfId="2196" priority="5">
      <formula>kvartal &lt; 4</formula>
    </cfRule>
  </conditionalFormatting>
  <conditionalFormatting sqref="A115">
    <cfRule type="expression" dxfId="2195" priority="4">
      <formula>kvartal &lt; 4</formula>
    </cfRule>
  </conditionalFormatting>
  <conditionalFormatting sqref="A123">
    <cfRule type="expression" dxfId="2194" priority="3">
      <formula>kvartal &lt; 4</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4"/>
  <sheetViews>
    <sheetView showGridLines="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494</v>
      </c>
      <c r="D1" s="26"/>
      <c r="E1" s="26"/>
      <c r="F1" s="26"/>
      <c r="G1" s="26"/>
      <c r="H1" s="26"/>
      <c r="I1" s="26"/>
      <c r="J1" s="26"/>
      <c r="K1" s="26"/>
      <c r="L1" s="26"/>
      <c r="M1" s="26"/>
    </row>
    <row r="2" spans="1:14" ht="15.6" x14ac:dyDescent="0.3">
      <c r="A2" s="164" t="s">
        <v>28</v>
      </c>
      <c r="B2" s="963"/>
      <c r="C2" s="963"/>
      <c r="D2" s="963"/>
      <c r="E2" s="853"/>
      <c r="F2" s="963"/>
      <c r="G2" s="963"/>
      <c r="H2" s="963"/>
      <c r="I2" s="853"/>
      <c r="J2" s="963"/>
      <c r="K2" s="963"/>
      <c r="L2" s="963"/>
      <c r="M2" s="853"/>
    </row>
    <row r="3" spans="1:14" ht="15.6" x14ac:dyDescent="0.3">
      <c r="A3" s="162"/>
      <c r="B3" s="853"/>
      <c r="C3" s="853"/>
      <c r="D3" s="853"/>
      <c r="E3" s="853"/>
      <c r="F3" s="853"/>
      <c r="G3" s="853"/>
      <c r="H3" s="853"/>
      <c r="I3" s="853"/>
      <c r="J3" s="853"/>
      <c r="K3" s="853"/>
      <c r="L3" s="853"/>
      <c r="M3" s="853"/>
    </row>
    <row r="4" spans="1:14" x14ac:dyDescent="0.25">
      <c r="A4" s="143"/>
      <c r="B4" s="959" t="s">
        <v>0</v>
      </c>
      <c r="C4" s="960"/>
      <c r="D4" s="960"/>
      <c r="E4" s="851"/>
      <c r="F4" s="959" t="s">
        <v>1</v>
      </c>
      <c r="G4" s="960"/>
      <c r="H4" s="960"/>
      <c r="I4" s="852"/>
      <c r="J4" s="959" t="s">
        <v>2</v>
      </c>
      <c r="K4" s="960"/>
      <c r="L4" s="960"/>
      <c r="M4" s="852"/>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853"/>
      <c r="F18" s="958"/>
      <c r="G18" s="958"/>
      <c r="H18" s="958"/>
      <c r="I18" s="853"/>
      <c r="J18" s="958"/>
      <c r="K18" s="958"/>
      <c r="L18" s="958"/>
      <c r="M18" s="853"/>
    </row>
    <row r="19" spans="1:14" x14ac:dyDescent="0.25">
      <c r="A19" s="143"/>
      <c r="B19" s="959" t="s">
        <v>0</v>
      </c>
      <c r="C19" s="960"/>
      <c r="D19" s="960"/>
      <c r="E19" s="851"/>
      <c r="F19" s="959" t="s">
        <v>1</v>
      </c>
      <c r="G19" s="960"/>
      <c r="H19" s="960"/>
      <c r="I19" s="852"/>
      <c r="J19" s="959" t="s">
        <v>2</v>
      </c>
      <c r="K19" s="960"/>
      <c r="L19" s="960"/>
      <c r="M19" s="852"/>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410"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59"/>
      <c r="J22" s="313"/>
      <c r="K22" s="313"/>
      <c r="L22" s="421"/>
      <c r="M22" s="24"/>
    </row>
    <row r="23" spans="1:14" ht="15.6" x14ac:dyDescent="0.25">
      <c r="A23" s="782" t="s">
        <v>447</v>
      </c>
      <c r="B23" s="278"/>
      <c r="C23" s="278"/>
      <c r="D23" s="165"/>
      <c r="E23" s="11"/>
      <c r="F23" s="287"/>
      <c r="G23" s="287"/>
      <c r="H23" s="165"/>
      <c r="I23" s="238"/>
      <c r="J23" s="287"/>
      <c r="K23" s="287"/>
      <c r="L23" s="165"/>
      <c r="M23" s="23"/>
    </row>
    <row r="24" spans="1:14" ht="15.6" x14ac:dyDescent="0.25">
      <c r="A24" s="782" t="s">
        <v>448</v>
      </c>
      <c r="B24" s="278"/>
      <c r="C24" s="278"/>
      <c r="D24" s="165"/>
      <c r="E24" s="11"/>
      <c r="F24" s="287"/>
      <c r="G24" s="287"/>
      <c r="H24" s="165"/>
      <c r="I24" s="238"/>
      <c r="J24" s="287"/>
      <c r="K24" s="287"/>
      <c r="L24" s="165"/>
      <c r="M24" s="23"/>
    </row>
    <row r="25" spans="1:14" ht="15.6" x14ac:dyDescent="0.25">
      <c r="A25" s="782" t="s">
        <v>449</v>
      </c>
      <c r="B25" s="278"/>
      <c r="C25" s="278"/>
      <c r="D25" s="165"/>
      <c r="E25" s="11"/>
      <c r="F25" s="287"/>
      <c r="G25" s="287"/>
      <c r="H25" s="165"/>
      <c r="I25" s="238"/>
      <c r="J25" s="287"/>
      <c r="K25" s="287"/>
      <c r="L25" s="165"/>
      <c r="M25" s="23"/>
    </row>
    <row r="26" spans="1:14" ht="15.6" x14ac:dyDescent="0.25">
      <c r="A26" s="782" t="s">
        <v>450</v>
      </c>
      <c r="B26" s="278"/>
      <c r="C26" s="278"/>
      <c r="D26" s="165"/>
      <c r="E26" s="11"/>
      <c r="F26" s="287"/>
      <c r="G26" s="287"/>
      <c r="H26" s="165"/>
      <c r="I26" s="238"/>
      <c r="J26" s="287"/>
      <c r="K26" s="287"/>
      <c r="L26" s="165"/>
      <c r="M26" s="23"/>
    </row>
    <row r="27" spans="1:14" x14ac:dyDescent="0.25">
      <c r="A27" s="782" t="s">
        <v>11</v>
      </c>
      <c r="B27" s="278"/>
      <c r="C27" s="278"/>
      <c r="D27" s="165"/>
      <c r="E27" s="11"/>
      <c r="F27" s="287"/>
      <c r="G27" s="287"/>
      <c r="H27" s="165"/>
      <c r="I27" s="238"/>
      <c r="J27" s="287"/>
      <c r="K27" s="287"/>
      <c r="L27" s="165"/>
      <c r="M27" s="23"/>
    </row>
    <row r="28" spans="1:14" ht="15.6" x14ac:dyDescent="0.25">
      <c r="A28" s="49" t="s">
        <v>274</v>
      </c>
      <c r="B28" s="44"/>
      <c r="C28" s="284"/>
      <c r="D28" s="165"/>
      <c r="E28" s="11"/>
      <c r="F28" s="232"/>
      <c r="G28" s="284"/>
      <c r="H28" s="165"/>
      <c r="I28" s="174"/>
      <c r="J28" s="44"/>
      <c r="K28" s="44"/>
      <c r="L28" s="252"/>
      <c r="M28" s="23"/>
    </row>
    <row r="29" spans="1:14" s="3" customFormat="1" ht="15.6" x14ac:dyDescent="0.25">
      <c r="A29" s="13" t="s">
        <v>444</v>
      </c>
      <c r="B29" s="234"/>
      <c r="C29" s="234"/>
      <c r="D29" s="170"/>
      <c r="E29" s="11"/>
      <c r="F29" s="305"/>
      <c r="G29" s="305"/>
      <c r="H29" s="170"/>
      <c r="I29" s="159"/>
      <c r="J29" s="234"/>
      <c r="K29" s="234"/>
      <c r="L29" s="422"/>
      <c r="M29" s="24"/>
      <c r="N29" s="147"/>
    </row>
    <row r="30" spans="1:14" s="3" customFormat="1" ht="15.6" x14ac:dyDescent="0.25">
      <c r="A30" s="782" t="s">
        <v>447</v>
      </c>
      <c r="B30" s="278"/>
      <c r="C30" s="278"/>
      <c r="D30" s="165"/>
      <c r="E30" s="11"/>
      <c r="F30" s="287"/>
      <c r="G30" s="287"/>
      <c r="H30" s="165"/>
      <c r="I30" s="238"/>
      <c r="J30" s="287"/>
      <c r="K30" s="287"/>
      <c r="L30" s="165"/>
      <c r="M30" s="23"/>
      <c r="N30" s="147"/>
    </row>
    <row r="31" spans="1:14" s="3" customFormat="1" ht="15.6" x14ac:dyDescent="0.25">
      <c r="A31" s="782" t="s">
        <v>448</v>
      </c>
      <c r="B31" s="278"/>
      <c r="C31" s="278"/>
      <c r="D31" s="165"/>
      <c r="E31" s="11"/>
      <c r="F31" s="287"/>
      <c r="G31" s="287"/>
      <c r="H31" s="165"/>
      <c r="I31" s="238"/>
      <c r="J31" s="287"/>
      <c r="K31" s="287"/>
      <c r="L31" s="165"/>
      <c r="M31" s="23"/>
      <c r="N31" s="147"/>
    </row>
    <row r="32" spans="1:14" ht="15.6" x14ac:dyDescent="0.25">
      <c r="A32" s="782" t="s">
        <v>449</v>
      </c>
      <c r="B32" s="278"/>
      <c r="C32" s="278"/>
      <c r="D32" s="165"/>
      <c r="E32" s="11"/>
      <c r="F32" s="287"/>
      <c r="G32" s="287"/>
      <c r="H32" s="165"/>
      <c r="I32" s="238"/>
      <c r="J32" s="287"/>
      <c r="K32" s="287"/>
      <c r="L32" s="165"/>
      <c r="M32" s="23"/>
    </row>
    <row r="33" spans="1:14" ht="15.6" x14ac:dyDescent="0.25">
      <c r="A33" s="782" t="s">
        <v>450</v>
      </c>
      <c r="B33" s="278"/>
      <c r="C33" s="278"/>
      <c r="D33" s="165"/>
      <c r="E33" s="11"/>
      <c r="F33" s="287"/>
      <c r="G33" s="287"/>
      <c r="H33" s="165"/>
      <c r="I33" s="238"/>
      <c r="J33" s="287"/>
      <c r="K33" s="287"/>
      <c r="L33" s="165"/>
      <c r="M33" s="23"/>
    </row>
    <row r="34" spans="1:14" ht="15.6" x14ac:dyDescent="0.25">
      <c r="A34" s="13" t="s">
        <v>445</v>
      </c>
      <c r="B34" s="234"/>
      <c r="C34" s="306"/>
      <c r="D34" s="170"/>
      <c r="E34" s="11"/>
      <c r="F34" s="305"/>
      <c r="G34" s="306"/>
      <c r="H34" s="170"/>
      <c r="I34" s="159"/>
      <c r="J34" s="234"/>
      <c r="K34" s="234"/>
      <c r="L34" s="422"/>
      <c r="M34" s="24"/>
    </row>
    <row r="35" spans="1:14" ht="15.6" x14ac:dyDescent="0.25">
      <c r="A35" s="13" t="s">
        <v>446</v>
      </c>
      <c r="B35" s="234"/>
      <c r="C35" s="306"/>
      <c r="D35" s="170"/>
      <c r="E35" s="11"/>
      <c r="F35" s="305"/>
      <c r="G35" s="306"/>
      <c r="H35" s="170"/>
      <c r="I35" s="159"/>
      <c r="J35" s="234"/>
      <c r="K35" s="234"/>
      <c r="L35" s="422"/>
      <c r="M35" s="24"/>
    </row>
    <row r="36" spans="1:14" ht="15.6" x14ac:dyDescent="0.25">
      <c r="A36" s="12" t="s">
        <v>282</v>
      </c>
      <c r="B36" s="234"/>
      <c r="C36" s="306"/>
      <c r="D36" s="170"/>
      <c r="E36" s="11"/>
      <c r="F36" s="316"/>
      <c r="G36" s="317"/>
      <c r="H36" s="170"/>
      <c r="I36" s="424"/>
      <c r="J36" s="234"/>
      <c r="K36" s="234"/>
      <c r="L36" s="422"/>
      <c r="M36" s="24"/>
    </row>
    <row r="37" spans="1:14" ht="15.6" x14ac:dyDescent="0.25">
      <c r="A37" s="12" t="s">
        <v>452</v>
      </c>
      <c r="B37" s="234"/>
      <c r="C37" s="306"/>
      <c r="D37" s="170"/>
      <c r="E37" s="11"/>
      <c r="F37" s="316"/>
      <c r="G37" s="318"/>
      <c r="H37" s="170"/>
      <c r="I37" s="424"/>
      <c r="J37" s="234"/>
      <c r="K37" s="234"/>
      <c r="L37" s="422"/>
      <c r="M37" s="24"/>
    </row>
    <row r="38" spans="1:14" ht="15.6" x14ac:dyDescent="0.25">
      <c r="A38" s="12" t="s">
        <v>453</v>
      </c>
      <c r="B38" s="234"/>
      <c r="C38" s="306"/>
      <c r="D38" s="170"/>
      <c r="E38" s="24"/>
      <c r="F38" s="316"/>
      <c r="G38" s="317"/>
      <c r="H38" s="170"/>
      <c r="I38" s="424"/>
      <c r="J38" s="234"/>
      <c r="K38" s="234"/>
      <c r="L38" s="422"/>
      <c r="M38" s="24"/>
    </row>
    <row r="39" spans="1:14" ht="15.6" x14ac:dyDescent="0.25">
      <c r="A39" s="18" t="s">
        <v>454</v>
      </c>
      <c r="B39" s="273"/>
      <c r="C39" s="312"/>
      <c r="D39" s="168"/>
      <c r="E39" s="36"/>
      <c r="F39" s="319"/>
      <c r="G39" s="320"/>
      <c r="H39" s="168"/>
      <c r="I39" s="168"/>
      <c r="J39" s="234"/>
      <c r="K39" s="234"/>
      <c r="L39" s="423"/>
      <c r="M39" s="36"/>
    </row>
    <row r="40" spans="1:14" ht="15.6" x14ac:dyDescent="0.3">
      <c r="A40" s="47"/>
      <c r="B40" s="251"/>
      <c r="C40" s="251"/>
      <c r="D40" s="962"/>
      <c r="E40" s="962"/>
      <c r="F40" s="962"/>
      <c r="G40" s="962"/>
      <c r="H40" s="962"/>
      <c r="I40" s="962"/>
      <c r="J40" s="962"/>
      <c r="K40" s="962"/>
      <c r="L40" s="962"/>
      <c r="M40" s="854"/>
    </row>
    <row r="41" spans="1:14" x14ac:dyDescent="0.25">
      <c r="A41" s="154"/>
    </row>
    <row r="42" spans="1:14" ht="15.6" x14ac:dyDescent="0.3">
      <c r="A42" s="146" t="s">
        <v>271</v>
      </c>
      <c r="B42" s="963"/>
      <c r="C42" s="963"/>
      <c r="D42" s="963"/>
      <c r="E42" s="853"/>
      <c r="F42" s="964"/>
      <c r="G42" s="964"/>
      <c r="H42" s="964"/>
      <c r="I42" s="854"/>
      <c r="J42" s="964"/>
      <c r="K42" s="964"/>
      <c r="L42" s="964"/>
      <c r="M42" s="854"/>
    </row>
    <row r="43" spans="1:14" ht="15.6" x14ac:dyDescent="0.3">
      <c r="A43" s="162"/>
      <c r="B43" s="849"/>
      <c r="C43" s="849"/>
      <c r="D43" s="849"/>
      <c r="E43" s="849"/>
      <c r="F43" s="854"/>
      <c r="G43" s="854"/>
      <c r="H43" s="854"/>
      <c r="I43" s="854"/>
      <c r="J43" s="854"/>
      <c r="K43" s="854"/>
      <c r="L43" s="854"/>
      <c r="M43" s="854"/>
    </row>
    <row r="44" spans="1:14" ht="15.6" x14ac:dyDescent="0.3">
      <c r="A44" s="245"/>
      <c r="B44" s="959" t="s">
        <v>0</v>
      </c>
      <c r="C44" s="960"/>
      <c r="D44" s="960"/>
      <c r="E44" s="241"/>
      <c r="F44" s="854"/>
      <c r="G44" s="854"/>
      <c r="H44" s="854"/>
      <c r="I44" s="854"/>
      <c r="J44" s="854"/>
      <c r="K44" s="854"/>
      <c r="L44" s="854"/>
      <c r="M44" s="854"/>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v>10960</v>
      </c>
      <c r="D47" s="421" t="str">
        <f t="shared" ref="D47:D55" si="0">IF(B47=0, "    ---- ", IF(ABS(ROUND(100/B47*C47-100,1))&lt;999,ROUND(100/B47*C47-100,1),IF(ROUND(100/B47*C47-100,1)&gt;999,999,-999)))</f>
        <v xml:space="preserve">    ---- </v>
      </c>
      <c r="E47" s="11">
        <f>IFERROR(100/'Skjema total MA'!C47*C47,0)</f>
        <v>0.21515488925340381</v>
      </c>
      <c r="F47" s="144"/>
      <c r="G47" s="33"/>
      <c r="H47" s="158"/>
      <c r="I47" s="158"/>
      <c r="J47" s="37"/>
      <c r="K47" s="37"/>
      <c r="L47" s="158"/>
      <c r="M47" s="158"/>
      <c r="N47" s="147"/>
    </row>
    <row r="48" spans="1:14" s="3" customFormat="1" ht="15.6" x14ac:dyDescent="0.25">
      <c r="A48" s="38" t="s">
        <v>455</v>
      </c>
      <c r="B48" s="278"/>
      <c r="C48" s="279">
        <v>10018</v>
      </c>
      <c r="D48" s="252" t="str">
        <f t="shared" si="0"/>
        <v xml:space="preserve">    ---- </v>
      </c>
      <c r="E48" s="27">
        <f>IFERROR(100/'Skjema total MA'!C48*C48,0)</f>
        <v>0.35371424575965021</v>
      </c>
      <c r="F48" s="144"/>
      <c r="G48" s="33"/>
      <c r="H48" s="144"/>
      <c r="I48" s="144"/>
      <c r="J48" s="33"/>
      <c r="K48" s="33"/>
      <c r="L48" s="158"/>
      <c r="M48" s="158"/>
      <c r="N48" s="147"/>
    </row>
    <row r="49" spans="1:14" s="3" customFormat="1" ht="15.6" x14ac:dyDescent="0.25">
      <c r="A49" s="38" t="s">
        <v>456</v>
      </c>
      <c r="B49" s="44"/>
      <c r="C49" s="284">
        <v>942</v>
      </c>
      <c r="D49" s="252" t="str">
        <f>IF(B49=0, "    ---- ", IF(ABS(ROUND(100/B49*C49-100,1))&lt;999,ROUND(100/B49*C49-100,1),IF(ROUND(100/B49*C49-100,1)&gt;999,999,-999)))</f>
        <v xml:space="preserve">    ---- </v>
      </c>
      <c r="E49" s="27">
        <f>IFERROR(100/'Skjema total MA'!C49*C49,0)</f>
        <v>4.1648706980620155E-2</v>
      </c>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v>942</v>
      </c>
      <c r="D51" s="252" t="str">
        <f>IF(B51=0, "    ---- ", IF(ABS(ROUND(100/B51*C51-100,1))&lt;999,ROUND(100/B51*C51-100,1),IF(ROUND(100/B51*C51-100,1)&gt;999,999,-999)))</f>
        <v xml:space="preserve">    ---- </v>
      </c>
      <c r="E51" s="27">
        <f>IFERROR(100/'Skjema total MA'!C51*C51,0)</f>
        <v>4.2988738513688562E-2</v>
      </c>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v>10960</v>
      </c>
      <c r="D53" s="422" t="str">
        <f t="shared" si="0"/>
        <v xml:space="preserve">    ---- </v>
      </c>
      <c r="E53" s="11">
        <f>IFERROR(100/'Skjema total MA'!C53*C53,0)</f>
        <v>4.0076923284393908</v>
      </c>
      <c r="F53" s="144"/>
      <c r="G53" s="33"/>
      <c r="H53" s="144"/>
      <c r="I53" s="144"/>
      <c r="J53" s="33"/>
      <c r="K53" s="33"/>
      <c r="L53" s="158"/>
      <c r="M53" s="158"/>
      <c r="N53" s="147"/>
    </row>
    <row r="54" spans="1:14" s="3" customFormat="1" ht="15.6" x14ac:dyDescent="0.25">
      <c r="A54" s="38" t="s">
        <v>455</v>
      </c>
      <c r="B54" s="278"/>
      <c r="C54" s="279">
        <v>10018</v>
      </c>
      <c r="D54" s="252" t="str">
        <f t="shared" si="0"/>
        <v xml:space="preserve">    ---- </v>
      </c>
      <c r="E54" s="27">
        <f>IFERROR(100/'Skjema total MA'!C54*C54,0)</f>
        <v>3.7471650906850118</v>
      </c>
      <c r="F54" s="144"/>
      <c r="G54" s="33"/>
      <c r="H54" s="144"/>
      <c r="I54" s="144"/>
      <c r="J54" s="33"/>
      <c r="K54" s="33"/>
      <c r="L54" s="158"/>
      <c r="M54" s="158"/>
      <c r="N54" s="147"/>
    </row>
    <row r="55" spans="1:14" s="3" customFormat="1" ht="15.6" x14ac:dyDescent="0.25">
      <c r="A55" s="38" t="s">
        <v>456</v>
      </c>
      <c r="B55" s="278"/>
      <c r="C55" s="279">
        <v>942</v>
      </c>
      <c r="D55" s="252" t="str">
        <f t="shared" si="0"/>
        <v xml:space="preserve">    ---- </v>
      </c>
      <c r="E55" s="27">
        <f>IFERROR(100/'Skjema total MA'!C55*C55,0)</f>
        <v>15.378810969761371</v>
      </c>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853"/>
      <c r="F62" s="958"/>
      <c r="G62" s="958"/>
      <c r="H62" s="958"/>
      <c r="I62" s="853"/>
      <c r="J62" s="958"/>
      <c r="K62" s="958"/>
      <c r="L62" s="958"/>
      <c r="M62" s="853"/>
    </row>
    <row r="63" spans="1:14" x14ac:dyDescent="0.25">
      <c r="A63" s="143"/>
      <c r="B63" s="959" t="s">
        <v>0</v>
      </c>
      <c r="C63" s="960"/>
      <c r="D63" s="961"/>
      <c r="E63" s="850"/>
      <c r="F63" s="960" t="s">
        <v>1</v>
      </c>
      <c r="G63" s="960"/>
      <c r="H63" s="960"/>
      <c r="I63" s="852"/>
      <c r="J63" s="959" t="s">
        <v>2</v>
      </c>
      <c r="K63" s="960"/>
      <c r="L63" s="960"/>
      <c r="M63" s="852"/>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21"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853"/>
      <c r="F130" s="958"/>
      <c r="G130" s="958"/>
      <c r="H130" s="958"/>
      <c r="I130" s="853"/>
      <c r="J130" s="958"/>
      <c r="K130" s="958"/>
      <c r="L130" s="958"/>
      <c r="M130" s="853"/>
    </row>
    <row r="131" spans="1:14" s="3" customFormat="1" x14ac:dyDescent="0.25">
      <c r="A131" s="143"/>
      <c r="B131" s="959" t="s">
        <v>0</v>
      </c>
      <c r="C131" s="960"/>
      <c r="D131" s="960"/>
      <c r="E131" s="851"/>
      <c r="F131" s="959" t="s">
        <v>1</v>
      </c>
      <c r="G131" s="960"/>
      <c r="H131" s="960"/>
      <c r="I131" s="852"/>
      <c r="J131" s="959" t="s">
        <v>2</v>
      </c>
      <c r="K131" s="960"/>
      <c r="L131" s="960"/>
      <c r="M131" s="852"/>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2193" priority="59">
      <formula>kvartal &lt; 4</formula>
    </cfRule>
  </conditionalFormatting>
  <conditionalFormatting sqref="B69">
    <cfRule type="expression" dxfId="2192" priority="58">
      <formula>kvartal &lt; 4</formula>
    </cfRule>
  </conditionalFormatting>
  <conditionalFormatting sqref="C69">
    <cfRule type="expression" dxfId="2191" priority="57">
      <formula>kvartal &lt; 4</formula>
    </cfRule>
  </conditionalFormatting>
  <conditionalFormatting sqref="B72">
    <cfRule type="expression" dxfId="2190" priority="56">
      <formula>kvartal &lt; 4</formula>
    </cfRule>
  </conditionalFormatting>
  <conditionalFormatting sqref="C72">
    <cfRule type="expression" dxfId="2189" priority="55">
      <formula>kvartal &lt; 4</formula>
    </cfRule>
  </conditionalFormatting>
  <conditionalFormatting sqref="B80">
    <cfRule type="expression" dxfId="2188" priority="54">
      <formula>kvartal &lt; 4</formula>
    </cfRule>
  </conditionalFormatting>
  <conditionalFormatting sqref="C80">
    <cfRule type="expression" dxfId="2187" priority="53">
      <formula>kvartal &lt; 4</formula>
    </cfRule>
  </conditionalFormatting>
  <conditionalFormatting sqref="B83">
    <cfRule type="expression" dxfId="2186" priority="52">
      <formula>kvartal &lt; 4</formula>
    </cfRule>
  </conditionalFormatting>
  <conditionalFormatting sqref="C83">
    <cfRule type="expression" dxfId="2185" priority="51">
      <formula>kvartal &lt; 4</formula>
    </cfRule>
  </conditionalFormatting>
  <conditionalFormatting sqref="B90">
    <cfRule type="expression" dxfId="2184" priority="50">
      <formula>kvartal &lt; 4</formula>
    </cfRule>
  </conditionalFormatting>
  <conditionalFormatting sqref="C90">
    <cfRule type="expression" dxfId="2183" priority="49">
      <formula>kvartal &lt; 4</formula>
    </cfRule>
  </conditionalFormatting>
  <conditionalFormatting sqref="B93">
    <cfRule type="expression" dxfId="2182" priority="48">
      <formula>kvartal &lt; 4</formula>
    </cfRule>
  </conditionalFormatting>
  <conditionalFormatting sqref="C93">
    <cfRule type="expression" dxfId="2181" priority="47">
      <formula>kvartal &lt; 4</formula>
    </cfRule>
  </conditionalFormatting>
  <conditionalFormatting sqref="B101">
    <cfRule type="expression" dxfId="2180" priority="46">
      <formula>kvartal &lt; 4</formula>
    </cfRule>
  </conditionalFormatting>
  <conditionalFormatting sqref="C101">
    <cfRule type="expression" dxfId="2179" priority="45">
      <formula>kvartal &lt; 4</formula>
    </cfRule>
  </conditionalFormatting>
  <conditionalFormatting sqref="B104">
    <cfRule type="expression" dxfId="2178" priority="44">
      <formula>kvartal &lt; 4</formula>
    </cfRule>
  </conditionalFormatting>
  <conditionalFormatting sqref="C104">
    <cfRule type="expression" dxfId="2177" priority="43">
      <formula>kvartal &lt; 4</formula>
    </cfRule>
  </conditionalFormatting>
  <conditionalFormatting sqref="B115">
    <cfRule type="expression" dxfId="2176" priority="42">
      <formula>kvartal &lt; 4</formula>
    </cfRule>
  </conditionalFormatting>
  <conditionalFormatting sqref="C115">
    <cfRule type="expression" dxfId="2175" priority="41">
      <formula>kvartal &lt; 4</formula>
    </cfRule>
  </conditionalFormatting>
  <conditionalFormatting sqref="B123">
    <cfRule type="expression" dxfId="2174" priority="40">
      <formula>kvartal &lt; 4</formula>
    </cfRule>
  </conditionalFormatting>
  <conditionalFormatting sqref="C123">
    <cfRule type="expression" dxfId="2173" priority="39">
      <formula>kvartal &lt; 4</formula>
    </cfRule>
  </conditionalFormatting>
  <conditionalFormatting sqref="F70">
    <cfRule type="expression" dxfId="2172" priority="38">
      <formula>kvartal &lt; 4</formula>
    </cfRule>
  </conditionalFormatting>
  <conditionalFormatting sqref="G70">
    <cfRule type="expression" dxfId="2171" priority="37">
      <formula>kvartal &lt; 4</formula>
    </cfRule>
  </conditionalFormatting>
  <conditionalFormatting sqref="F71:G71">
    <cfRule type="expression" dxfId="2170" priority="36">
      <formula>kvartal &lt; 4</formula>
    </cfRule>
  </conditionalFormatting>
  <conditionalFormatting sqref="F73:G74">
    <cfRule type="expression" dxfId="2169" priority="35">
      <formula>kvartal &lt; 4</formula>
    </cfRule>
  </conditionalFormatting>
  <conditionalFormatting sqref="F81:G82">
    <cfRule type="expression" dxfId="2168" priority="34">
      <formula>kvartal &lt; 4</formula>
    </cfRule>
  </conditionalFormatting>
  <conditionalFormatting sqref="F84:G85">
    <cfRule type="expression" dxfId="2167" priority="33">
      <formula>kvartal &lt; 4</formula>
    </cfRule>
  </conditionalFormatting>
  <conditionalFormatting sqref="F91:G92">
    <cfRule type="expression" dxfId="2166" priority="32">
      <formula>kvartal &lt; 4</formula>
    </cfRule>
  </conditionalFormatting>
  <conditionalFormatting sqref="F94:G95">
    <cfRule type="expression" dxfId="2165" priority="31">
      <formula>kvartal &lt; 4</formula>
    </cfRule>
  </conditionalFormatting>
  <conditionalFormatting sqref="F102:G103">
    <cfRule type="expression" dxfId="2164" priority="30">
      <formula>kvartal &lt; 4</formula>
    </cfRule>
  </conditionalFormatting>
  <conditionalFormatting sqref="F105:G106">
    <cfRule type="expression" dxfId="2163" priority="29">
      <formula>kvartal &lt; 4</formula>
    </cfRule>
  </conditionalFormatting>
  <conditionalFormatting sqref="F115">
    <cfRule type="expression" dxfId="2162" priority="28">
      <formula>kvartal &lt; 4</formula>
    </cfRule>
  </conditionalFormatting>
  <conditionalFormatting sqref="G115">
    <cfRule type="expression" dxfId="2161" priority="27">
      <formula>kvartal &lt; 4</formula>
    </cfRule>
  </conditionalFormatting>
  <conditionalFormatting sqref="F123:G123">
    <cfRule type="expression" dxfId="2160" priority="26">
      <formula>kvartal &lt; 4</formula>
    </cfRule>
  </conditionalFormatting>
  <conditionalFormatting sqref="F69:G69">
    <cfRule type="expression" dxfId="2159" priority="25">
      <formula>kvartal &lt; 4</formula>
    </cfRule>
  </conditionalFormatting>
  <conditionalFormatting sqref="F72:G72">
    <cfRule type="expression" dxfId="2158" priority="24">
      <formula>kvartal &lt; 4</formula>
    </cfRule>
  </conditionalFormatting>
  <conditionalFormatting sqref="F80:G80">
    <cfRule type="expression" dxfId="2157" priority="23">
      <formula>kvartal &lt; 4</formula>
    </cfRule>
  </conditionalFormatting>
  <conditionalFormatting sqref="F83:G83">
    <cfRule type="expression" dxfId="2156" priority="22">
      <formula>kvartal &lt; 4</formula>
    </cfRule>
  </conditionalFormatting>
  <conditionalFormatting sqref="F90:G90">
    <cfRule type="expression" dxfId="2155" priority="21">
      <formula>kvartal &lt; 4</formula>
    </cfRule>
  </conditionalFormatting>
  <conditionalFormatting sqref="F93">
    <cfRule type="expression" dxfId="2154" priority="20">
      <formula>kvartal &lt; 4</formula>
    </cfRule>
  </conditionalFormatting>
  <conditionalFormatting sqref="G93">
    <cfRule type="expression" dxfId="2153" priority="19">
      <formula>kvartal &lt; 4</formula>
    </cfRule>
  </conditionalFormatting>
  <conditionalFormatting sqref="F101">
    <cfRule type="expression" dxfId="2152" priority="18">
      <formula>kvartal &lt; 4</formula>
    </cfRule>
  </conditionalFormatting>
  <conditionalFormatting sqref="G101">
    <cfRule type="expression" dxfId="2151" priority="17">
      <formula>kvartal &lt; 4</formula>
    </cfRule>
  </conditionalFormatting>
  <conditionalFormatting sqref="G104">
    <cfRule type="expression" dxfId="2150" priority="16">
      <formula>kvartal &lt; 4</formula>
    </cfRule>
  </conditionalFormatting>
  <conditionalFormatting sqref="F104">
    <cfRule type="expression" dxfId="2149" priority="15">
      <formula>kvartal &lt; 4</formula>
    </cfRule>
  </conditionalFormatting>
  <conditionalFormatting sqref="J69:K73">
    <cfRule type="expression" dxfId="2148" priority="14">
      <formula>kvartal &lt; 4</formula>
    </cfRule>
  </conditionalFormatting>
  <conditionalFormatting sqref="J74:K74">
    <cfRule type="expression" dxfId="2147" priority="13">
      <formula>kvartal &lt; 4</formula>
    </cfRule>
  </conditionalFormatting>
  <conditionalFormatting sqref="J80:K85">
    <cfRule type="expression" dxfId="2146" priority="12">
      <formula>kvartal &lt; 4</formula>
    </cfRule>
  </conditionalFormatting>
  <conditionalFormatting sqref="J90:K95">
    <cfRule type="expression" dxfId="2145" priority="11">
      <formula>kvartal &lt; 4</formula>
    </cfRule>
  </conditionalFormatting>
  <conditionalFormatting sqref="J101:K106">
    <cfRule type="expression" dxfId="2144" priority="10">
      <formula>kvartal &lt; 4</formula>
    </cfRule>
  </conditionalFormatting>
  <conditionalFormatting sqref="J115:K115">
    <cfRule type="expression" dxfId="2143" priority="9">
      <formula>kvartal &lt; 4</formula>
    </cfRule>
  </conditionalFormatting>
  <conditionalFormatting sqref="J123:K123">
    <cfRule type="expression" dxfId="2142" priority="8">
      <formula>kvartal &lt; 4</formula>
    </cfRule>
  </conditionalFormatting>
  <conditionalFormatting sqref="A50:A52">
    <cfRule type="expression" dxfId="2141" priority="7">
      <formula>kvartal &lt; 4</formula>
    </cfRule>
  </conditionalFormatting>
  <conditionalFormatting sqref="A69:A74">
    <cfRule type="expression" dxfId="2140" priority="6">
      <formula>kvartal &lt; 4</formula>
    </cfRule>
  </conditionalFormatting>
  <conditionalFormatting sqref="A80:A85">
    <cfRule type="expression" dxfId="2139" priority="5">
      <formula>kvartal &lt; 4</formula>
    </cfRule>
  </conditionalFormatting>
  <conditionalFormatting sqref="A90:A95">
    <cfRule type="expression" dxfId="2138" priority="4">
      <formula>kvartal &lt; 4</formula>
    </cfRule>
  </conditionalFormatting>
  <conditionalFormatting sqref="A101:A106">
    <cfRule type="expression" dxfId="2137" priority="3">
      <formula>kvartal &lt; 4</formula>
    </cfRule>
  </conditionalFormatting>
  <conditionalFormatting sqref="A115">
    <cfRule type="expression" dxfId="2136" priority="2">
      <formula>kvartal &lt; 4</formula>
    </cfRule>
  </conditionalFormatting>
  <conditionalFormatting sqref="A123">
    <cfRule type="expression" dxfId="2135" priority="1">
      <formula>kvartal &lt; 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activeCell="D93" sqref="D93"/>
      <selection pane="topRight"/>
    </sheetView>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479</v>
      </c>
      <c r="D1" s="26"/>
      <c r="E1" s="26"/>
      <c r="F1" s="26"/>
      <c r="G1" s="26"/>
      <c r="H1" s="26"/>
      <c r="I1" s="26"/>
      <c r="J1" s="26"/>
      <c r="K1" s="26"/>
      <c r="L1" s="26"/>
      <c r="M1" s="26"/>
    </row>
    <row r="2" spans="1:14" ht="15.6" x14ac:dyDescent="0.3">
      <c r="A2" s="164" t="s">
        <v>28</v>
      </c>
      <c r="B2" s="353"/>
      <c r="C2" s="353"/>
      <c r="D2" s="353"/>
      <c r="E2" s="353"/>
      <c r="F2" s="353"/>
      <c r="G2" s="353"/>
      <c r="H2" s="353"/>
      <c r="I2" s="353"/>
      <c r="J2" s="353"/>
      <c r="K2" s="353"/>
      <c r="L2" s="353"/>
      <c r="M2" s="353"/>
    </row>
    <row r="3" spans="1:14" ht="15.6" x14ac:dyDescent="0.3">
      <c r="A3" s="162"/>
      <c r="B3" s="353"/>
      <c r="C3" s="353"/>
      <c r="D3" s="353"/>
      <c r="E3" s="353"/>
      <c r="F3" s="353"/>
      <c r="G3" s="353"/>
      <c r="H3" s="353"/>
      <c r="I3" s="353"/>
      <c r="J3" s="353"/>
      <c r="K3" s="353"/>
      <c r="L3" s="353"/>
      <c r="M3" s="353"/>
    </row>
    <row r="4" spans="1:14" x14ac:dyDescent="0.25">
      <c r="A4" s="143"/>
      <c r="B4" s="959" t="s">
        <v>0</v>
      </c>
      <c r="C4" s="960"/>
      <c r="D4" s="960"/>
      <c r="E4" s="350"/>
      <c r="F4" s="959" t="s">
        <v>1</v>
      </c>
      <c r="G4" s="960"/>
      <c r="H4" s="960"/>
      <c r="I4" s="351"/>
      <c r="J4" s="959" t="s">
        <v>2</v>
      </c>
      <c r="K4" s="960"/>
      <c r="L4" s="960"/>
      <c r="M4" s="351"/>
    </row>
    <row r="5" spans="1:14" x14ac:dyDescent="0.25">
      <c r="A5" s="157"/>
      <c r="B5" s="151" t="s">
        <v>508</v>
      </c>
      <c r="C5" s="151" t="s">
        <v>509</v>
      </c>
      <c r="D5" s="243" t="s">
        <v>3</v>
      </c>
      <c r="E5" s="302" t="s">
        <v>29</v>
      </c>
      <c r="F5" s="151" t="s">
        <v>508</v>
      </c>
      <c r="G5" s="151" t="s">
        <v>509</v>
      </c>
      <c r="H5" s="243" t="s">
        <v>3</v>
      </c>
      <c r="I5" s="302"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56">
        <v>1214360.5509299999</v>
      </c>
      <c r="C7" s="357">
        <v>1200711.3584</v>
      </c>
      <c r="D7" s="365">
        <f t="shared" ref="D7:D10" si="0">IF(AND(_xlfn.NUMBERVALUE(B7)=0,_xlfn.NUMBERVALUE(C7)=0),,IF(B7=0, "    ---- ", IF(ABS(ROUND(100/B7*C7-100,1))&lt;999,IF(ROUND(100/B7*C7-100,1)=0,"    ---- ",ROUND(100/B7*C7-100,1)),IF(ROUND(100/B7*C7-100,1)&gt;999,999,-999))))</f>
        <v>-1.1000000000000001</v>
      </c>
      <c r="E7" s="366">
        <f>IFERROR(100/'Skjema total MA'!C7*C7,0)</f>
        <v>24.397761816966817</v>
      </c>
      <c r="F7" s="356"/>
      <c r="G7" s="357"/>
      <c r="H7" s="365"/>
      <c r="I7" s="366"/>
      <c r="J7" s="367">
        <f t="shared" ref="J7:K10" si="1">SUM(B7,F7)</f>
        <v>1214360.5509299999</v>
      </c>
      <c r="K7" s="362">
        <f t="shared" si="1"/>
        <v>1200711.3584</v>
      </c>
      <c r="L7" s="365">
        <f t="shared" ref="L7:L10" si="2">IF(AND(_xlfn.NUMBERVALUE(J7)=0,_xlfn.NUMBERVALUE(K7)=0),,IF(J7=0, "    ---- ", IF(ABS(ROUND(100/J7*K7-100,1))&lt;999,IF(ROUND(100/J7*K7-100,1)=0,"    ---- ",ROUND(100/J7*K7-100,1)),IF(ROUND(100/J7*K7-100,1)&gt;999,999,-999))))</f>
        <v>-1.1000000000000001</v>
      </c>
      <c r="M7" s="366">
        <f>IFERROR(100/'Skjema total MA'!I7*K7,0)</f>
        <v>6.1077237957169537</v>
      </c>
    </row>
    <row r="8" spans="1:14" ht="15.6" x14ac:dyDescent="0.25">
      <c r="A8" s="21" t="s">
        <v>25</v>
      </c>
      <c r="B8" s="359">
        <v>1119193.35821</v>
      </c>
      <c r="C8" s="360">
        <v>1066375.9057100001</v>
      </c>
      <c r="D8" s="368">
        <f t="shared" si="0"/>
        <v>-4.7</v>
      </c>
      <c r="E8" s="366">
        <f>IFERROR(100/'Skjema total MA'!C8*C8,0)</f>
        <v>32.922661524907511</v>
      </c>
      <c r="F8" s="369"/>
      <c r="G8" s="370"/>
      <c r="H8" s="368"/>
      <c r="I8" s="366"/>
      <c r="J8" s="371">
        <f t="shared" si="1"/>
        <v>1119193.35821</v>
      </c>
      <c r="K8" s="360">
        <f t="shared" si="1"/>
        <v>1066375.9057100001</v>
      </c>
      <c r="L8" s="368">
        <f t="shared" si="2"/>
        <v>-4.7</v>
      </c>
      <c r="M8" s="366">
        <f>IFERROR(100/'Skjema total MA'!I8*K8,0)</f>
        <v>32.922661524907511</v>
      </c>
    </row>
    <row r="9" spans="1:14" ht="15.6" x14ac:dyDescent="0.25">
      <c r="A9" s="21" t="s">
        <v>24</v>
      </c>
      <c r="B9" s="359">
        <v>95167.192720000006</v>
      </c>
      <c r="C9" s="360">
        <v>134335.45269000001</v>
      </c>
      <c r="D9" s="368">
        <f t="shared" si="0"/>
        <v>41.2</v>
      </c>
      <c r="E9" s="366">
        <f>IFERROR(100/'Skjema total MA'!C9*C9,0)</f>
        <v>13.472969503601698</v>
      </c>
      <c r="F9" s="369"/>
      <c r="G9" s="370"/>
      <c r="H9" s="368"/>
      <c r="I9" s="366"/>
      <c r="J9" s="371">
        <f t="shared" si="1"/>
        <v>95167.192720000006</v>
      </c>
      <c r="K9" s="360">
        <f t="shared" si="1"/>
        <v>134335.45269000001</v>
      </c>
      <c r="L9" s="368">
        <f t="shared" si="2"/>
        <v>41.2</v>
      </c>
      <c r="M9" s="366">
        <f>IFERROR(100/'Skjema total MA'!I9*K9,0)</f>
        <v>13.472969503601698</v>
      </c>
    </row>
    <row r="10" spans="1:14" ht="15.6" x14ac:dyDescent="0.25">
      <c r="A10" s="13" t="s">
        <v>444</v>
      </c>
      <c r="B10" s="361">
        <v>539261.14280000003</v>
      </c>
      <c r="C10" s="362">
        <v>608896.41105999995</v>
      </c>
      <c r="D10" s="368">
        <f t="shared" si="0"/>
        <v>12.9</v>
      </c>
      <c r="E10" s="366">
        <f>IFERROR(100/'Skjema total MA'!C10*C10,0)</f>
        <v>3.2280422180872019</v>
      </c>
      <c r="F10" s="361"/>
      <c r="G10" s="362"/>
      <c r="H10" s="368"/>
      <c r="I10" s="366"/>
      <c r="J10" s="367">
        <f t="shared" si="1"/>
        <v>539261.14280000003</v>
      </c>
      <c r="K10" s="362">
        <f t="shared" si="1"/>
        <v>608896.41105999995</v>
      </c>
      <c r="L10" s="368">
        <f t="shared" si="2"/>
        <v>12.9</v>
      </c>
      <c r="M10" s="366">
        <f>IFERROR(100/'Skjema total MA'!I10*K10,0)</f>
        <v>0.63303298257756302</v>
      </c>
    </row>
    <row r="11" spans="1:14" s="43" customFormat="1" ht="15.6" x14ac:dyDescent="0.25">
      <c r="A11" s="13" t="s">
        <v>445</v>
      </c>
      <c r="B11" s="361"/>
      <c r="C11" s="362"/>
      <c r="D11" s="368"/>
      <c r="E11" s="366"/>
      <c r="F11" s="361"/>
      <c r="G11" s="362"/>
      <c r="H11" s="368"/>
      <c r="I11" s="366"/>
      <c r="J11" s="367"/>
      <c r="K11" s="362"/>
      <c r="L11" s="368"/>
      <c r="M11" s="366"/>
      <c r="N11" s="142"/>
    </row>
    <row r="12" spans="1:14" s="43" customFormat="1" ht="15.6" x14ac:dyDescent="0.25">
      <c r="A12" s="41" t="s">
        <v>446</v>
      </c>
      <c r="B12" s="363"/>
      <c r="C12" s="364"/>
      <c r="D12" s="372"/>
      <c r="E12" s="372"/>
      <c r="F12" s="363"/>
      <c r="G12" s="364"/>
      <c r="H12" s="372"/>
      <c r="I12" s="372"/>
      <c r="J12" s="373"/>
      <c r="K12" s="364"/>
      <c r="L12" s="372"/>
      <c r="M12" s="372"/>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352"/>
      <c r="C18" s="352"/>
      <c r="D18" s="352"/>
      <c r="E18" s="353"/>
      <c r="F18" s="352"/>
      <c r="G18" s="352"/>
      <c r="H18" s="352"/>
      <c r="I18" s="353"/>
      <c r="J18" s="352"/>
      <c r="K18" s="352"/>
      <c r="L18" s="352"/>
      <c r="M18" s="353"/>
    </row>
    <row r="19" spans="1:14" x14ac:dyDescent="0.25">
      <c r="A19" s="143"/>
      <c r="B19" s="959" t="s">
        <v>0</v>
      </c>
      <c r="C19" s="960"/>
      <c r="D19" s="960"/>
      <c r="E19" s="350"/>
      <c r="F19" s="959" t="s">
        <v>1</v>
      </c>
      <c r="G19" s="960"/>
      <c r="H19" s="960"/>
      <c r="I19" s="351"/>
      <c r="J19" s="959" t="s">
        <v>2</v>
      </c>
      <c r="K19" s="960"/>
      <c r="L19" s="960"/>
      <c r="M19" s="351"/>
    </row>
    <row r="20" spans="1:14" x14ac:dyDescent="0.25">
      <c r="A20" s="139" t="s">
        <v>5</v>
      </c>
      <c r="B20" s="151" t="s">
        <v>508</v>
      </c>
      <c r="C20" s="151" t="s">
        <v>509</v>
      </c>
      <c r="D20" s="161" t="s">
        <v>3</v>
      </c>
      <c r="E20" s="302" t="s">
        <v>29</v>
      </c>
      <c r="F20" s="151" t="s">
        <v>508</v>
      </c>
      <c r="G20" s="151" t="s">
        <v>509</v>
      </c>
      <c r="H20" s="161" t="s">
        <v>3</v>
      </c>
      <c r="I20" s="302"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794">
        <v>595048.67813999997</v>
      </c>
      <c r="C22" s="794">
        <v>733035.74184999999</v>
      </c>
      <c r="D22" s="365">
        <f t="shared" ref="D22:D29" si="3">IF(AND(_xlfn.NUMBERVALUE(B22)=0,_xlfn.NUMBERVALUE(C22)=0),,IF(B22=0, "    ---- ", IF(ABS(ROUND(100/B22*C22-100,1))&lt;999,IF(ROUND(100/B22*C22-100,1)=0,"    ---- ",ROUND(100/B22*C22-100,1)),IF(ROUND(100/B22*C22-100,1)&gt;999,999,-999))))</f>
        <v>23.2</v>
      </c>
      <c r="E22" s="366">
        <f>IFERROR(100/'Skjema total MA'!C22*C22,0)</f>
        <v>37.952986022220806</v>
      </c>
      <c r="F22" s="374"/>
      <c r="G22" s="374"/>
      <c r="H22" s="365"/>
      <c r="I22" s="366"/>
      <c r="J22" s="356">
        <f t="shared" ref="J22:J29" si="4">SUM(B22,F22)</f>
        <v>595048.67813999997</v>
      </c>
      <c r="K22" s="356">
        <f t="shared" ref="K22:K29" si="5">SUM(C22,G22)</f>
        <v>733035.74184999999</v>
      </c>
      <c r="L22" s="365">
        <f t="shared" ref="L22:L29" si="6">IF(AND(_xlfn.NUMBERVALUE(J22)=0,_xlfn.NUMBERVALUE(K22)=0),,IF(J22=0, "    ---- ", IF(ABS(ROUND(100/J22*K22-100,1))&lt;999,IF(ROUND(100/J22*K22-100,1)=0,"    ---- ",ROUND(100/J22*K22-100,1)),IF(ROUND(100/J22*K22-100,1)&gt;999,999,-999))))</f>
        <v>23.2</v>
      </c>
      <c r="M22" s="366">
        <f>IFERROR(100/'Skjema total MA'!I22*K22,0)</f>
        <v>20.097955179178776</v>
      </c>
    </row>
    <row r="23" spans="1:14" ht="15.6" x14ac:dyDescent="0.25">
      <c r="A23" s="782" t="s">
        <v>447</v>
      </c>
      <c r="B23" s="358"/>
      <c r="C23" s="358"/>
      <c r="D23" s="368"/>
      <c r="E23" s="366"/>
      <c r="F23" s="358"/>
      <c r="G23" s="358"/>
      <c r="H23" s="368"/>
      <c r="I23" s="366"/>
      <c r="J23" s="358"/>
      <c r="K23" s="358"/>
      <c r="L23" s="368"/>
      <c r="M23" s="366"/>
    </row>
    <row r="24" spans="1:14" ht="15.6" x14ac:dyDescent="0.25">
      <c r="A24" s="782" t="s">
        <v>448</v>
      </c>
      <c r="B24" s="358"/>
      <c r="C24" s="358"/>
      <c r="D24" s="368"/>
      <c r="E24" s="366"/>
      <c r="F24" s="358"/>
      <c r="G24" s="358"/>
      <c r="H24" s="368"/>
      <c r="I24" s="366"/>
      <c r="J24" s="358"/>
      <c r="K24" s="358"/>
      <c r="L24" s="368"/>
      <c r="M24" s="366"/>
    </row>
    <row r="25" spans="1:14" ht="15.6" x14ac:dyDescent="0.25">
      <c r="A25" s="782" t="s">
        <v>449</v>
      </c>
      <c r="B25" s="358"/>
      <c r="C25" s="358"/>
      <c r="D25" s="368"/>
      <c r="E25" s="366"/>
      <c r="F25" s="358"/>
      <c r="G25" s="358"/>
      <c r="H25" s="368"/>
      <c r="I25" s="366"/>
      <c r="J25" s="358"/>
      <c r="K25" s="358"/>
      <c r="L25" s="368"/>
      <c r="M25" s="366"/>
    </row>
    <row r="26" spans="1:14" ht="15.6" x14ac:dyDescent="0.25">
      <c r="A26" s="782" t="s">
        <v>450</v>
      </c>
      <c r="B26" s="358"/>
      <c r="C26" s="358"/>
      <c r="D26" s="368"/>
      <c r="E26" s="366"/>
      <c r="F26" s="358"/>
      <c r="G26" s="358"/>
      <c r="H26" s="368"/>
      <c r="I26" s="366"/>
      <c r="J26" s="358"/>
      <c r="K26" s="358"/>
      <c r="L26" s="368"/>
      <c r="M26" s="366"/>
    </row>
    <row r="27" spans="1:14" x14ac:dyDescent="0.25">
      <c r="A27" s="782" t="s">
        <v>11</v>
      </c>
      <c r="B27" s="358"/>
      <c r="C27" s="358"/>
      <c r="D27" s="368"/>
      <c r="E27" s="366"/>
      <c r="F27" s="358"/>
      <c r="G27" s="358"/>
      <c r="H27" s="368"/>
      <c r="I27" s="366"/>
      <c r="J27" s="358"/>
      <c r="K27" s="358"/>
      <c r="L27" s="368"/>
      <c r="M27" s="366"/>
    </row>
    <row r="28" spans="1:14" ht="15.6" x14ac:dyDescent="0.25">
      <c r="A28" s="49" t="s">
        <v>274</v>
      </c>
      <c r="B28" s="358">
        <v>595048.67813999997</v>
      </c>
      <c r="C28" s="358">
        <v>733035.74184999999</v>
      </c>
      <c r="D28" s="368">
        <f t="shared" si="3"/>
        <v>23.2</v>
      </c>
      <c r="E28" s="366">
        <f>IFERROR(100/'Skjema total MA'!C28*C28,0)</f>
        <v>33.623449818349187</v>
      </c>
      <c r="F28" s="371"/>
      <c r="G28" s="360"/>
      <c r="H28" s="368"/>
      <c r="I28" s="366"/>
      <c r="J28" s="359">
        <f t="shared" si="4"/>
        <v>595048.67813999997</v>
      </c>
      <c r="K28" s="359">
        <f t="shared" si="5"/>
        <v>733035.74184999999</v>
      </c>
      <c r="L28" s="368">
        <f t="shared" si="6"/>
        <v>23.2</v>
      </c>
      <c r="M28" s="366">
        <f>IFERROR(100/'Skjema total MA'!I28*K28,0)</f>
        <v>33.623449818349187</v>
      </c>
    </row>
    <row r="29" spans="1:14" s="3" customFormat="1" ht="15.6" x14ac:dyDescent="0.25">
      <c r="A29" s="13" t="s">
        <v>444</v>
      </c>
      <c r="B29" s="361">
        <v>3283454.98979</v>
      </c>
      <c r="C29" s="361">
        <v>3665607.7474799999</v>
      </c>
      <c r="D29" s="368">
        <f t="shared" si="3"/>
        <v>11.6</v>
      </c>
      <c r="E29" s="366">
        <f>IFERROR(100/'Skjema total MA'!C29*C29,0)</f>
        <v>8.0887725757234215</v>
      </c>
      <c r="F29" s="367"/>
      <c r="G29" s="367"/>
      <c r="H29" s="368"/>
      <c r="I29" s="366"/>
      <c r="J29" s="361">
        <f t="shared" si="4"/>
        <v>3283454.98979</v>
      </c>
      <c r="K29" s="361">
        <f t="shared" si="5"/>
        <v>3665607.7474799999</v>
      </c>
      <c r="L29" s="368">
        <f t="shared" si="6"/>
        <v>11.6</v>
      </c>
      <c r="M29" s="366">
        <f>IFERROR(100/'Skjema total MA'!I29*K29,0)</f>
        <v>5.0873957224099113</v>
      </c>
      <c r="N29" s="147"/>
    </row>
    <row r="30" spans="1:14" s="3" customFormat="1" ht="15.6" x14ac:dyDescent="0.25">
      <c r="A30" s="782" t="s">
        <v>447</v>
      </c>
      <c r="B30" s="358"/>
      <c r="C30" s="358"/>
      <c r="D30" s="368"/>
      <c r="E30" s="366"/>
      <c r="F30" s="358"/>
      <c r="G30" s="358"/>
      <c r="H30" s="368"/>
      <c r="I30" s="366"/>
      <c r="J30" s="358"/>
      <c r="K30" s="358"/>
      <c r="L30" s="368"/>
      <c r="M30" s="366"/>
      <c r="N30" s="147"/>
    </row>
    <row r="31" spans="1:14" s="3" customFormat="1" ht="15.6" x14ac:dyDescent="0.25">
      <c r="A31" s="782" t="s">
        <v>448</v>
      </c>
      <c r="B31" s="358"/>
      <c r="C31" s="358"/>
      <c r="D31" s="368"/>
      <c r="E31" s="366"/>
      <c r="F31" s="358"/>
      <c r="G31" s="358"/>
      <c r="H31" s="368"/>
      <c r="I31" s="366"/>
      <c r="J31" s="358"/>
      <c r="K31" s="358"/>
      <c r="L31" s="368"/>
      <c r="M31" s="366"/>
      <c r="N31" s="147"/>
    </row>
    <row r="32" spans="1:14" ht="15.6" x14ac:dyDescent="0.25">
      <c r="A32" s="782" t="s">
        <v>449</v>
      </c>
      <c r="B32" s="358"/>
      <c r="C32" s="358"/>
      <c r="D32" s="368"/>
      <c r="E32" s="366"/>
      <c r="F32" s="358"/>
      <c r="G32" s="358"/>
      <c r="H32" s="368"/>
      <c r="I32" s="366"/>
      <c r="J32" s="358"/>
      <c r="K32" s="358"/>
      <c r="L32" s="368"/>
      <c r="M32" s="366"/>
    </row>
    <row r="33" spans="1:14" ht="15.6" x14ac:dyDescent="0.25">
      <c r="A33" s="782" t="s">
        <v>450</v>
      </c>
      <c r="B33" s="358"/>
      <c r="C33" s="358"/>
      <c r="D33" s="368"/>
      <c r="E33" s="366"/>
      <c r="F33" s="358"/>
      <c r="G33" s="358"/>
      <c r="H33" s="368"/>
      <c r="I33" s="366"/>
      <c r="J33" s="358"/>
      <c r="K33" s="358"/>
      <c r="L33" s="368"/>
      <c r="M33" s="366"/>
    </row>
    <row r="34" spans="1:14" ht="15.6" x14ac:dyDescent="0.25">
      <c r="A34" s="13" t="s">
        <v>445</v>
      </c>
      <c r="B34" s="361"/>
      <c r="C34" s="362"/>
      <c r="D34" s="368"/>
      <c r="E34" s="366"/>
      <c r="F34" s="367"/>
      <c r="G34" s="362"/>
      <c r="H34" s="368"/>
      <c r="I34" s="366"/>
      <c r="J34" s="361"/>
      <c r="K34" s="361"/>
      <c r="L34" s="368"/>
      <c r="M34" s="366"/>
    </row>
    <row r="35" spans="1:14" ht="15.6" x14ac:dyDescent="0.25">
      <c r="A35" s="13" t="s">
        <v>446</v>
      </c>
      <c r="B35" s="361"/>
      <c r="C35" s="362"/>
      <c r="D35" s="368"/>
      <c r="E35" s="366"/>
      <c r="F35" s="367"/>
      <c r="G35" s="362"/>
      <c r="H35" s="368"/>
      <c r="I35" s="366"/>
      <c r="J35" s="361"/>
      <c r="K35" s="361"/>
      <c r="L35" s="368"/>
      <c r="M35" s="366"/>
    </row>
    <row r="36" spans="1:14" ht="15.6" x14ac:dyDescent="0.25">
      <c r="A36" s="12" t="s">
        <v>282</v>
      </c>
      <c r="B36" s="361"/>
      <c r="C36" s="362"/>
      <c r="D36" s="368"/>
      <c r="E36" s="366"/>
      <c r="F36" s="375"/>
      <c r="G36" s="376"/>
      <c r="H36" s="368"/>
      <c r="I36" s="366"/>
      <c r="J36" s="361"/>
      <c r="K36" s="361"/>
      <c r="L36" s="368"/>
      <c r="M36" s="366"/>
    </row>
    <row r="37" spans="1:14" ht="15.6" x14ac:dyDescent="0.25">
      <c r="A37" s="12" t="s">
        <v>452</v>
      </c>
      <c r="B37" s="361"/>
      <c r="C37" s="362"/>
      <c r="D37" s="368"/>
      <c r="E37" s="366"/>
      <c r="F37" s="375"/>
      <c r="G37" s="377"/>
      <c r="H37" s="368"/>
      <c r="I37" s="366"/>
      <c r="J37" s="361"/>
      <c r="K37" s="361"/>
      <c r="L37" s="368"/>
      <c r="M37" s="366"/>
    </row>
    <row r="38" spans="1:14" ht="15.6" x14ac:dyDescent="0.25">
      <c r="A38" s="12" t="s">
        <v>453</v>
      </c>
      <c r="B38" s="361"/>
      <c r="C38" s="362"/>
      <c r="D38" s="368"/>
      <c r="E38" s="165"/>
      <c r="F38" s="375"/>
      <c r="G38" s="376"/>
      <c r="H38" s="368"/>
      <c r="I38" s="366"/>
      <c r="J38" s="361"/>
      <c r="K38" s="361"/>
      <c r="L38" s="368"/>
      <c r="M38" s="366"/>
    </row>
    <row r="39" spans="1:14" ht="15.6" x14ac:dyDescent="0.25">
      <c r="A39" s="18" t="s">
        <v>454</v>
      </c>
      <c r="B39" s="363"/>
      <c r="C39" s="364"/>
      <c r="D39" s="372"/>
      <c r="E39" s="166"/>
      <c r="F39" s="378"/>
      <c r="G39" s="379"/>
      <c r="H39" s="372"/>
      <c r="I39" s="366"/>
      <c r="J39" s="361"/>
      <c r="K39" s="361"/>
      <c r="L39" s="372"/>
      <c r="M39" s="372"/>
    </row>
    <row r="40" spans="1:14" ht="15.6" x14ac:dyDescent="0.3">
      <c r="A40" s="47"/>
      <c r="B40" s="251"/>
      <c r="C40" s="251"/>
      <c r="D40" s="355"/>
      <c r="E40" s="355"/>
      <c r="F40" s="355"/>
      <c r="G40" s="355"/>
      <c r="H40" s="355"/>
      <c r="I40" s="355"/>
      <c r="J40" s="355"/>
      <c r="K40" s="355"/>
      <c r="L40" s="355"/>
      <c r="M40" s="354"/>
    </row>
    <row r="41" spans="1:14" x14ac:dyDescent="0.25">
      <c r="A41" s="154"/>
    </row>
    <row r="42" spans="1:14" ht="15.6" x14ac:dyDescent="0.3">
      <c r="A42" s="146" t="s">
        <v>271</v>
      </c>
      <c r="B42" s="353"/>
      <c r="C42" s="353"/>
      <c r="D42" s="353"/>
      <c r="E42" s="353"/>
      <c r="F42" s="354"/>
      <c r="G42" s="354"/>
      <c r="H42" s="354"/>
      <c r="I42" s="354"/>
      <c r="J42" s="354"/>
      <c r="K42" s="354"/>
      <c r="L42" s="354"/>
      <c r="M42" s="354"/>
    </row>
    <row r="43" spans="1:14" ht="15.6" x14ac:dyDescent="0.3">
      <c r="A43" s="162"/>
      <c r="B43" s="352"/>
      <c r="C43" s="352"/>
      <c r="D43" s="352"/>
      <c r="E43" s="352"/>
      <c r="F43" s="354"/>
      <c r="G43" s="354"/>
      <c r="H43" s="354"/>
      <c r="I43" s="354"/>
      <c r="J43" s="354"/>
      <c r="K43" s="354"/>
      <c r="L43" s="354"/>
      <c r="M43" s="354"/>
    </row>
    <row r="44" spans="1:14" ht="15.6" x14ac:dyDescent="0.3">
      <c r="A44" s="245"/>
      <c r="B44" s="959" t="s">
        <v>0</v>
      </c>
      <c r="C44" s="960"/>
      <c r="D44" s="960"/>
      <c r="E44" s="241"/>
      <c r="F44" s="354"/>
      <c r="G44" s="354"/>
      <c r="H44" s="354"/>
      <c r="I44" s="354"/>
      <c r="J44" s="354"/>
      <c r="K44" s="354"/>
      <c r="L44" s="354"/>
      <c r="M44" s="354"/>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414" customFormat="1" ht="15.6" x14ac:dyDescent="0.25">
      <c r="A47" s="14" t="s">
        <v>23</v>
      </c>
      <c r="B47" s="361">
        <v>1102873.7127700001</v>
      </c>
      <c r="C47" s="362">
        <v>1141044.73122</v>
      </c>
      <c r="D47" s="418">
        <f>IF(AND(_xlfn.NUMBERVALUE(B47)=0,_xlfn.NUMBERVALUE(C47)=0),,IF(B47=0, "    ---- ", IF(ABS(ROUND(100/B47*C47-100,1))&lt;999,IF(ROUND(100/B47*C47-100,1)=0,"    ---- ",ROUND(100/B47*C47-100,1)),IF(ROUND(100/B47*C47-100,1)&gt;999,999,-999))))</f>
        <v>3.5</v>
      </c>
      <c r="E47" s="419">
        <f>IFERROR(100/'Skjema total MA'!C47*C47,0)</f>
        <v>22.399758465220714</v>
      </c>
      <c r="F47" s="158"/>
      <c r="G47" s="172"/>
      <c r="H47" s="158"/>
      <c r="I47" s="158"/>
      <c r="J47" s="417"/>
      <c r="K47" s="417"/>
      <c r="L47" s="158"/>
      <c r="M47" s="158"/>
      <c r="N47" s="420"/>
    </row>
    <row r="48" spans="1:14" s="3" customFormat="1" ht="15.6" x14ac:dyDescent="0.25">
      <c r="A48" s="38" t="s">
        <v>455</v>
      </c>
      <c r="B48" s="359">
        <v>103863.00747</v>
      </c>
      <c r="C48" s="360">
        <v>108097.37389</v>
      </c>
      <c r="D48" s="368">
        <f t="shared" ref="D48:D57" si="7">IF(AND(_xlfn.NUMBERVALUE(B48)=0,_xlfn.NUMBERVALUE(C48)=0),,IF(B48=0, "    ---- ", IF(ABS(ROUND(100/B48*C48-100,1))&lt;999,IF(ROUND(100/B48*C48-100,1)=0,"    ---- ",ROUND(100/B48*C48-100,1)),IF(ROUND(100/B48*C48-100,1)&gt;999,999,-999))))</f>
        <v>4.0999999999999996</v>
      </c>
      <c r="E48" s="407">
        <f>IFERROR(100/'Skjema total MA'!C48*C48,0)</f>
        <v>3.8166880688860307</v>
      </c>
      <c r="F48" s="144"/>
      <c r="G48" s="33"/>
      <c r="H48" s="144"/>
      <c r="I48" s="144"/>
      <c r="J48" s="33"/>
      <c r="K48" s="33"/>
      <c r="L48" s="158"/>
      <c r="M48" s="158"/>
      <c r="N48" s="147"/>
    </row>
    <row r="49" spans="1:14" s="3" customFormat="1" ht="15.6" x14ac:dyDescent="0.25">
      <c r="A49" s="38" t="s">
        <v>456</v>
      </c>
      <c r="B49" s="359">
        <v>999010.70530000003</v>
      </c>
      <c r="C49" s="360">
        <v>1032947.35733</v>
      </c>
      <c r="D49" s="368">
        <f t="shared" si="7"/>
        <v>3.4</v>
      </c>
      <c r="E49" s="407">
        <f>IFERROR(100/'Skjema total MA'!C49*C49,0)</f>
        <v>45.669768377752774</v>
      </c>
      <c r="F49" s="144"/>
      <c r="G49" s="33"/>
      <c r="H49" s="144"/>
      <c r="I49" s="144"/>
      <c r="J49" s="37"/>
      <c r="K49" s="37"/>
      <c r="L49" s="158"/>
      <c r="M49" s="158"/>
      <c r="N49" s="147"/>
    </row>
    <row r="50" spans="1:14" s="3" customFormat="1" x14ac:dyDescent="0.25">
      <c r="A50" s="293" t="s">
        <v>6</v>
      </c>
      <c r="B50" s="358"/>
      <c r="C50" s="380"/>
      <c r="D50" s="368"/>
      <c r="E50" s="408"/>
      <c r="F50" s="144"/>
      <c r="G50" s="33"/>
      <c r="H50" s="144"/>
      <c r="I50" s="144"/>
      <c r="J50" s="33"/>
      <c r="K50" s="33"/>
      <c r="L50" s="158"/>
      <c r="M50" s="158"/>
      <c r="N50" s="147"/>
    </row>
    <row r="51" spans="1:14" s="3" customFormat="1" x14ac:dyDescent="0.25">
      <c r="A51" s="293" t="s">
        <v>7</v>
      </c>
      <c r="B51" s="358">
        <v>990523.00832000002</v>
      </c>
      <c r="C51" s="380">
        <v>1024293.72947</v>
      </c>
      <c r="D51" s="368">
        <f t="shared" si="7"/>
        <v>3.4</v>
      </c>
      <c r="E51" s="407">
        <f>IFERROR(100/'Skjema total MA'!C51*C51,0)</f>
        <v>46.744262523775667</v>
      </c>
      <c r="F51" s="144"/>
      <c r="G51" s="33"/>
      <c r="H51" s="144"/>
      <c r="I51" s="144"/>
      <c r="J51" s="33"/>
      <c r="K51" s="33"/>
      <c r="L51" s="158"/>
      <c r="M51" s="158"/>
      <c r="N51" s="147"/>
    </row>
    <row r="52" spans="1:14" s="3" customFormat="1" x14ac:dyDescent="0.25">
      <c r="A52" s="293" t="s">
        <v>8</v>
      </c>
      <c r="B52" s="358">
        <v>8487.6969800000006</v>
      </c>
      <c r="C52" s="380">
        <v>8653.6278600000005</v>
      </c>
      <c r="D52" s="368">
        <f t="shared" si="7"/>
        <v>2</v>
      </c>
      <c r="E52" s="407">
        <f>IFERROR(100/'Skjema total MA'!C52*C52,0)</f>
        <v>12.274067802238916</v>
      </c>
      <c r="F52" s="144"/>
      <c r="G52" s="33"/>
      <c r="H52" s="144"/>
      <c r="I52" s="144"/>
      <c r="J52" s="33"/>
      <c r="K52" s="33"/>
      <c r="L52" s="158"/>
      <c r="M52" s="158"/>
      <c r="N52" s="147"/>
    </row>
    <row r="53" spans="1:14" s="3" customFormat="1" ht="15.6" x14ac:dyDescent="0.25">
      <c r="A53" s="39" t="s">
        <v>457</v>
      </c>
      <c r="B53" s="361">
        <v>2576</v>
      </c>
      <c r="C53" s="362">
        <v>1153</v>
      </c>
      <c r="D53" s="368">
        <f t="shared" si="7"/>
        <v>-55.2</v>
      </c>
      <c r="E53" s="407">
        <f>IFERROR(100/'Skjema total MA'!C53*C53,0)</f>
        <v>0.42161215827469134</v>
      </c>
      <c r="F53" s="144"/>
      <c r="G53" s="33"/>
      <c r="H53" s="144"/>
      <c r="I53" s="144"/>
      <c r="J53" s="33"/>
      <c r="K53" s="33"/>
      <c r="L53" s="158"/>
      <c r="M53" s="158"/>
      <c r="N53" s="147"/>
    </row>
    <row r="54" spans="1:14" s="3" customFormat="1" ht="15.6" x14ac:dyDescent="0.25">
      <c r="A54" s="38" t="s">
        <v>455</v>
      </c>
      <c r="B54" s="359">
        <v>2576</v>
      </c>
      <c r="C54" s="360">
        <v>1153</v>
      </c>
      <c r="D54" s="368">
        <f t="shared" si="7"/>
        <v>-55.2</v>
      </c>
      <c r="E54" s="407">
        <f>IFERROR(100/'Skjema total MA'!C54*C54,0)</f>
        <v>0.43127184563384091</v>
      </c>
      <c r="F54" s="144"/>
      <c r="G54" s="33"/>
      <c r="H54" s="144"/>
      <c r="I54" s="144"/>
      <c r="J54" s="33"/>
      <c r="K54" s="33"/>
      <c r="L54" s="158"/>
      <c r="M54" s="158"/>
      <c r="N54" s="147"/>
    </row>
    <row r="55" spans="1:14" s="3" customFormat="1" ht="15.6" x14ac:dyDescent="0.25">
      <c r="A55" s="38" t="s">
        <v>456</v>
      </c>
      <c r="B55" s="359"/>
      <c r="C55" s="360"/>
      <c r="D55" s="368"/>
      <c r="E55" s="407"/>
      <c r="F55" s="144"/>
      <c r="G55" s="33"/>
      <c r="H55" s="144"/>
      <c r="I55" s="144"/>
      <c r="J55" s="33"/>
      <c r="K55" s="33"/>
      <c r="L55" s="158"/>
      <c r="M55" s="158"/>
      <c r="N55" s="147"/>
    </row>
    <row r="56" spans="1:14" s="3" customFormat="1" ht="15.6" x14ac:dyDescent="0.25">
      <c r="A56" s="39" t="s">
        <v>458</v>
      </c>
      <c r="B56" s="361">
        <v>2259</v>
      </c>
      <c r="C56" s="362">
        <v>2628</v>
      </c>
      <c r="D56" s="368">
        <f t="shared" si="7"/>
        <v>16.3</v>
      </c>
      <c r="E56" s="407">
        <f>IFERROR(100/'Skjema total MA'!C56*C56,0)</f>
        <v>0.73587125098028661</v>
      </c>
      <c r="F56" s="144"/>
      <c r="G56" s="33"/>
      <c r="H56" s="144"/>
      <c r="I56" s="144"/>
      <c r="J56" s="33"/>
      <c r="K56" s="33"/>
      <c r="L56" s="158"/>
      <c r="M56" s="158"/>
      <c r="N56" s="147"/>
    </row>
    <row r="57" spans="1:14" s="3" customFormat="1" ht="15.6" x14ac:dyDescent="0.25">
      <c r="A57" s="38" t="s">
        <v>455</v>
      </c>
      <c r="B57" s="359">
        <v>2259</v>
      </c>
      <c r="C57" s="360">
        <v>2628</v>
      </c>
      <c r="D57" s="368">
        <f t="shared" si="7"/>
        <v>16.3</v>
      </c>
      <c r="E57" s="407">
        <f>IFERROR(100/'Skjema total MA'!C57*C57,0)</f>
        <v>0.73587125098028661</v>
      </c>
      <c r="F57" s="144"/>
      <c r="G57" s="33"/>
      <c r="H57" s="144"/>
      <c r="I57" s="144"/>
      <c r="J57" s="33"/>
      <c r="K57" s="33"/>
      <c r="L57" s="158"/>
      <c r="M57" s="158"/>
      <c r="N57" s="147"/>
    </row>
    <row r="58" spans="1:14" s="3" customFormat="1" ht="15.6" x14ac:dyDescent="0.25">
      <c r="A58" s="46" t="s">
        <v>456</v>
      </c>
      <c r="B58" s="381"/>
      <c r="C58" s="382"/>
      <c r="D58" s="372"/>
      <c r="E58" s="409"/>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352"/>
      <c r="C62" s="352"/>
      <c r="D62" s="352"/>
      <c r="E62" s="353"/>
      <c r="F62" s="352"/>
      <c r="G62" s="352"/>
      <c r="H62" s="352"/>
      <c r="I62" s="353"/>
      <c r="J62" s="352"/>
      <c r="K62" s="352"/>
      <c r="L62" s="352"/>
      <c r="M62" s="353"/>
    </row>
    <row r="63" spans="1:14" x14ac:dyDescent="0.25">
      <c r="A63" s="143"/>
      <c r="B63" s="959" t="s">
        <v>0</v>
      </c>
      <c r="C63" s="960"/>
      <c r="D63" s="961"/>
      <c r="E63" s="349"/>
      <c r="F63" s="960" t="s">
        <v>1</v>
      </c>
      <c r="G63" s="960"/>
      <c r="H63" s="960"/>
      <c r="I63" s="351"/>
      <c r="J63" s="959" t="s">
        <v>2</v>
      </c>
      <c r="K63" s="960"/>
      <c r="L63" s="960"/>
      <c r="M63" s="35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83"/>
      <c r="C66" s="383"/>
      <c r="D66" s="365"/>
      <c r="E66" s="366"/>
      <c r="F66" s="383"/>
      <c r="G66" s="383"/>
      <c r="H66" s="365"/>
      <c r="I66" s="366"/>
      <c r="J66" s="362"/>
      <c r="K66" s="356"/>
      <c r="L66" s="368"/>
      <c r="M66" s="366"/>
    </row>
    <row r="67" spans="1:14" x14ac:dyDescent="0.25">
      <c r="A67" s="21" t="s">
        <v>9</v>
      </c>
      <c r="B67" s="359"/>
      <c r="C67" s="384"/>
      <c r="D67" s="368"/>
      <c r="E67" s="366"/>
      <c r="F67" s="371"/>
      <c r="G67" s="384"/>
      <c r="H67" s="368"/>
      <c r="I67" s="366"/>
      <c r="J67" s="360"/>
      <c r="K67" s="359"/>
      <c r="L67" s="368"/>
      <c r="M67" s="366"/>
    </row>
    <row r="68" spans="1:14" x14ac:dyDescent="0.25">
      <c r="A68" s="21" t="s">
        <v>10</v>
      </c>
      <c r="B68" s="385"/>
      <c r="C68" s="386"/>
      <c r="D68" s="368"/>
      <c r="E68" s="366"/>
      <c r="F68" s="385"/>
      <c r="G68" s="386"/>
      <c r="H68" s="368"/>
      <c r="I68" s="366"/>
      <c r="J68" s="360"/>
      <c r="K68" s="359"/>
      <c r="L68" s="368"/>
      <c r="M68" s="366"/>
    </row>
    <row r="69" spans="1:14" ht="15.6" x14ac:dyDescent="0.25">
      <c r="A69" s="293" t="s">
        <v>459</v>
      </c>
      <c r="B69" s="359"/>
      <c r="C69" s="359"/>
      <c r="D69" s="368"/>
      <c r="E69" s="393"/>
      <c r="F69" s="359"/>
      <c r="G69" s="359"/>
      <c r="H69" s="368"/>
      <c r="I69" s="366"/>
      <c r="J69" s="358"/>
      <c r="K69" s="358"/>
      <c r="L69" s="368"/>
      <c r="M69" s="366"/>
    </row>
    <row r="70" spans="1:14" x14ac:dyDescent="0.25">
      <c r="A70" s="293" t="s">
        <v>12</v>
      </c>
      <c r="B70" s="387"/>
      <c r="C70" s="388"/>
      <c r="D70" s="368"/>
      <c r="E70" s="393"/>
      <c r="F70" s="359"/>
      <c r="G70" s="359"/>
      <c r="H70" s="368"/>
      <c r="I70" s="366"/>
      <c r="J70" s="358"/>
      <c r="K70" s="358"/>
      <c r="L70" s="368"/>
      <c r="M70" s="366"/>
    </row>
    <row r="71" spans="1:14" x14ac:dyDescent="0.25">
      <c r="A71" s="293" t="s">
        <v>13</v>
      </c>
      <c r="B71" s="389"/>
      <c r="C71" s="390"/>
      <c r="D71" s="368"/>
      <c r="E71" s="393"/>
      <c r="F71" s="359"/>
      <c r="G71" s="359"/>
      <c r="H71" s="368"/>
      <c r="I71" s="366"/>
      <c r="J71" s="358"/>
      <c r="K71" s="358"/>
      <c r="L71" s="368"/>
      <c r="M71" s="366"/>
    </row>
    <row r="72" spans="1:14" ht="15.6" x14ac:dyDescent="0.25">
      <c r="A72" s="293" t="s">
        <v>460</v>
      </c>
      <c r="B72" s="359"/>
      <c r="C72" s="359"/>
      <c r="D72" s="368"/>
      <c r="E72" s="393"/>
      <c r="F72" s="359"/>
      <c r="G72" s="359"/>
      <c r="H72" s="368"/>
      <c r="I72" s="366"/>
      <c r="J72" s="358"/>
      <c r="K72" s="358"/>
      <c r="L72" s="368"/>
      <c r="M72" s="366"/>
    </row>
    <row r="73" spans="1:14" x14ac:dyDescent="0.25">
      <c r="A73" s="293" t="s">
        <v>12</v>
      </c>
      <c r="B73" s="389"/>
      <c r="C73" s="390"/>
      <c r="D73" s="368"/>
      <c r="E73" s="393"/>
      <c r="F73" s="359"/>
      <c r="G73" s="359"/>
      <c r="H73" s="368"/>
      <c r="I73" s="366"/>
      <c r="J73" s="358"/>
      <c r="K73" s="358"/>
      <c r="L73" s="368"/>
      <c r="M73" s="366"/>
    </row>
    <row r="74" spans="1:14" s="3" customFormat="1" x14ac:dyDescent="0.25">
      <c r="A74" s="293" t="s">
        <v>13</v>
      </c>
      <c r="B74" s="389"/>
      <c r="C74" s="390"/>
      <c r="D74" s="368"/>
      <c r="E74" s="393"/>
      <c r="F74" s="359"/>
      <c r="G74" s="359"/>
      <c r="H74" s="368"/>
      <c r="I74" s="366"/>
      <c r="J74" s="358"/>
      <c r="K74" s="358"/>
      <c r="L74" s="368"/>
      <c r="M74" s="366"/>
      <c r="N74" s="147"/>
    </row>
    <row r="75" spans="1:14" s="3" customFormat="1" x14ac:dyDescent="0.25">
      <c r="A75" s="21" t="s">
        <v>348</v>
      </c>
      <c r="B75" s="371"/>
      <c r="C75" s="384"/>
      <c r="D75" s="368"/>
      <c r="E75" s="366"/>
      <c r="F75" s="371"/>
      <c r="G75" s="384"/>
      <c r="H75" s="368"/>
      <c r="I75" s="366"/>
      <c r="J75" s="360"/>
      <c r="K75" s="359"/>
      <c r="L75" s="368"/>
      <c r="M75" s="366"/>
      <c r="N75" s="147"/>
    </row>
    <row r="76" spans="1:14" s="3" customFormat="1" x14ac:dyDescent="0.25">
      <c r="A76" s="21" t="s">
        <v>347</v>
      </c>
      <c r="B76" s="371"/>
      <c r="C76" s="384"/>
      <c r="D76" s="368"/>
      <c r="E76" s="366"/>
      <c r="F76" s="371"/>
      <c r="G76" s="384"/>
      <c r="H76" s="368"/>
      <c r="I76" s="366"/>
      <c r="J76" s="360"/>
      <c r="K76" s="359"/>
      <c r="L76" s="368"/>
      <c r="M76" s="366"/>
      <c r="N76" s="147"/>
    </row>
    <row r="77" spans="1:14" ht="15.6" x14ac:dyDescent="0.25">
      <c r="A77" s="21" t="s">
        <v>461</v>
      </c>
      <c r="B77" s="371"/>
      <c r="C77" s="371"/>
      <c r="D77" s="368"/>
      <c r="E77" s="366"/>
      <c r="F77" s="371"/>
      <c r="G77" s="384"/>
      <c r="H77" s="368"/>
      <c r="I77" s="366"/>
      <c r="J77" s="360"/>
      <c r="K77" s="359"/>
      <c r="L77" s="368"/>
      <c r="M77" s="366"/>
    </row>
    <row r="78" spans="1:14" x14ac:dyDescent="0.25">
      <c r="A78" s="21" t="s">
        <v>9</v>
      </c>
      <c r="B78" s="371"/>
      <c r="C78" s="384"/>
      <c r="D78" s="368"/>
      <c r="E78" s="366"/>
      <c r="F78" s="371"/>
      <c r="G78" s="384"/>
      <c r="H78" s="368"/>
      <c r="I78" s="366"/>
      <c r="J78" s="360"/>
      <c r="K78" s="359"/>
      <c r="L78" s="368"/>
      <c r="M78" s="366"/>
    </row>
    <row r="79" spans="1:14" x14ac:dyDescent="0.25">
      <c r="A79" s="38" t="s">
        <v>495</v>
      </c>
      <c r="B79" s="385"/>
      <c r="C79" s="386"/>
      <c r="D79" s="368"/>
      <c r="E79" s="366"/>
      <c r="F79" s="385"/>
      <c r="G79" s="386"/>
      <c r="H79" s="368"/>
      <c r="I79" s="366"/>
      <c r="J79" s="360"/>
      <c r="K79" s="359"/>
      <c r="L79" s="368"/>
      <c r="M79" s="366"/>
    </row>
    <row r="80" spans="1:14" ht="15.6" x14ac:dyDescent="0.25">
      <c r="A80" s="293" t="s">
        <v>459</v>
      </c>
      <c r="B80" s="359"/>
      <c r="C80" s="359"/>
      <c r="D80" s="368"/>
      <c r="E80" s="393"/>
      <c r="F80" s="359"/>
      <c r="G80" s="359"/>
      <c r="H80" s="368"/>
      <c r="I80" s="366"/>
      <c r="J80" s="358"/>
      <c r="K80" s="358"/>
      <c r="L80" s="368"/>
      <c r="M80" s="366"/>
    </row>
    <row r="81" spans="1:13" x14ac:dyDescent="0.25">
      <c r="A81" s="293" t="s">
        <v>12</v>
      </c>
      <c r="B81" s="389"/>
      <c r="C81" s="390"/>
      <c r="D81" s="368"/>
      <c r="E81" s="393"/>
      <c r="F81" s="359"/>
      <c r="G81" s="359"/>
      <c r="H81" s="368"/>
      <c r="I81" s="366"/>
      <c r="J81" s="358"/>
      <c r="K81" s="358"/>
      <c r="L81" s="368"/>
      <c r="M81" s="366"/>
    </row>
    <row r="82" spans="1:13" x14ac:dyDescent="0.25">
      <c r="A82" s="293" t="s">
        <v>13</v>
      </c>
      <c r="B82" s="389"/>
      <c r="C82" s="390"/>
      <c r="D82" s="368"/>
      <c r="E82" s="393"/>
      <c r="F82" s="359"/>
      <c r="G82" s="359"/>
      <c r="H82" s="368"/>
      <c r="I82" s="366"/>
      <c r="J82" s="358"/>
      <c r="K82" s="358"/>
      <c r="L82" s="368"/>
      <c r="M82" s="366"/>
    </row>
    <row r="83" spans="1:13" ht="15.6" x14ac:dyDescent="0.25">
      <c r="A83" s="293" t="s">
        <v>460</v>
      </c>
      <c r="B83" s="359"/>
      <c r="C83" s="359"/>
      <c r="D83" s="368"/>
      <c r="E83" s="393"/>
      <c r="F83" s="359"/>
      <c r="G83" s="359"/>
      <c r="H83" s="368"/>
      <c r="I83" s="366"/>
      <c r="J83" s="358"/>
      <c r="K83" s="358"/>
      <c r="L83" s="368"/>
      <c r="M83" s="366"/>
    </row>
    <row r="84" spans="1:13" x14ac:dyDescent="0.25">
      <c r="A84" s="293" t="s">
        <v>12</v>
      </c>
      <c r="B84" s="389"/>
      <c r="C84" s="390"/>
      <c r="D84" s="368"/>
      <c r="E84" s="393"/>
      <c r="F84" s="359"/>
      <c r="G84" s="359"/>
      <c r="H84" s="368"/>
      <c r="I84" s="366"/>
      <c r="J84" s="358"/>
      <c r="K84" s="358"/>
      <c r="L84" s="368"/>
      <c r="M84" s="366"/>
    </row>
    <row r="85" spans="1:13" x14ac:dyDescent="0.25">
      <c r="A85" s="293" t="s">
        <v>13</v>
      </c>
      <c r="B85" s="389"/>
      <c r="C85" s="390"/>
      <c r="D85" s="368"/>
      <c r="E85" s="393"/>
      <c r="F85" s="359"/>
      <c r="G85" s="359"/>
      <c r="H85" s="368"/>
      <c r="I85" s="366"/>
      <c r="J85" s="358"/>
      <c r="K85" s="358"/>
      <c r="L85" s="368"/>
      <c r="M85" s="366"/>
    </row>
    <row r="86" spans="1:13" ht="15.6" x14ac:dyDescent="0.25">
      <c r="A86" s="21" t="s">
        <v>462</v>
      </c>
      <c r="B86" s="371"/>
      <c r="C86" s="384"/>
      <c r="D86" s="368"/>
      <c r="E86" s="366"/>
      <c r="F86" s="371"/>
      <c r="G86" s="384"/>
      <c r="H86" s="368"/>
      <c r="I86" s="366"/>
      <c r="J86" s="360"/>
      <c r="K86" s="359"/>
      <c r="L86" s="368"/>
      <c r="M86" s="366"/>
    </row>
    <row r="87" spans="1:13" ht="15.6" x14ac:dyDescent="0.25">
      <c r="A87" s="13" t="s">
        <v>444</v>
      </c>
      <c r="B87" s="383"/>
      <c r="C87" s="383"/>
      <c r="D87" s="368"/>
      <c r="E87" s="366"/>
      <c r="F87" s="383"/>
      <c r="G87" s="383"/>
      <c r="H87" s="368"/>
      <c r="I87" s="366"/>
      <c r="J87" s="362"/>
      <c r="K87" s="361"/>
      <c r="L87" s="368"/>
      <c r="M87" s="366"/>
    </row>
    <row r="88" spans="1:13" x14ac:dyDescent="0.25">
      <c r="A88" s="21" t="s">
        <v>9</v>
      </c>
      <c r="B88" s="371"/>
      <c r="C88" s="384"/>
      <c r="D88" s="368"/>
      <c r="E88" s="366"/>
      <c r="F88" s="371"/>
      <c r="G88" s="384"/>
      <c r="H88" s="368"/>
      <c r="I88" s="366"/>
      <c r="J88" s="360"/>
      <c r="K88" s="359"/>
      <c r="L88" s="368"/>
      <c r="M88" s="366"/>
    </row>
    <row r="89" spans="1:13" x14ac:dyDescent="0.25">
      <c r="A89" s="21" t="s">
        <v>10</v>
      </c>
      <c r="B89" s="371"/>
      <c r="C89" s="384"/>
      <c r="D89" s="368"/>
      <c r="E89" s="366"/>
      <c r="F89" s="371"/>
      <c r="G89" s="384"/>
      <c r="H89" s="368"/>
      <c r="I89" s="366"/>
      <c r="J89" s="360"/>
      <c r="K89" s="359"/>
      <c r="L89" s="368"/>
      <c r="M89" s="366"/>
    </row>
    <row r="90" spans="1:13" ht="15.6" x14ac:dyDescent="0.25">
      <c r="A90" s="293" t="s">
        <v>459</v>
      </c>
      <c r="B90" s="359"/>
      <c r="C90" s="359"/>
      <c r="D90" s="368"/>
      <c r="E90" s="393"/>
      <c r="F90" s="359"/>
      <c r="G90" s="359"/>
      <c r="H90" s="368"/>
      <c r="I90" s="366"/>
      <c r="J90" s="358"/>
      <c r="K90" s="358"/>
      <c r="L90" s="368"/>
      <c r="M90" s="366"/>
    </row>
    <row r="91" spans="1:13" x14ac:dyDescent="0.25">
      <c r="A91" s="293" t="s">
        <v>12</v>
      </c>
      <c r="B91" s="389"/>
      <c r="C91" s="390"/>
      <c r="D91" s="368"/>
      <c r="E91" s="393"/>
      <c r="F91" s="359"/>
      <c r="G91" s="359"/>
      <c r="H91" s="368"/>
      <c r="I91" s="366"/>
      <c r="J91" s="358"/>
      <c r="K91" s="358"/>
      <c r="L91" s="368"/>
      <c r="M91" s="366"/>
    </row>
    <row r="92" spans="1:13" x14ac:dyDescent="0.25">
      <c r="A92" s="293" t="s">
        <v>13</v>
      </c>
      <c r="B92" s="389"/>
      <c r="C92" s="390"/>
      <c r="D92" s="368"/>
      <c r="E92" s="393"/>
      <c r="F92" s="359"/>
      <c r="G92" s="359"/>
      <c r="H92" s="368"/>
      <c r="I92" s="366"/>
      <c r="J92" s="358"/>
      <c r="K92" s="358"/>
      <c r="L92" s="368"/>
      <c r="M92" s="366"/>
    </row>
    <row r="93" spans="1:13" ht="15.6" x14ac:dyDescent="0.25">
      <c r="A93" s="293" t="s">
        <v>460</v>
      </c>
      <c r="B93" s="359"/>
      <c r="C93" s="359"/>
      <c r="D93" s="368"/>
      <c r="E93" s="393"/>
      <c r="F93" s="359"/>
      <c r="G93" s="359"/>
      <c r="H93" s="368"/>
      <c r="I93" s="366"/>
      <c r="J93" s="358"/>
      <c r="K93" s="358"/>
      <c r="L93" s="368"/>
      <c r="M93" s="366"/>
    </row>
    <row r="94" spans="1:13" x14ac:dyDescent="0.25">
      <c r="A94" s="293" t="s">
        <v>12</v>
      </c>
      <c r="B94" s="389"/>
      <c r="C94" s="390"/>
      <c r="D94" s="368"/>
      <c r="E94" s="393"/>
      <c r="F94" s="359"/>
      <c r="G94" s="359"/>
      <c r="H94" s="368"/>
      <c r="I94" s="366"/>
      <c r="J94" s="358"/>
      <c r="K94" s="358"/>
      <c r="L94" s="368"/>
      <c r="M94" s="366"/>
    </row>
    <row r="95" spans="1:13" x14ac:dyDescent="0.25">
      <c r="A95" s="293" t="s">
        <v>13</v>
      </c>
      <c r="B95" s="389"/>
      <c r="C95" s="390"/>
      <c r="D95" s="368"/>
      <c r="E95" s="393"/>
      <c r="F95" s="359"/>
      <c r="G95" s="359"/>
      <c r="H95" s="368"/>
      <c r="I95" s="366"/>
      <c r="J95" s="358"/>
      <c r="K95" s="358"/>
      <c r="L95" s="368"/>
      <c r="M95" s="366"/>
    </row>
    <row r="96" spans="1:13" x14ac:dyDescent="0.25">
      <c r="A96" s="21" t="s">
        <v>346</v>
      </c>
      <c r="B96" s="371"/>
      <c r="C96" s="384"/>
      <c r="D96" s="368"/>
      <c r="E96" s="366"/>
      <c r="F96" s="371"/>
      <c r="G96" s="384"/>
      <c r="H96" s="368"/>
      <c r="I96" s="366"/>
      <c r="J96" s="360"/>
      <c r="K96" s="359"/>
      <c r="L96" s="368"/>
      <c r="M96" s="366"/>
    </row>
    <row r="97" spans="1:13" x14ac:dyDescent="0.25">
      <c r="A97" s="21" t="s">
        <v>345</v>
      </c>
      <c r="B97" s="371"/>
      <c r="C97" s="384"/>
      <c r="D97" s="368"/>
      <c r="E97" s="366"/>
      <c r="F97" s="371"/>
      <c r="G97" s="384"/>
      <c r="H97" s="368"/>
      <c r="I97" s="366"/>
      <c r="J97" s="360"/>
      <c r="K97" s="359"/>
      <c r="L97" s="368"/>
      <c r="M97" s="366"/>
    </row>
    <row r="98" spans="1:13" ht="15.6" x14ac:dyDescent="0.25">
      <c r="A98" s="21" t="s">
        <v>461</v>
      </c>
      <c r="B98" s="371"/>
      <c r="C98" s="371"/>
      <c r="D98" s="368"/>
      <c r="E98" s="366"/>
      <c r="F98" s="385"/>
      <c r="G98" s="385"/>
      <c r="H98" s="368"/>
      <c r="I98" s="366"/>
      <c r="J98" s="360"/>
      <c r="K98" s="359"/>
      <c r="L98" s="368"/>
      <c r="M98" s="366"/>
    </row>
    <row r="99" spans="1:13" x14ac:dyDescent="0.25">
      <c r="A99" s="21" t="s">
        <v>9</v>
      </c>
      <c r="B99" s="385"/>
      <c r="C99" s="386"/>
      <c r="D99" s="368"/>
      <c r="E99" s="366"/>
      <c r="F99" s="371"/>
      <c r="G99" s="384"/>
      <c r="H99" s="368"/>
      <c r="I99" s="366"/>
      <c r="J99" s="360"/>
      <c r="K99" s="359"/>
      <c r="L99" s="368"/>
      <c r="M99" s="366"/>
    </row>
    <row r="100" spans="1:13" x14ac:dyDescent="0.25">
      <c r="A100" s="38" t="s">
        <v>495</v>
      </c>
      <c r="B100" s="385"/>
      <c r="C100" s="386"/>
      <c r="D100" s="368"/>
      <c r="E100" s="366"/>
      <c r="F100" s="371"/>
      <c r="G100" s="371"/>
      <c r="H100" s="368"/>
      <c r="I100" s="366"/>
      <c r="J100" s="360"/>
      <c r="K100" s="359"/>
      <c r="L100" s="368"/>
      <c r="M100" s="366"/>
    </row>
    <row r="101" spans="1:13" ht="15.6" x14ac:dyDescent="0.25">
      <c r="A101" s="293" t="s">
        <v>459</v>
      </c>
      <c r="B101" s="359"/>
      <c r="C101" s="359"/>
      <c r="D101" s="368"/>
      <c r="E101" s="393"/>
      <c r="F101" s="359"/>
      <c r="G101" s="359"/>
      <c r="H101" s="368"/>
      <c r="I101" s="366"/>
      <c r="J101" s="358"/>
      <c r="K101" s="358"/>
      <c r="L101" s="368"/>
      <c r="M101" s="366"/>
    </row>
    <row r="102" spans="1:13" x14ac:dyDescent="0.25">
      <c r="A102" s="293" t="s">
        <v>12</v>
      </c>
      <c r="B102" s="389"/>
      <c r="C102" s="390"/>
      <c r="D102" s="368"/>
      <c r="E102" s="393"/>
      <c r="F102" s="359"/>
      <c r="G102" s="359"/>
      <c r="H102" s="368"/>
      <c r="I102" s="366"/>
      <c r="J102" s="358"/>
      <c r="K102" s="358"/>
      <c r="L102" s="368"/>
      <c r="M102" s="366"/>
    </row>
    <row r="103" spans="1:13" x14ac:dyDescent="0.25">
      <c r="A103" s="293" t="s">
        <v>13</v>
      </c>
      <c r="B103" s="389"/>
      <c r="C103" s="390"/>
      <c r="D103" s="368"/>
      <c r="E103" s="393"/>
      <c r="F103" s="359"/>
      <c r="G103" s="359"/>
      <c r="H103" s="368"/>
      <c r="I103" s="366"/>
      <c r="J103" s="358"/>
      <c r="K103" s="358"/>
      <c r="L103" s="368"/>
      <c r="M103" s="366"/>
    </row>
    <row r="104" spans="1:13" ht="15.6" x14ac:dyDescent="0.25">
      <c r="A104" s="293" t="s">
        <v>460</v>
      </c>
      <c r="B104" s="359"/>
      <c r="C104" s="359"/>
      <c r="D104" s="368"/>
      <c r="E104" s="393"/>
      <c r="F104" s="359"/>
      <c r="G104" s="359"/>
      <c r="H104" s="368"/>
      <c r="I104" s="366"/>
      <c r="J104" s="358"/>
      <c r="K104" s="358"/>
      <c r="L104" s="368"/>
      <c r="M104" s="366"/>
    </row>
    <row r="105" spans="1:13" x14ac:dyDescent="0.25">
      <c r="A105" s="293" t="s">
        <v>12</v>
      </c>
      <c r="B105" s="389"/>
      <c r="C105" s="390"/>
      <c r="D105" s="368"/>
      <c r="E105" s="393"/>
      <c r="F105" s="359"/>
      <c r="G105" s="359"/>
      <c r="H105" s="368"/>
      <c r="I105" s="366"/>
      <c r="J105" s="358"/>
      <c r="K105" s="358"/>
      <c r="L105" s="368"/>
      <c r="M105" s="366"/>
    </row>
    <row r="106" spans="1:13" x14ac:dyDescent="0.25">
      <c r="A106" s="293" t="s">
        <v>13</v>
      </c>
      <c r="B106" s="389"/>
      <c r="C106" s="390"/>
      <c r="D106" s="368"/>
      <c r="E106" s="393"/>
      <c r="F106" s="359"/>
      <c r="G106" s="359"/>
      <c r="H106" s="368"/>
      <c r="I106" s="366"/>
      <c r="J106" s="358"/>
      <c r="K106" s="358"/>
      <c r="L106" s="368"/>
      <c r="M106" s="366"/>
    </row>
    <row r="107" spans="1:13" ht="15.6" x14ac:dyDescent="0.25">
      <c r="A107" s="21" t="s">
        <v>462</v>
      </c>
      <c r="B107" s="371"/>
      <c r="C107" s="384"/>
      <c r="D107" s="368"/>
      <c r="E107" s="366"/>
      <c r="F107" s="371"/>
      <c r="G107" s="384"/>
      <c r="H107" s="368"/>
      <c r="I107" s="366"/>
      <c r="J107" s="360"/>
      <c r="K107" s="359"/>
      <c r="L107" s="368"/>
      <c r="M107" s="366"/>
    </row>
    <row r="108" spans="1:13" ht="15.6" x14ac:dyDescent="0.25">
      <c r="A108" s="21" t="s">
        <v>463</v>
      </c>
      <c r="B108" s="371"/>
      <c r="C108" s="371"/>
      <c r="D108" s="368"/>
      <c r="E108" s="366"/>
      <c r="F108" s="371"/>
      <c r="G108" s="371"/>
      <c r="H108" s="368"/>
      <c r="I108" s="366"/>
      <c r="J108" s="360"/>
      <c r="K108" s="359"/>
      <c r="L108" s="368"/>
      <c r="M108" s="366"/>
    </row>
    <row r="109" spans="1:13" ht="15.75" customHeight="1" x14ac:dyDescent="0.25">
      <c r="A109" s="21" t="s">
        <v>510</v>
      </c>
      <c r="B109" s="371"/>
      <c r="C109" s="371"/>
      <c r="D109" s="368"/>
      <c r="E109" s="366"/>
      <c r="F109" s="371"/>
      <c r="G109" s="371"/>
      <c r="H109" s="368"/>
      <c r="I109" s="366"/>
      <c r="J109" s="360"/>
      <c r="K109" s="359"/>
      <c r="L109" s="368"/>
      <c r="M109" s="366"/>
    </row>
    <row r="110" spans="1:13" ht="15.6" x14ac:dyDescent="0.25">
      <c r="A110" s="21" t="s">
        <v>464</v>
      </c>
      <c r="B110" s="371"/>
      <c r="C110" s="371"/>
      <c r="D110" s="368"/>
      <c r="E110" s="366"/>
      <c r="F110" s="371"/>
      <c r="G110" s="371"/>
      <c r="H110" s="368"/>
      <c r="I110" s="366"/>
      <c r="J110" s="360"/>
      <c r="K110" s="359"/>
      <c r="L110" s="368"/>
      <c r="M110" s="366"/>
    </row>
    <row r="111" spans="1:13" ht="15.6" x14ac:dyDescent="0.25">
      <c r="A111" s="13" t="s">
        <v>445</v>
      </c>
      <c r="B111" s="367"/>
      <c r="C111" s="391"/>
      <c r="D111" s="368"/>
      <c r="E111" s="366"/>
      <c r="F111" s="367"/>
      <c r="G111" s="391"/>
      <c r="H111" s="368"/>
      <c r="I111" s="366"/>
      <c r="J111" s="362"/>
      <c r="K111" s="361"/>
      <c r="L111" s="368"/>
      <c r="M111" s="366"/>
    </row>
    <row r="112" spans="1:13" x14ac:dyDescent="0.25">
      <c r="A112" s="21" t="s">
        <v>9</v>
      </c>
      <c r="B112" s="371"/>
      <c r="C112" s="384"/>
      <c r="D112" s="368"/>
      <c r="E112" s="366"/>
      <c r="F112" s="371"/>
      <c r="G112" s="384"/>
      <c r="H112" s="368"/>
      <c r="I112" s="366"/>
      <c r="J112" s="360"/>
      <c r="K112" s="359"/>
      <c r="L112" s="368"/>
      <c r="M112" s="366"/>
    </row>
    <row r="113" spans="1:14" x14ac:dyDescent="0.25">
      <c r="A113" s="21" t="s">
        <v>495</v>
      </c>
      <c r="B113" s="371"/>
      <c r="C113" s="384"/>
      <c r="D113" s="368"/>
      <c r="E113" s="366"/>
      <c r="F113" s="371"/>
      <c r="G113" s="384"/>
      <c r="H113" s="368"/>
      <c r="I113" s="366"/>
      <c r="J113" s="360"/>
      <c r="K113" s="359"/>
      <c r="L113" s="368"/>
      <c r="M113" s="366"/>
    </row>
    <row r="114" spans="1:14" x14ac:dyDescent="0.25">
      <c r="A114" s="21" t="s">
        <v>26</v>
      </c>
      <c r="B114" s="371"/>
      <c r="C114" s="384"/>
      <c r="D114" s="368"/>
      <c r="E114" s="366"/>
      <c r="F114" s="371"/>
      <c r="G114" s="384"/>
      <c r="H114" s="368"/>
      <c r="I114" s="366"/>
      <c r="J114" s="360"/>
      <c r="K114" s="359"/>
      <c r="L114" s="368"/>
      <c r="M114" s="366"/>
    </row>
    <row r="115" spans="1:14" x14ac:dyDescent="0.25">
      <c r="A115" s="293" t="s">
        <v>15</v>
      </c>
      <c r="B115" s="359"/>
      <c r="C115" s="359"/>
      <c r="D115" s="368"/>
      <c r="E115" s="393"/>
      <c r="F115" s="359"/>
      <c r="G115" s="359"/>
      <c r="H115" s="368"/>
      <c r="I115" s="366"/>
      <c r="J115" s="358"/>
      <c r="K115" s="358"/>
      <c r="L115" s="368"/>
      <c r="M115" s="366"/>
    </row>
    <row r="116" spans="1:14" ht="15.6" x14ac:dyDescent="0.25">
      <c r="A116" s="21" t="s">
        <v>465</v>
      </c>
      <c r="B116" s="371"/>
      <c r="C116" s="371"/>
      <c r="D116" s="368"/>
      <c r="E116" s="366"/>
      <c r="F116" s="371"/>
      <c r="G116" s="371"/>
      <c r="H116" s="368"/>
      <c r="I116" s="366"/>
      <c r="J116" s="360"/>
      <c r="K116" s="359"/>
      <c r="L116" s="368"/>
      <c r="M116" s="366"/>
    </row>
    <row r="117" spans="1:14" ht="15.75" customHeight="1" x14ac:dyDescent="0.25">
      <c r="A117" s="21" t="s">
        <v>510</v>
      </c>
      <c r="B117" s="371"/>
      <c r="C117" s="371"/>
      <c r="D117" s="368"/>
      <c r="E117" s="366"/>
      <c r="F117" s="371"/>
      <c r="G117" s="371"/>
      <c r="H117" s="368"/>
      <c r="I117" s="366"/>
      <c r="J117" s="360"/>
      <c r="K117" s="359"/>
      <c r="L117" s="368"/>
      <c r="M117" s="366"/>
    </row>
    <row r="118" spans="1:14" ht="15.6" x14ac:dyDescent="0.25">
      <c r="A118" s="21" t="s">
        <v>464</v>
      </c>
      <c r="B118" s="371"/>
      <c r="C118" s="371"/>
      <c r="D118" s="368"/>
      <c r="E118" s="366"/>
      <c r="F118" s="371"/>
      <c r="G118" s="371"/>
      <c r="H118" s="368"/>
      <c r="I118" s="366"/>
      <c r="J118" s="360"/>
      <c r="K118" s="359"/>
      <c r="L118" s="368"/>
      <c r="M118" s="366"/>
    </row>
    <row r="119" spans="1:14" ht="15.6" x14ac:dyDescent="0.25">
      <c r="A119" s="13" t="s">
        <v>446</v>
      </c>
      <c r="B119" s="367"/>
      <c r="C119" s="391"/>
      <c r="D119" s="368"/>
      <c r="E119" s="366"/>
      <c r="F119" s="367"/>
      <c r="G119" s="391"/>
      <c r="H119" s="368"/>
      <c r="I119" s="366"/>
      <c r="J119" s="362"/>
      <c r="K119" s="361"/>
      <c r="L119" s="368"/>
      <c r="M119" s="366"/>
    </row>
    <row r="120" spans="1:14" x14ac:dyDescent="0.25">
      <c r="A120" s="21" t="s">
        <v>9</v>
      </c>
      <c r="B120" s="371"/>
      <c r="C120" s="384"/>
      <c r="D120" s="368"/>
      <c r="E120" s="366"/>
      <c r="F120" s="371"/>
      <c r="G120" s="384"/>
      <c r="H120" s="368"/>
      <c r="I120" s="366"/>
      <c r="J120" s="360"/>
      <c r="K120" s="359"/>
      <c r="L120" s="368"/>
      <c r="M120" s="366"/>
    </row>
    <row r="121" spans="1:14" x14ac:dyDescent="0.25">
      <c r="A121" s="21" t="s">
        <v>495</v>
      </c>
      <c r="B121" s="371"/>
      <c r="C121" s="384"/>
      <c r="D121" s="368"/>
      <c r="E121" s="366"/>
      <c r="F121" s="371"/>
      <c r="G121" s="384"/>
      <c r="H121" s="368"/>
      <c r="I121" s="366"/>
      <c r="J121" s="360"/>
      <c r="K121" s="359"/>
      <c r="L121" s="368"/>
      <c r="M121" s="366"/>
    </row>
    <row r="122" spans="1:14" x14ac:dyDescent="0.25">
      <c r="A122" s="21" t="s">
        <v>26</v>
      </c>
      <c r="B122" s="371"/>
      <c r="C122" s="384"/>
      <c r="D122" s="368"/>
      <c r="E122" s="366"/>
      <c r="F122" s="371"/>
      <c r="G122" s="384"/>
      <c r="H122" s="368"/>
      <c r="I122" s="366"/>
      <c r="J122" s="360"/>
      <c r="K122" s="359"/>
      <c r="L122" s="368"/>
      <c r="M122" s="366"/>
    </row>
    <row r="123" spans="1:14" x14ac:dyDescent="0.25">
      <c r="A123" s="293" t="s">
        <v>14</v>
      </c>
      <c r="B123" s="359"/>
      <c r="C123" s="359"/>
      <c r="D123" s="368"/>
      <c r="E123" s="393"/>
      <c r="F123" s="359"/>
      <c r="G123" s="359"/>
      <c r="H123" s="368"/>
      <c r="I123" s="366"/>
      <c r="J123" s="358"/>
      <c r="K123" s="358"/>
      <c r="L123" s="368"/>
      <c r="M123" s="366"/>
    </row>
    <row r="124" spans="1:14" ht="15.6" x14ac:dyDescent="0.25">
      <c r="A124" s="21" t="s">
        <v>470</v>
      </c>
      <c r="B124" s="371"/>
      <c r="C124" s="371"/>
      <c r="D124" s="368"/>
      <c r="E124" s="366"/>
      <c r="F124" s="371"/>
      <c r="G124" s="371"/>
      <c r="H124" s="368"/>
      <c r="I124" s="366"/>
      <c r="J124" s="360"/>
      <c r="K124" s="359"/>
      <c r="L124" s="368"/>
      <c r="M124" s="366"/>
    </row>
    <row r="125" spans="1:14" ht="15.75" customHeight="1" x14ac:dyDescent="0.25">
      <c r="A125" s="21" t="s">
        <v>510</v>
      </c>
      <c r="B125" s="371"/>
      <c r="C125" s="371"/>
      <c r="D125" s="368"/>
      <c r="E125" s="366"/>
      <c r="F125" s="371"/>
      <c r="G125" s="371"/>
      <c r="H125" s="368"/>
      <c r="I125" s="366"/>
      <c r="J125" s="360"/>
      <c r="K125" s="359"/>
      <c r="L125" s="368"/>
      <c r="M125" s="366"/>
    </row>
    <row r="126" spans="1:14" ht="15.6" x14ac:dyDescent="0.25">
      <c r="A126" s="10" t="s">
        <v>464</v>
      </c>
      <c r="B126" s="381"/>
      <c r="C126" s="381"/>
      <c r="D126" s="372"/>
      <c r="E126" s="392"/>
      <c r="F126" s="381"/>
      <c r="G126" s="381"/>
      <c r="H126" s="372"/>
      <c r="I126" s="372"/>
      <c r="J126" s="382"/>
      <c r="K126" s="381"/>
      <c r="L126" s="372"/>
      <c r="M126" s="37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352"/>
      <c r="C130" s="352"/>
      <c r="D130" s="352"/>
      <c r="E130" s="353"/>
      <c r="F130" s="352"/>
      <c r="G130" s="352"/>
      <c r="H130" s="352"/>
      <c r="I130" s="353"/>
      <c r="J130" s="352"/>
      <c r="K130" s="352"/>
      <c r="L130" s="352"/>
      <c r="M130" s="353"/>
    </row>
    <row r="131" spans="1:14" s="3" customFormat="1" x14ac:dyDescent="0.25">
      <c r="A131" s="143"/>
      <c r="B131" s="959" t="s">
        <v>0</v>
      </c>
      <c r="C131" s="960"/>
      <c r="D131" s="960"/>
      <c r="E131" s="350"/>
      <c r="F131" s="959" t="s">
        <v>1</v>
      </c>
      <c r="G131" s="960"/>
      <c r="H131" s="960"/>
      <c r="I131" s="351"/>
      <c r="J131" s="959" t="s">
        <v>2</v>
      </c>
      <c r="K131" s="960"/>
      <c r="L131" s="960"/>
      <c r="M131" s="351"/>
      <c r="N131" s="147"/>
    </row>
    <row r="132" spans="1:14" s="3" customFormat="1" x14ac:dyDescent="0.25">
      <c r="A132" s="139"/>
      <c r="B132" s="151" t="s">
        <v>508</v>
      </c>
      <c r="C132" s="151" t="s">
        <v>509</v>
      </c>
      <c r="D132" s="243" t="s">
        <v>3</v>
      </c>
      <c r="E132" s="302" t="s">
        <v>29</v>
      </c>
      <c r="F132" s="151" t="s">
        <v>508</v>
      </c>
      <c r="G132" s="151" t="s">
        <v>509</v>
      </c>
      <c r="H132" s="204" t="s">
        <v>3</v>
      </c>
      <c r="I132" s="302"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361"/>
      <c r="C134" s="362"/>
      <c r="D134" s="365"/>
      <c r="E134" s="366"/>
      <c r="F134" s="356"/>
      <c r="G134" s="357"/>
      <c r="H134" s="394"/>
      <c r="I134" s="366"/>
      <c r="J134" s="374"/>
      <c r="K134" s="374"/>
      <c r="L134" s="365"/>
      <c r="M134" s="366"/>
      <c r="N134" s="147"/>
    </row>
    <row r="135" spans="1:14" s="3" customFormat="1" ht="15.6" x14ac:dyDescent="0.25">
      <c r="A135" s="13" t="s">
        <v>471</v>
      </c>
      <c r="B135" s="361"/>
      <c r="C135" s="362"/>
      <c r="D135" s="368"/>
      <c r="E135" s="366"/>
      <c r="F135" s="361"/>
      <c r="G135" s="362"/>
      <c r="H135" s="395"/>
      <c r="I135" s="366"/>
      <c r="J135" s="367"/>
      <c r="K135" s="367"/>
      <c r="L135" s="368"/>
      <c r="M135" s="366"/>
      <c r="N135" s="147"/>
    </row>
    <row r="136" spans="1:14" s="3" customFormat="1" ht="15.6" x14ac:dyDescent="0.25">
      <c r="A136" s="13" t="s">
        <v>468</v>
      </c>
      <c r="B136" s="361"/>
      <c r="C136" s="362"/>
      <c r="D136" s="368"/>
      <c r="E136" s="366"/>
      <c r="F136" s="361"/>
      <c r="G136" s="362"/>
      <c r="H136" s="395"/>
      <c r="I136" s="366"/>
      <c r="J136" s="367"/>
      <c r="K136" s="367"/>
      <c r="L136" s="368"/>
      <c r="M136" s="366"/>
      <c r="N136" s="147"/>
    </row>
    <row r="137" spans="1:14" s="3" customFormat="1" ht="15.6" x14ac:dyDescent="0.25">
      <c r="A137" s="41" t="s">
        <v>469</v>
      </c>
      <c r="B137" s="363"/>
      <c r="C137" s="364"/>
      <c r="D137" s="372"/>
      <c r="E137" s="392"/>
      <c r="F137" s="363"/>
      <c r="G137" s="364"/>
      <c r="H137" s="396"/>
      <c r="I137" s="392"/>
      <c r="J137" s="373"/>
      <c r="K137" s="373"/>
      <c r="L137" s="372"/>
      <c r="M137" s="372"/>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B50:C52">
    <cfRule type="expression" dxfId="2134" priority="132">
      <formula>kvartal &lt; 4</formula>
    </cfRule>
  </conditionalFormatting>
  <conditionalFormatting sqref="B69">
    <cfRule type="expression" dxfId="2133" priority="100">
      <formula>kvartal &lt; 4</formula>
    </cfRule>
  </conditionalFormatting>
  <conditionalFormatting sqref="C69">
    <cfRule type="expression" dxfId="2132" priority="99">
      <formula>kvartal &lt; 4</formula>
    </cfRule>
  </conditionalFormatting>
  <conditionalFormatting sqref="B72">
    <cfRule type="expression" dxfId="2131" priority="98">
      <formula>kvartal &lt; 4</formula>
    </cfRule>
  </conditionalFormatting>
  <conditionalFormatting sqref="C72">
    <cfRule type="expression" dxfId="2130" priority="97">
      <formula>kvartal &lt; 4</formula>
    </cfRule>
  </conditionalFormatting>
  <conditionalFormatting sqref="B80">
    <cfRule type="expression" dxfId="2129" priority="96">
      <formula>kvartal &lt; 4</formula>
    </cfRule>
  </conditionalFormatting>
  <conditionalFormatting sqref="C80">
    <cfRule type="expression" dxfId="2128" priority="95">
      <formula>kvartal &lt; 4</formula>
    </cfRule>
  </conditionalFormatting>
  <conditionalFormatting sqref="B83">
    <cfRule type="expression" dxfId="2127" priority="94">
      <formula>kvartal &lt; 4</formula>
    </cfRule>
  </conditionalFormatting>
  <conditionalFormatting sqref="C83">
    <cfRule type="expression" dxfId="2126" priority="93">
      <formula>kvartal &lt; 4</formula>
    </cfRule>
  </conditionalFormatting>
  <conditionalFormatting sqref="B90">
    <cfRule type="expression" dxfId="2125" priority="84">
      <formula>kvartal &lt; 4</formula>
    </cfRule>
  </conditionalFormatting>
  <conditionalFormatting sqref="C90">
    <cfRule type="expression" dxfId="2124" priority="83">
      <formula>kvartal &lt; 4</formula>
    </cfRule>
  </conditionalFormatting>
  <conditionalFormatting sqref="B93">
    <cfRule type="expression" dxfId="2123" priority="82">
      <formula>kvartal &lt; 4</formula>
    </cfRule>
  </conditionalFormatting>
  <conditionalFormatting sqref="C93">
    <cfRule type="expression" dxfId="2122" priority="81">
      <formula>kvartal &lt; 4</formula>
    </cfRule>
  </conditionalFormatting>
  <conditionalFormatting sqref="B101">
    <cfRule type="expression" dxfId="2121" priority="80">
      <formula>kvartal &lt; 4</formula>
    </cfRule>
  </conditionalFormatting>
  <conditionalFormatting sqref="C101">
    <cfRule type="expression" dxfId="2120" priority="79">
      <formula>kvartal &lt; 4</formula>
    </cfRule>
  </conditionalFormatting>
  <conditionalFormatting sqref="B104">
    <cfRule type="expression" dxfId="2119" priority="78">
      <formula>kvartal &lt; 4</formula>
    </cfRule>
  </conditionalFormatting>
  <conditionalFormatting sqref="C104">
    <cfRule type="expression" dxfId="2118" priority="77">
      <formula>kvartal &lt; 4</formula>
    </cfRule>
  </conditionalFormatting>
  <conditionalFormatting sqref="B115">
    <cfRule type="expression" dxfId="2117" priority="76">
      <formula>kvartal &lt; 4</formula>
    </cfRule>
  </conditionalFormatting>
  <conditionalFormatting sqref="C115">
    <cfRule type="expression" dxfId="2116" priority="75">
      <formula>kvartal &lt; 4</formula>
    </cfRule>
  </conditionalFormatting>
  <conditionalFormatting sqref="B123">
    <cfRule type="expression" dxfId="2115" priority="74">
      <formula>kvartal &lt; 4</formula>
    </cfRule>
  </conditionalFormatting>
  <conditionalFormatting sqref="C123">
    <cfRule type="expression" dxfId="2114" priority="73">
      <formula>kvartal &lt; 4</formula>
    </cfRule>
  </conditionalFormatting>
  <conditionalFormatting sqref="F70">
    <cfRule type="expression" dxfId="2113" priority="72">
      <formula>kvartal &lt; 4</formula>
    </cfRule>
  </conditionalFormatting>
  <conditionalFormatting sqref="G70">
    <cfRule type="expression" dxfId="2112" priority="71">
      <formula>kvartal &lt; 4</formula>
    </cfRule>
  </conditionalFormatting>
  <conditionalFormatting sqref="F71:G71">
    <cfRule type="expression" dxfId="2111" priority="70">
      <formula>kvartal &lt; 4</formula>
    </cfRule>
  </conditionalFormatting>
  <conditionalFormatting sqref="F73:G74">
    <cfRule type="expression" dxfId="2110" priority="69">
      <formula>kvartal &lt; 4</formula>
    </cfRule>
  </conditionalFormatting>
  <conditionalFormatting sqref="F81:G82">
    <cfRule type="expression" dxfId="2109" priority="68">
      <formula>kvartal &lt; 4</formula>
    </cfRule>
  </conditionalFormatting>
  <conditionalFormatting sqref="F84:G85">
    <cfRule type="expression" dxfId="2108" priority="67">
      <formula>kvartal &lt; 4</formula>
    </cfRule>
  </conditionalFormatting>
  <conditionalFormatting sqref="F91:G92">
    <cfRule type="expression" dxfId="2107" priority="62">
      <formula>kvartal &lt; 4</formula>
    </cfRule>
  </conditionalFormatting>
  <conditionalFormatting sqref="F94:G95">
    <cfRule type="expression" dxfId="2106" priority="61">
      <formula>kvartal &lt; 4</formula>
    </cfRule>
  </conditionalFormatting>
  <conditionalFormatting sqref="F102:G103">
    <cfRule type="expression" dxfId="2105" priority="60">
      <formula>kvartal &lt; 4</formula>
    </cfRule>
  </conditionalFormatting>
  <conditionalFormatting sqref="F105:G106">
    <cfRule type="expression" dxfId="2104" priority="59">
      <formula>kvartal &lt; 4</formula>
    </cfRule>
  </conditionalFormatting>
  <conditionalFormatting sqref="F115">
    <cfRule type="expression" dxfId="2103" priority="58">
      <formula>kvartal &lt; 4</formula>
    </cfRule>
  </conditionalFormatting>
  <conditionalFormatting sqref="G115">
    <cfRule type="expression" dxfId="2102" priority="57">
      <formula>kvartal &lt; 4</formula>
    </cfRule>
  </conditionalFormatting>
  <conditionalFormatting sqref="F123:G123">
    <cfRule type="expression" dxfId="2101" priority="56">
      <formula>kvartal &lt; 4</formula>
    </cfRule>
  </conditionalFormatting>
  <conditionalFormatting sqref="F69:G69">
    <cfRule type="expression" dxfId="2100" priority="55">
      <formula>kvartal &lt; 4</formula>
    </cfRule>
  </conditionalFormatting>
  <conditionalFormatting sqref="F72:G72">
    <cfRule type="expression" dxfId="2099" priority="54">
      <formula>kvartal &lt; 4</formula>
    </cfRule>
  </conditionalFormatting>
  <conditionalFormatting sqref="F80:G80">
    <cfRule type="expression" dxfId="2098" priority="53">
      <formula>kvartal &lt; 4</formula>
    </cfRule>
  </conditionalFormatting>
  <conditionalFormatting sqref="F83:G83">
    <cfRule type="expression" dxfId="2097" priority="52">
      <formula>kvartal &lt; 4</formula>
    </cfRule>
  </conditionalFormatting>
  <conditionalFormatting sqref="F90:G90">
    <cfRule type="expression" dxfId="2096" priority="46">
      <formula>kvartal &lt; 4</formula>
    </cfRule>
  </conditionalFormatting>
  <conditionalFormatting sqref="F93">
    <cfRule type="expression" dxfId="2095" priority="45">
      <formula>kvartal &lt; 4</formula>
    </cfRule>
  </conditionalFormatting>
  <conditionalFormatting sqref="G93">
    <cfRule type="expression" dxfId="2094" priority="44">
      <formula>kvartal &lt; 4</formula>
    </cfRule>
  </conditionalFormatting>
  <conditionalFormatting sqref="F101">
    <cfRule type="expression" dxfId="2093" priority="43">
      <formula>kvartal &lt; 4</formula>
    </cfRule>
  </conditionalFormatting>
  <conditionalFormatting sqref="G101">
    <cfRule type="expression" dxfId="2092" priority="42">
      <formula>kvartal &lt; 4</formula>
    </cfRule>
  </conditionalFormatting>
  <conditionalFormatting sqref="G104">
    <cfRule type="expression" dxfId="2091" priority="41">
      <formula>kvartal &lt; 4</formula>
    </cfRule>
  </conditionalFormatting>
  <conditionalFormatting sqref="F104">
    <cfRule type="expression" dxfId="2090" priority="40">
      <formula>kvartal &lt; 4</formula>
    </cfRule>
  </conditionalFormatting>
  <conditionalFormatting sqref="J69:K73">
    <cfRule type="expression" dxfId="2089" priority="39">
      <formula>kvartal &lt; 4</formula>
    </cfRule>
  </conditionalFormatting>
  <conditionalFormatting sqref="J74:K74">
    <cfRule type="expression" dxfId="2088" priority="38">
      <formula>kvartal &lt; 4</formula>
    </cfRule>
  </conditionalFormatting>
  <conditionalFormatting sqref="J80:K85">
    <cfRule type="expression" dxfId="2087" priority="37">
      <formula>kvartal &lt; 4</formula>
    </cfRule>
  </conditionalFormatting>
  <conditionalFormatting sqref="J90:K95">
    <cfRule type="expression" dxfId="2086" priority="34">
      <formula>kvartal &lt; 4</formula>
    </cfRule>
  </conditionalFormatting>
  <conditionalFormatting sqref="J101:K106">
    <cfRule type="expression" dxfId="2085" priority="33">
      <formula>kvartal &lt; 4</formula>
    </cfRule>
  </conditionalFormatting>
  <conditionalFormatting sqref="J115:K115">
    <cfRule type="expression" dxfId="2084" priority="32">
      <formula>kvartal &lt; 4</formula>
    </cfRule>
  </conditionalFormatting>
  <conditionalFormatting sqref="J123:K123">
    <cfRule type="expression" dxfId="2083" priority="31">
      <formula>kvartal &lt; 4</formula>
    </cfRule>
  </conditionalFormatting>
  <conditionalFormatting sqref="A50:A52">
    <cfRule type="expression" dxfId="2082" priority="12">
      <formula>kvartal &lt; 4</formula>
    </cfRule>
  </conditionalFormatting>
  <conditionalFormatting sqref="A69:A74">
    <cfRule type="expression" dxfId="2081" priority="10">
      <formula>kvartal &lt; 4</formula>
    </cfRule>
  </conditionalFormatting>
  <conditionalFormatting sqref="A80:A85">
    <cfRule type="expression" dxfId="2080" priority="9">
      <formula>kvartal &lt; 4</formula>
    </cfRule>
  </conditionalFormatting>
  <conditionalFormatting sqref="A90:A95">
    <cfRule type="expression" dxfId="2079" priority="6">
      <formula>kvartal &lt; 4</formula>
    </cfRule>
  </conditionalFormatting>
  <conditionalFormatting sqref="A101:A106">
    <cfRule type="expression" dxfId="2078" priority="5">
      <formula>kvartal &lt; 4</formula>
    </cfRule>
  </conditionalFormatting>
  <conditionalFormatting sqref="A115">
    <cfRule type="expression" dxfId="2077" priority="4">
      <formula>kvartal &lt; 4</formula>
    </cfRule>
  </conditionalFormatting>
  <conditionalFormatting sqref="A123">
    <cfRule type="expression" dxfId="2076"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7" x14ac:dyDescent="0.25">
      <c r="A1" s="171" t="s">
        <v>136</v>
      </c>
      <c r="B1" s="928"/>
      <c r="C1" s="246" t="s">
        <v>126</v>
      </c>
      <c r="D1" s="26"/>
      <c r="E1" s="26"/>
      <c r="F1" s="26"/>
      <c r="G1" s="26"/>
      <c r="H1" s="26"/>
      <c r="I1" s="26"/>
      <c r="J1" s="26"/>
      <c r="K1" s="26"/>
      <c r="L1" s="26"/>
      <c r="M1" s="26"/>
    </row>
    <row r="2" spans="1:17" ht="15.6" x14ac:dyDescent="0.3">
      <c r="A2" s="164" t="s">
        <v>28</v>
      </c>
      <c r="B2" s="963"/>
      <c r="C2" s="963"/>
      <c r="D2" s="963"/>
      <c r="E2" s="296"/>
      <c r="F2" s="963"/>
      <c r="G2" s="963"/>
      <c r="H2" s="963"/>
      <c r="I2" s="296"/>
      <c r="J2" s="963"/>
      <c r="K2" s="963"/>
      <c r="L2" s="963"/>
      <c r="M2" s="296"/>
    </row>
    <row r="3" spans="1:17" ht="15.6" x14ac:dyDescent="0.3">
      <c r="A3" s="162"/>
      <c r="B3" s="296"/>
      <c r="C3" s="296"/>
      <c r="D3" s="296"/>
      <c r="E3" s="296"/>
      <c r="F3" s="296"/>
      <c r="G3" s="296"/>
      <c r="H3" s="296"/>
      <c r="I3" s="296"/>
      <c r="J3" s="296"/>
      <c r="K3" s="296"/>
      <c r="L3" s="296"/>
      <c r="M3" s="296"/>
    </row>
    <row r="4" spans="1:17" x14ac:dyDescent="0.25">
      <c r="A4" s="143"/>
      <c r="B4" s="959" t="s">
        <v>0</v>
      </c>
      <c r="C4" s="960"/>
      <c r="D4" s="960"/>
      <c r="E4" s="298"/>
      <c r="F4" s="959" t="s">
        <v>1</v>
      </c>
      <c r="G4" s="960"/>
      <c r="H4" s="960"/>
      <c r="I4" s="301"/>
      <c r="J4" s="959" t="s">
        <v>2</v>
      </c>
      <c r="K4" s="960"/>
      <c r="L4" s="960"/>
      <c r="M4" s="301"/>
    </row>
    <row r="5" spans="1:17"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7" x14ac:dyDescent="0.25">
      <c r="A6" s="926"/>
      <c r="B6" s="155"/>
      <c r="C6" s="155"/>
      <c r="D6" s="244" t="s">
        <v>4</v>
      </c>
      <c r="E6" s="155" t="s">
        <v>30</v>
      </c>
      <c r="F6" s="160"/>
      <c r="G6" s="160"/>
      <c r="H6" s="243" t="s">
        <v>4</v>
      </c>
      <c r="I6" s="155" t="s">
        <v>30</v>
      </c>
      <c r="J6" s="160"/>
      <c r="K6" s="160"/>
      <c r="L6" s="243" t="s">
        <v>4</v>
      </c>
      <c r="M6" s="155" t="s">
        <v>30</v>
      </c>
    </row>
    <row r="7" spans="1:17" ht="15.6" x14ac:dyDescent="0.25">
      <c r="A7" s="14" t="s">
        <v>23</v>
      </c>
      <c r="B7" s="303">
        <v>203847</v>
      </c>
      <c r="C7" s="304">
        <v>217430</v>
      </c>
      <c r="D7" s="345">
        <f t="shared" ref="D7:D10" si="0">IF(B7=0, "    ---- ", IF(ABS(ROUND(100/B7*C7-100,1))&lt;999,ROUND(100/B7*C7-100,1),IF(ROUND(100/B7*C7-100,1)&gt;999,999,-999)))</f>
        <v>6.7</v>
      </c>
      <c r="E7" s="11">
        <f>IFERROR(100/'Skjema total MA'!C7*C7,0)</f>
        <v>4.4180521111518249</v>
      </c>
      <c r="F7" s="303"/>
      <c r="G7" s="304"/>
      <c r="H7" s="345"/>
      <c r="I7" s="159"/>
      <c r="J7" s="305">
        <f t="shared" ref="J7:K10" si="1">SUM(B7,F7)</f>
        <v>203847</v>
      </c>
      <c r="K7" s="306">
        <f t="shared" si="1"/>
        <v>217430</v>
      </c>
      <c r="L7" s="421">
        <f t="shared" ref="L7:L10" si="2">IF(J7=0, "    ---- ", IF(ABS(ROUND(100/J7*K7-100,1))&lt;999,ROUND(100/J7*K7-100,1),IF(ROUND(100/J7*K7-100,1)&gt;999,999,-999)))</f>
        <v>6.7</v>
      </c>
      <c r="M7" s="11">
        <f>IFERROR(100/'Skjema total MA'!I7*K7,0)</f>
        <v>1.1060130110473494</v>
      </c>
    </row>
    <row r="8" spans="1:17" ht="15.6" x14ac:dyDescent="0.25">
      <c r="A8" s="21" t="s">
        <v>25</v>
      </c>
      <c r="B8" s="278">
        <v>176335</v>
      </c>
      <c r="C8" s="279">
        <v>188944</v>
      </c>
      <c r="D8" s="165">
        <f t="shared" si="0"/>
        <v>7.2</v>
      </c>
      <c r="E8" s="27">
        <f>IFERROR(100/'Skjema total MA'!C8*C8,0)</f>
        <v>5.8333457515813327</v>
      </c>
      <c r="F8" s="282"/>
      <c r="G8" s="283"/>
      <c r="H8" s="165"/>
      <c r="I8" s="174"/>
      <c r="J8" s="232">
        <f t="shared" si="1"/>
        <v>176335</v>
      </c>
      <c r="K8" s="284">
        <f t="shared" si="1"/>
        <v>188944</v>
      </c>
      <c r="L8" s="165">
        <f t="shared" si="2"/>
        <v>7.2</v>
      </c>
      <c r="M8" s="27">
        <f>IFERROR(100/'Skjema total MA'!I8*K8,0)</f>
        <v>5.8333457515813327</v>
      </c>
    </row>
    <row r="9" spans="1:17" ht="15.6" x14ac:dyDescent="0.25">
      <c r="A9" s="21" t="s">
        <v>24</v>
      </c>
      <c r="B9" s="278">
        <v>27512</v>
      </c>
      <c r="C9" s="279">
        <v>28486</v>
      </c>
      <c r="D9" s="165">
        <f t="shared" si="0"/>
        <v>3.5</v>
      </c>
      <c r="E9" s="27">
        <f>IFERROR(100/'Skjema total MA'!C9*C9,0)</f>
        <v>2.8569599580332343</v>
      </c>
      <c r="F9" s="282"/>
      <c r="G9" s="283"/>
      <c r="H9" s="165"/>
      <c r="I9" s="174"/>
      <c r="J9" s="232">
        <f t="shared" si="1"/>
        <v>27512</v>
      </c>
      <c r="K9" s="284">
        <f t="shared" si="1"/>
        <v>28486</v>
      </c>
      <c r="L9" s="165">
        <f t="shared" si="2"/>
        <v>3.5</v>
      </c>
      <c r="M9" s="27">
        <f>IFERROR(100/'Skjema total MA'!I9*K9,0)</f>
        <v>2.8569599580332343</v>
      </c>
    </row>
    <row r="10" spans="1:17" ht="15.6" x14ac:dyDescent="0.25">
      <c r="A10" s="13" t="s">
        <v>444</v>
      </c>
      <c r="B10" s="307">
        <v>57824</v>
      </c>
      <c r="C10" s="308">
        <v>67115</v>
      </c>
      <c r="D10" s="170">
        <f t="shared" si="0"/>
        <v>16.100000000000001</v>
      </c>
      <c r="E10" s="11">
        <f>IFERROR(100/'Skjema total MA'!C10*C10,0)</f>
        <v>0.35580773598216214</v>
      </c>
      <c r="F10" s="307"/>
      <c r="G10" s="308"/>
      <c r="H10" s="170"/>
      <c r="I10" s="159"/>
      <c r="J10" s="305">
        <f t="shared" si="1"/>
        <v>57824</v>
      </c>
      <c r="K10" s="306">
        <f t="shared" si="1"/>
        <v>67115</v>
      </c>
      <c r="L10" s="422">
        <f t="shared" si="2"/>
        <v>16.100000000000001</v>
      </c>
      <c r="M10" s="11">
        <f>IFERROR(100/'Skjema total MA'!I10*K10,0)</f>
        <v>6.977542953772907E-2</v>
      </c>
    </row>
    <row r="11" spans="1:17" s="43" customFormat="1" ht="15.6" x14ac:dyDescent="0.25">
      <c r="A11" s="13" t="s">
        <v>445</v>
      </c>
      <c r="B11" s="307"/>
      <c r="C11" s="308"/>
      <c r="D11" s="170"/>
      <c r="E11" s="11"/>
      <c r="F11" s="307"/>
      <c r="G11" s="308"/>
      <c r="H11" s="170"/>
      <c r="I11" s="159"/>
      <c r="J11" s="305"/>
      <c r="K11" s="306"/>
      <c r="L11" s="422"/>
      <c r="M11" s="11"/>
      <c r="N11" s="142"/>
      <c r="Q11" s="142"/>
    </row>
    <row r="12" spans="1:17" s="43" customFormat="1" ht="15.6" x14ac:dyDescent="0.25">
      <c r="A12" s="41" t="s">
        <v>446</v>
      </c>
      <c r="B12" s="309"/>
      <c r="C12" s="310"/>
      <c r="D12" s="168"/>
      <c r="E12" s="36"/>
      <c r="F12" s="309"/>
      <c r="G12" s="310"/>
      <c r="H12" s="168"/>
      <c r="I12" s="168"/>
      <c r="J12" s="311"/>
      <c r="K12" s="312"/>
      <c r="L12" s="423"/>
      <c r="M12" s="36"/>
      <c r="N12" s="142"/>
    </row>
    <row r="13" spans="1:17" s="43" customFormat="1" x14ac:dyDescent="0.25">
      <c r="A13" s="167"/>
      <c r="B13" s="144"/>
      <c r="C13" s="33"/>
      <c r="D13" s="158"/>
      <c r="E13" s="158"/>
      <c r="F13" s="144"/>
      <c r="G13" s="33"/>
      <c r="H13" s="158"/>
      <c r="I13" s="158"/>
      <c r="J13" s="48"/>
      <c r="K13" s="48"/>
      <c r="L13" s="158"/>
      <c r="M13" s="158"/>
      <c r="N13" s="142"/>
    </row>
    <row r="14" spans="1:17" x14ac:dyDescent="0.25">
      <c r="A14" s="152" t="s">
        <v>273</v>
      </c>
      <c r="B14" s="26"/>
    </row>
    <row r="15" spans="1:17" x14ac:dyDescent="0.25">
      <c r="F15" s="145"/>
      <c r="G15" s="145"/>
      <c r="H15" s="145"/>
      <c r="I15" s="145"/>
      <c r="J15" s="145"/>
      <c r="K15" s="145"/>
      <c r="L15" s="145"/>
      <c r="M15" s="145"/>
    </row>
    <row r="16" spans="1:17"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191838</v>
      </c>
      <c r="C22" s="307">
        <v>206616</v>
      </c>
      <c r="D22" s="345">
        <f t="shared" ref="D22:D30" si="3">IF(B22=0, "    ---- ", IF(ABS(ROUND(100/B22*C22-100,1))&lt;999,ROUND(100/B22*C22-100,1),IF(ROUND(100/B22*C22-100,1)&gt;999,999,-999)))</f>
        <v>7.7</v>
      </c>
      <c r="E22" s="11">
        <f>IFERROR(100/'Skjema total MA'!C22*C22,0)</f>
        <v>10.69756044934001</v>
      </c>
      <c r="F22" s="315">
        <v>10271.700000000001</v>
      </c>
      <c r="G22" s="315"/>
      <c r="H22" s="345">
        <f t="shared" ref="H22:H26" si="4">IF(F22=0, "    ---- ", IF(ABS(ROUND(100/F22*G22-100,1))&lt;999,ROUND(100/F22*G22-100,1),IF(ROUND(100/F22*G22-100,1)&gt;999,999,-999)))</f>
        <v>-100</v>
      </c>
      <c r="I22" s="11">
        <f>IFERROR(100/'Skjema total MA'!F22*G22,0)</f>
        <v>0</v>
      </c>
      <c r="J22" s="313">
        <f t="shared" ref="J22:J30" si="5">SUM(B22,F22)</f>
        <v>202109.7</v>
      </c>
      <c r="K22" s="313">
        <f t="shared" ref="K22:K30" si="6">SUM(C22,G22)</f>
        <v>206616</v>
      </c>
      <c r="L22" s="421">
        <f t="shared" ref="L22:L30" si="7">IF(J22=0, "    ---- ", IF(ABS(ROUND(100/J22*K22-100,1))&lt;999,ROUND(100/J22*K22-100,1),IF(ROUND(100/J22*K22-100,1)&gt;999,999,-999)))</f>
        <v>2.2000000000000002</v>
      </c>
      <c r="M22" s="24">
        <f>IFERROR(100/'Skjema total MA'!I22*K22,0)</f>
        <v>5.6648794461524821</v>
      </c>
    </row>
    <row r="23" spans="1:14" ht="15.6" x14ac:dyDescent="0.25">
      <c r="A23" s="782" t="s">
        <v>447</v>
      </c>
      <c r="B23" s="278">
        <v>191561</v>
      </c>
      <c r="C23" s="278">
        <v>206616</v>
      </c>
      <c r="D23" s="165">
        <f t="shared" si="3"/>
        <v>7.9</v>
      </c>
      <c r="E23" s="11">
        <f>IFERROR(100/'Skjema total MA'!C23*C23,0)</f>
        <v>18.626940591474039</v>
      </c>
      <c r="F23" s="287"/>
      <c r="G23" s="287"/>
      <c r="H23" s="165"/>
      <c r="I23" s="411"/>
      <c r="J23" s="287">
        <f t="shared" si="5"/>
        <v>191561</v>
      </c>
      <c r="K23" s="287">
        <f t="shared" si="6"/>
        <v>206616</v>
      </c>
      <c r="L23" s="165">
        <f t="shared" si="7"/>
        <v>7.9</v>
      </c>
      <c r="M23" s="23">
        <f>IFERROR(100/'Skjema total MA'!I23*K23,0)</f>
        <v>15.717338216611209</v>
      </c>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v>277</v>
      </c>
      <c r="C25" s="278"/>
      <c r="D25" s="165">
        <f t="shared" si="3"/>
        <v>-100</v>
      </c>
      <c r="E25" s="11">
        <f>IFERROR(100/'Skjema total MA'!C25*C25,0)</f>
        <v>0</v>
      </c>
      <c r="F25" s="287">
        <v>2901.5</v>
      </c>
      <c r="G25" s="287"/>
      <c r="H25" s="165">
        <f t="shared" si="4"/>
        <v>-100</v>
      </c>
      <c r="I25" s="411">
        <f>IFERROR(100/'Skjema total MA'!F25*G25,0)</f>
        <v>0</v>
      </c>
      <c r="J25" s="287">
        <f t="shared" si="5"/>
        <v>3178.5</v>
      </c>
      <c r="K25" s="287"/>
      <c r="L25" s="165">
        <f t="shared" si="7"/>
        <v>-100</v>
      </c>
      <c r="M25" s="23">
        <f>IFERROR(100/'Skjema total MA'!I25*K25,0)</f>
        <v>0</v>
      </c>
    </row>
    <row r="26" spans="1:14" ht="15.6" x14ac:dyDescent="0.25">
      <c r="A26" s="782" t="s">
        <v>450</v>
      </c>
      <c r="B26" s="278"/>
      <c r="C26" s="278"/>
      <c r="D26" s="165"/>
      <c r="E26" s="11"/>
      <c r="F26" s="287">
        <v>7370.2</v>
      </c>
      <c r="G26" s="287"/>
      <c r="H26" s="165">
        <f t="shared" si="4"/>
        <v>-100</v>
      </c>
      <c r="I26" s="411">
        <f>IFERROR(100/'Skjema total MA'!F26*G26,0)</f>
        <v>0</v>
      </c>
      <c r="J26" s="287">
        <f t="shared" si="5"/>
        <v>7370.2</v>
      </c>
      <c r="K26" s="287"/>
      <c r="L26" s="165">
        <f t="shared" si="7"/>
        <v>-100</v>
      </c>
      <c r="M26" s="23">
        <f>IFERROR(100/'Skjema total MA'!I26*K26,0)</f>
        <v>0</v>
      </c>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191561</v>
      </c>
      <c r="C28" s="284">
        <v>206616</v>
      </c>
      <c r="D28" s="165">
        <f t="shared" si="3"/>
        <v>7.9</v>
      </c>
      <c r="E28" s="11">
        <f>IFERROR(100/'Skjema total MA'!C28*C28,0)</f>
        <v>9.4772223386204519</v>
      </c>
      <c r="F28" s="232"/>
      <c r="G28" s="284"/>
      <c r="H28" s="165"/>
      <c r="I28" s="27"/>
      <c r="J28" s="44">
        <f t="shared" si="5"/>
        <v>191561</v>
      </c>
      <c r="K28" s="44">
        <f t="shared" si="6"/>
        <v>206616</v>
      </c>
      <c r="L28" s="252">
        <f t="shared" si="7"/>
        <v>7.9</v>
      </c>
      <c r="M28" s="23">
        <f>IFERROR(100/'Skjema total MA'!I28*K28,0)</f>
        <v>9.4772223386204519</v>
      </c>
    </row>
    <row r="29" spans="1:14" s="3" customFormat="1" ht="15.6" x14ac:dyDescent="0.25">
      <c r="A29" s="13" t="s">
        <v>444</v>
      </c>
      <c r="B29" s="234">
        <v>732781</v>
      </c>
      <c r="C29" s="234">
        <v>983104</v>
      </c>
      <c r="D29" s="170">
        <f t="shared" si="3"/>
        <v>34.200000000000003</v>
      </c>
      <c r="E29" s="11">
        <f>IFERROR(100/'Skjema total MA'!C29*C29,0)</f>
        <v>2.1693823295061625</v>
      </c>
      <c r="F29" s="305"/>
      <c r="G29" s="305"/>
      <c r="H29" s="170"/>
      <c r="I29" s="11"/>
      <c r="J29" s="234">
        <f t="shared" si="5"/>
        <v>732781</v>
      </c>
      <c r="K29" s="234">
        <f t="shared" si="6"/>
        <v>983104</v>
      </c>
      <c r="L29" s="422">
        <f t="shared" si="7"/>
        <v>34.200000000000003</v>
      </c>
      <c r="M29" s="24">
        <f>IFERROR(100/'Skjema total MA'!I29*K29,0)</f>
        <v>1.3644228812322921</v>
      </c>
      <c r="N29" s="147"/>
    </row>
    <row r="30" spans="1:14" s="3" customFormat="1" ht="15.6" x14ac:dyDescent="0.25">
      <c r="A30" s="782" t="s">
        <v>447</v>
      </c>
      <c r="B30" s="278">
        <v>732781</v>
      </c>
      <c r="C30" s="278">
        <v>983104</v>
      </c>
      <c r="D30" s="165">
        <f t="shared" si="3"/>
        <v>34.200000000000003</v>
      </c>
      <c r="E30" s="11">
        <f>IFERROR(100/'Skjema total MA'!C30*C30,0)</f>
        <v>6.1590940307459858</v>
      </c>
      <c r="F30" s="287"/>
      <c r="G30" s="287"/>
      <c r="H30" s="165"/>
      <c r="I30" s="411"/>
      <c r="J30" s="287">
        <f t="shared" si="5"/>
        <v>732781</v>
      </c>
      <c r="K30" s="287">
        <f t="shared" si="6"/>
        <v>983104</v>
      </c>
      <c r="L30" s="165">
        <f t="shared" si="7"/>
        <v>34.200000000000003</v>
      </c>
      <c r="M30" s="23">
        <f>IFERROR(100/'Skjema total MA'!I30*K30,0)</f>
        <v>4.8880551749703995</v>
      </c>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34378</v>
      </c>
      <c r="C47" s="308">
        <v>34469</v>
      </c>
      <c r="D47" s="421">
        <f t="shared" ref="D47" si="8">IF(B47=0, "    ---- ", IF(ABS(ROUND(100/B47*C47-100,1))&lt;999,ROUND(100/B47*C47-100,1),IF(ROUND(100/B47*C47-100,1)&gt;999,999,-999)))</f>
        <v>0.3</v>
      </c>
      <c r="E47" s="11">
        <f>IFERROR(100/'Skjema total MA'!C47*C47,0)</f>
        <v>0.67665820051784453</v>
      </c>
      <c r="F47" s="144"/>
      <c r="G47" s="33"/>
      <c r="H47" s="158"/>
      <c r="I47" s="158"/>
      <c r="J47" s="37"/>
      <c r="K47" s="37"/>
      <c r="L47" s="158"/>
      <c r="M47" s="158"/>
      <c r="N47" s="147"/>
    </row>
    <row r="48" spans="1:14" s="3" customFormat="1" ht="15.6" x14ac:dyDescent="0.25">
      <c r="A48" s="38" t="s">
        <v>455</v>
      </c>
      <c r="B48" s="278">
        <v>34378</v>
      </c>
      <c r="C48" s="279">
        <v>34469</v>
      </c>
      <c r="D48" s="252">
        <f t="shared" ref="D48" si="9">IF(B48=0, "    ---- ", IF(ABS(ROUND(100/B48*C48-100,1))&lt;999,ROUND(100/B48*C48-100,1),IF(ROUND(100/B48*C48-100,1)&gt;999,999,-999)))</f>
        <v>0.3</v>
      </c>
      <c r="E48" s="27">
        <f>IFERROR(100/'Skjema total MA'!C48*C48,0)</f>
        <v>1.2170269851356941</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66711</v>
      </c>
      <c r="C66" s="348"/>
      <c r="D66" s="345">
        <f>IF(B66=0, "    ---- ", IF(ABS(ROUND(100/B66*C66-100,1))&lt;999,ROUND(100/B66*C66-100,1),IF(ROUND(100/B66*C66-100,1)&gt;999,999,-999)))</f>
        <v>-100</v>
      </c>
      <c r="E66" s="11">
        <f>IFERROR(100/'Skjema total MA'!C66*C66,0)</f>
        <v>0</v>
      </c>
      <c r="F66" s="347">
        <v>356050</v>
      </c>
      <c r="G66" s="347"/>
      <c r="H66" s="345">
        <f>IF(F66=0, "    ---- ", IF(ABS(ROUND(100/F66*G66-100,1))&lt;999,ROUND(100/F66*G66-100,1),IF(ROUND(100/F66*G66-100,1)&gt;999,999,-999)))</f>
        <v>-100</v>
      </c>
      <c r="I66" s="11">
        <f>IFERROR(100/'Skjema total MA'!F66*G66,0)</f>
        <v>0</v>
      </c>
      <c r="J66" s="306">
        <f t="shared" ref="J66:J68" si="10">SUM(B66,F66)</f>
        <v>422761</v>
      </c>
      <c r="K66" s="313"/>
      <c r="L66" s="422">
        <f>IF(J66=0, "    ---- ", IF(ABS(ROUND(100/J66*K66-100,1))&lt;999,ROUND(100/J66*K66-100,1),IF(ROUND(100/J66*K66-100,1)&gt;999,999,-999)))</f>
        <v>-100</v>
      </c>
      <c r="M66" s="11">
        <f>IFERROR(100/'Skjema total MA'!I66*K66,0)</f>
        <v>0</v>
      </c>
    </row>
    <row r="67" spans="1:14" x14ac:dyDescent="0.25">
      <c r="A67" s="413" t="s">
        <v>9</v>
      </c>
      <c r="B67" s="44"/>
      <c r="C67" s="144"/>
      <c r="D67" s="165"/>
      <c r="E67" s="27"/>
      <c r="F67" s="232"/>
      <c r="G67" s="144"/>
      <c r="H67" s="165"/>
      <c r="I67" s="27"/>
      <c r="J67" s="284"/>
      <c r="K67" s="44"/>
      <c r="L67" s="252"/>
      <c r="M67" s="27"/>
    </row>
    <row r="68" spans="1:14" x14ac:dyDescent="0.25">
      <c r="A68" s="21" t="s">
        <v>10</v>
      </c>
      <c r="B68" s="289">
        <v>66711</v>
      </c>
      <c r="C68" s="290"/>
      <c r="D68" s="165">
        <f>IF(B68=0, "    ---- ", IF(ABS(ROUND(100/B68*C68-100,1))&lt;999,ROUND(100/B68*C68-100,1),IF(ROUND(100/B68*C68-100,1)&gt;999,999,-999)))</f>
        <v>-100</v>
      </c>
      <c r="E68" s="27">
        <f>IFERROR(100/'Skjema total MA'!C68*C68,0)</f>
        <v>0</v>
      </c>
      <c r="F68" s="289">
        <v>356050</v>
      </c>
      <c r="G68" s="290"/>
      <c r="H68" s="165">
        <f>IF(F68=0, "    ---- ", IF(ABS(ROUND(100/F68*G68-100,1))&lt;999,ROUND(100/F68*G68-100,1),IF(ROUND(100/F68*G68-100,1)&gt;999,999,-999)))</f>
        <v>-100</v>
      </c>
      <c r="I68" s="27">
        <f>IFERROR(100/'Skjema total MA'!F68*G68,0)</f>
        <v>0</v>
      </c>
      <c r="J68" s="284">
        <f t="shared" si="10"/>
        <v>422761</v>
      </c>
      <c r="K68" s="44"/>
      <c r="L68" s="252">
        <f>IF(J68=0, "    ---- ", IF(ABS(ROUND(100/J68*K68-100,1))&lt;999,ROUND(100/J68*K68-100,1),IF(ROUND(100/J68*K68-100,1)&gt;999,999,-999)))</f>
        <v>-100</v>
      </c>
      <c r="M68" s="27">
        <f>IFERROR(100/'Skjema total MA'!I68*K68,0)</f>
        <v>0</v>
      </c>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v>66711</v>
      </c>
      <c r="C72" s="278"/>
      <c r="D72" s="165">
        <f>IF(B72=0, "    ---- ", IF(ABS(ROUND(100/B72*C72-100,1))&lt;999,ROUND(100/B72*C72-100,1),IF(ROUND(100/B72*C72-100,1)&gt;999,999,-999)))</f>
        <v>-100</v>
      </c>
      <c r="E72" s="27">
        <f>IFERROR(100/'Skjema total MA'!C72*C72,0)</f>
        <v>0</v>
      </c>
      <c r="F72" s="278">
        <v>356050</v>
      </c>
      <c r="G72" s="278"/>
      <c r="H72" s="165">
        <f>IF(F72=0, "    ---- ", IF(ABS(ROUND(100/F72*G72-100,1))&lt;999,ROUND(100/F72*G72-100,1),IF(ROUND(100/F72*G72-100,1)&gt;999,999,-999)))</f>
        <v>-100</v>
      </c>
      <c r="I72" s="411">
        <f>IFERROR(100/'Skjema total MA'!F72*G72,0)</f>
        <v>0</v>
      </c>
      <c r="J72" s="284">
        <f t="shared" ref="J72" si="11">SUM(B72,F72)</f>
        <v>422761</v>
      </c>
      <c r="K72" s="287"/>
      <c r="L72" s="252">
        <f>IF(J72=0, "    ---- ", IF(ABS(ROUND(100/J72*K72-100,1))&lt;999,ROUND(100/J72*K72-100,1),IF(ROUND(100/J72*K72-100,1)&gt;999,999,-999)))</f>
        <v>-100</v>
      </c>
      <c r="M72" s="23">
        <f>IFERROR(100/'Skjema total MA'!I72*K72,0)</f>
        <v>0</v>
      </c>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v>356050</v>
      </c>
      <c r="G74" s="278"/>
      <c r="H74" s="165">
        <f>IF(F74=0, "    ---- ", IF(ABS(ROUND(100/F74*G74-100,1))&lt;999,ROUND(100/F74*G74-100,1),IF(ROUND(100/F74*G74-100,1)&gt;999,999,-999)))</f>
        <v>-100</v>
      </c>
      <c r="I74" s="411">
        <f>IFERROR(100/'Skjema total MA'!F74*G74,0)</f>
        <v>0</v>
      </c>
      <c r="J74" s="284">
        <f t="shared" ref="J74" si="12">SUM(B74,F74)</f>
        <v>356050</v>
      </c>
      <c r="K74" s="287"/>
      <c r="L74" s="252">
        <f>IF(J74=0, "    ---- ", IF(ABS(ROUND(100/J74*K74-100,1))&lt;999,ROUND(100/J74*K74-100,1),IF(ROUND(100/J74*K74-100,1)&gt;999,999,-999)))</f>
        <v>-100</v>
      </c>
      <c r="M74" s="23">
        <f>IFERROR(100/'Skjema total MA'!I74*K74,0)</f>
        <v>0</v>
      </c>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v>66711</v>
      </c>
      <c r="C77" s="232"/>
      <c r="D77" s="165">
        <f>IF(B77=0, "    ---- ", IF(ABS(ROUND(100/B77*C77-100,1))&lt;999,ROUND(100/B77*C77-100,1),IF(ROUND(100/B77*C77-100,1)&gt;999,999,-999)))</f>
        <v>-100</v>
      </c>
      <c r="E77" s="27">
        <f>IFERROR(100/'Skjema total MA'!C77*C77,0)</f>
        <v>0</v>
      </c>
      <c r="F77" s="232">
        <v>356050</v>
      </c>
      <c r="G77" s="144"/>
      <c r="H77" s="165">
        <f>IF(F77=0, "    ---- ", IF(ABS(ROUND(100/F77*G77-100,1))&lt;999,ROUND(100/F77*G77-100,1),IF(ROUND(100/F77*G77-100,1)&gt;999,999,-999)))</f>
        <v>-100</v>
      </c>
      <c r="I77" s="27">
        <f>IFERROR(100/'Skjema total MA'!F77*G77,0)</f>
        <v>0</v>
      </c>
      <c r="J77" s="284">
        <f t="shared" ref="J77:J79" si="13">SUM(B77,F77)</f>
        <v>422761</v>
      </c>
      <c r="K77" s="44"/>
      <c r="L77" s="252">
        <f>IF(J77=0, "    ---- ", IF(ABS(ROUND(100/J77*K77-100,1))&lt;999,ROUND(100/J77*K77-100,1),IF(ROUND(100/J77*K77-100,1)&gt;999,999,-999)))</f>
        <v>-100</v>
      </c>
      <c r="M77" s="27">
        <f>IFERROR(100/'Skjema total MA'!I77*K77,0)</f>
        <v>0</v>
      </c>
    </row>
    <row r="78" spans="1:14" x14ac:dyDescent="0.25">
      <c r="A78" s="21" t="s">
        <v>9</v>
      </c>
      <c r="B78" s="232"/>
      <c r="C78" s="144"/>
      <c r="D78" s="165"/>
      <c r="E78" s="27"/>
      <c r="F78" s="232"/>
      <c r="G78" s="144"/>
      <c r="H78" s="165"/>
      <c r="I78" s="27"/>
      <c r="J78" s="284"/>
      <c r="K78" s="44"/>
      <c r="L78" s="252"/>
      <c r="M78" s="27"/>
    </row>
    <row r="79" spans="1:14" x14ac:dyDescent="0.25">
      <c r="A79" s="38" t="s">
        <v>495</v>
      </c>
      <c r="B79" s="289">
        <v>66711</v>
      </c>
      <c r="C79" s="290"/>
      <c r="D79" s="165">
        <f>IF(B79=0, "    ---- ", IF(ABS(ROUND(100/B79*C79-100,1))&lt;999,ROUND(100/B79*C79-100,1),IF(ROUND(100/B79*C79-100,1)&gt;999,999,-999)))</f>
        <v>-100</v>
      </c>
      <c r="E79" s="27">
        <f>IFERROR(100/'Skjema total MA'!C79*C79,0)</f>
        <v>0</v>
      </c>
      <c r="F79" s="289">
        <v>356050</v>
      </c>
      <c r="G79" s="290"/>
      <c r="H79" s="165">
        <f>IF(F79=0, "    ---- ", IF(ABS(ROUND(100/F79*G79-100,1))&lt;999,ROUND(100/F79*G79-100,1),IF(ROUND(100/F79*G79-100,1)&gt;999,999,-999)))</f>
        <v>-100</v>
      </c>
      <c r="I79" s="27">
        <f>IFERROR(100/'Skjema total MA'!F79*G79,0)</f>
        <v>0</v>
      </c>
      <c r="J79" s="284">
        <f t="shared" si="13"/>
        <v>422761</v>
      </c>
      <c r="K79" s="44"/>
      <c r="L79" s="252">
        <f>IF(J79=0, "    ---- ", IF(ABS(ROUND(100/J79*K79-100,1))&lt;999,ROUND(100/J79*K79-100,1),IF(ROUND(100/J79*K79-100,1)&gt;999,999,-999)))</f>
        <v>-100</v>
      </c>
      <c r="M79" s="27">
        <f>IFERROR(100/'Skjema total MA'!I79*K79,0)</f>
        <v>0</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v>66711</v>
      </c>
      <c r="C83" s="278"/>
      <c r="D83" s="165">
        <f>IF(B83=0, "    ---- ", IF(ABS(ROUND(100/B83*C83-100,1))&lt;999,ROUND(100/B83*C83-100,1),IF(ROUND(100/B83*C83-100,1)&gt;999,999,-999)))</f>
        <v>-100</v>
      </c>
      <c r="E83" s="27">
        <f>IFERROR(100/'Skjema total MA'!C83*C83,0)</f>
        <v>0</v>
      </c>
      <c r="F83" s="278">
        <v>356050</v>
      </c>
      <c r="G83" s="278"/>
      <c r="H83" s="165">
        <f>IF(F83=0, "    ---- ", IF(ABS(ROUND(100/F83*G83-100,1))&lt;999,ROUND(100/F83*G83-100,1),IF(ROUND(100/F83*G83-100,1)&gt;999,999,-999)))</f>
        <v>-100</v>
      </c>
      <c r="I83" s="411">
        <f>IFERROR(100/'Skjema total MA'!F83*G83,0)</f>
        <v>0</v>
      </c>
      <c r="J83" s="284">
        <f t="shared" ref="J83" si="14">SUM(B83,F83)</f>
        <v>422761</v>
      </c>
      <c r="K83" s="287"/>
      <c r="L83" s="252">
        <f>IF(J83=0, "    ---- ", IF(ABS(ROUND(100/J83*K83-100,1))&lt;999,ROUND(100/J83*K83-100,1),IF(ROUND(100/J83*K83-100,1)&gt;999,999,-999)))</f>
        <v>-100</v>
      </c>
      <c r="M83" s="23">
        <f>IFERROR(100/'Skjema total MA'!I83*K83,0)</f>
        <v>0</v>
      </c>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v>356050</v>
      </c>
      <c r="G85" s="278"/>
      <c r="H85" s="165">
        <f>IF(F85=0, "    ---- ", IF(ABS(ROUND(100/F85*G85-100,1))&lt;999,ROUND(100/F85*G85-100,1),IF(ROUND(100/F85*G85-100,1)&gt;999,999,-999)))</f>
        <v>-100</v>
      </c>
      <c r="I85" s="411">
        <f>IFERROR(100/'Skjema total MA'!F85*G85,0)</f>
        <v>0</v>
      </c>
      <c r="J85" s="284">
        <f t="shared" ref="J85" si="15">SUM(B85,F85)</f>
        <v>356050</v>
      </c>
      <c r="K85" s="287"/>
      <c r="L85" s="252">
        <f>IF(J85=0, "    ---- ", IF(ABS(ROUND(100/J85*K85-100,1))&lt;999,ROUND(100/J85*K85-100,1),IF(ROUND(100/J85*K85-100,1)&gt;999,999,-999)))</f>
        <v>-100</v>
      </c>
      <c r="M85" s="23">
        <f>IFERROR(100/'Skjema total MA'!I85*K85,0)</f>
        <v>0</v>
      </c>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v>1371</v>
      </c>
      <c r="C111" s="158"/>
      <c r="D111" s="170">
        <f>IF(B111=0, "    ---- ", IF(ABS(ROUND(100/B111*C111-100,1))&lt;999,ROUND(100/B111*C111-100,1),IF(ROUND(100/B111*C111-100,1)&gt;999,999,-999)))</f>
        <v>-100</v>
      </c>
      <c r="E111" s="11">
        <f>IFERROR(100/'Skjema total MA'!C111*C111,0)</f>
        <v>0</v>
      </c>
      <c r="F111" s="305">
        <v>100218</v>
      </c>
      <c r="G111" s="158"/>
      <c r="H111" s="170">
        <f>IF(F111=0, "    ---- ", IF(ABS(ROUND(100/F111*G111-100,1))&lt;999,ROUND(100/F111*G111-100,1),IF(ROUND(100/F111*G111-100,1)&gt;999,999,-999)))</f>
        <v>-100</v>
      </c>
      <c r="I111" s="11">
        <f>IFERROR(100/'Skjema total MA'!F111*G111,0)</f>
        <v>0</v>
      </c>
      <c r="J111" s="306">
        <f t="shared" ref="J111" si="16">SUM(B111,F111)</f>
        <v>101589</v>
      </c>
      <c r="K111" s="234"/>
      <c r="L111" s="422">
        <f>IF(J111=0, "    ---- ", IF(ABS(ROUND(100/J111*K111-100,1))&lt;999,ROUND(100/J111*K111-100,1),IF(ROUND(100/J111*K111-100,1)&gt;999,999,-999)))</f>
        <v>-100</v>
      </c>
      <c r="M111" s="11">
        <f>IFERROR(100/'Skjema total MA'!I111*K111,0)</f>
        <v>0</v>
      </c>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v>1371</v>
      </c>
      <c r="C113" s="144"/>
      <c r="D113" s="165">
        <f t="shared" ref="D113:D121" si="17">IF(B113=0, "    ---- ", IF(ABS(ROUND(100/B113*C113-100,1))&lt;999,ROUND(100/B113*C113-100,1),IF(ROUND(100/B113*C113-100,1)&gt;999,999,-999)))</f>
        <v>-100</v>
      </c>
      <c r="E113" s="27">
        <f>IFERROR(100/'Skjema total MA'!C113*C113,0)</f>
        <v>0</v>
      </c>
      <c r="F113" s="232">
        <v>100218</v>
      </c>
      <c r="G113" s="144"/>
      <c r="H113" s="165">
        <f t="shared" ref="H113:H121" si="18">IF(F113=0, "    ---- ", IF(ABS(ROUND(100/F113*G113-100,1))&lt;999,ROUND(100/F113*G113-100,1),IF(ROUND(100/F113*G113-100,1)&gt;999,999,-999)))</f>
        <v>-100</v>
      </c>
      <c r="I113" s="27">
        <f>IFERROR(100/'Skjema total MA'!F113*G113,0)</f>
        <v>0</v>
      </c>
      <c r="J113" s="284">
        <f t="shared" ref="J113:J121" si="19">SUM(B113,F113)</f>
        <v>101589</v>
      </c>
      <c r="K113" s="44"/>
      <c r="L113" s="252">
        <f t="shared" ref="L113:L121" si="20">IF(J113=0, "    ---- ", IF(ABS(ROUND(100/J113*K113-100,1))&lt;999,ROUND(100/J113*K113-100,1),IF(ROUND(100/J113*K113-100,1)&gt;999,999,-999)))</f>
        <v>-100</v>
      </c>
      <c r="M113" s="27">
        <f>IFERROR(100/'Skjema total MA'!I113*K113,0)</f>
        <v>0</v>
      </c>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v>2419</v>
      </c>
      <c r="C119" s="158"/>
      <c r="D119" s="170">
        <f t="shared" si="17"/>
        <v>-100</v>
      </c>
      <c r="E119" s="11">
        <f>IFERROR(100/'Skjema total MA'!C119*C119,0)</f>
        <v>0</v>
      </c>
      <c r="F119" s="305">
        <v>4740280</v>
      </c>
      <c r="G119" s="158"/>
      <c r="H119" s="170">
        <f t="shared" si="18"/>
        <v>-100</v>
      </c>
      <c r="I119" s="11">
        <f>IFERROR(100/'Skjema total MA'!F119*G119,0)</f>
        <v>0</v>
      </c>
      <c r="J119" s="306">
        <f t="shared" si="19"/>
        <v>4742699</v>
      </c>
      <c r="K119" s="234"/>
      <c r="L119" s="422">
        <f t="shared" si="20"/>
        <v>-100</v>
      </c>
      <c r="M119" s="11">
        <f>IFERROR(100/'Skjema total MA'!I119*K119,0)</f>
        <v>0</v>
      </c>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v>2419</v>
      </c>
      <c r="C121" s="144"/>
      <c r="D121" s="165">
        <f t="shared" si="17"/>
        <v>-100</v>
      </c>
      <c r="E121" s="27">
        <f>IFERROR(100/'Skjema total MA'!C121*C121,0)</f>
        <v>0</v>
      </c>
      <c r="F121" s="232">
        <v>4740280</v>
      </c>
      <c r="G121" s="144"/>
      <c r="H121" s="165">
        <f t="shared" si="18"/>
        <v>-100</v>
      </c>
      <c r="I121" s="27">
        <f>IFERROR(100/'Skjema total MA'!F121*G121,0)</f>
        <v>0</v>
      </c>
      <c r="J121" s="284">
        <f t="shared" si="19"/>
        <v>4742699</v>
      </c>
      <c r="K121" s="44"/>
      <c r="L121" s="252">
        <f t="shared" si="20"/>
        <v>-100</v>
      </c>
      <c r="M121" s="27">
        <f>IFERROR(100/'Skjema total MA'!I121*K121,0)</f>
        <v>0</v>
      </c>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075" priority="132">
      <formula>kvartal &lt; 4</formula>
    </cfRule>
  </conditionalFormatting>
  <conditionalFormatting sqref="B69">
    <cfRule type="expression" dxfId="2074" priority="100">
      <formula>kvartal &lt; 4</formula>
    </cfRule>
  </conditionalFormatting>
  <conditionalFormatting sqref="C69">
    <cfRule type="expression" dxfId="2073" priority="99">
      <formula>kvartal &lt; 4</formula>
    </cfRule>
  </conditionalFormatting>
  <conditionalFormatting sqref="B72">
    <cfRule type="expression" dxfId="2072" priority="98">
      <formula>kvartal &lt; 4</formula>
    </cfRule>
  </conditionalFormatting>
  <conditionalFormatting sqref="C72">
    <cfRule type="expression" dxfId="2071" priority="97">
      <formula>kvartal &lt; 4</formula>
    </cfRule>
  </conditionalFormatting>
  <conditionalFormatting sqref="B80">
    <cfRule type="expression" dxfId="2070" priority="96">
      <formula>kvartal &lt; 4</formula>
    </cfRule>
  </conditionalFormatting>
  <conditionalFormatting sqref="C80">
    <cfRule type="expression" dxfId="2069" priority="95">
      <formula>kvartal &lt; 4</formula>
    </cfRule>
  </conditionalFormatting>
  <conditionalFormatting sqref="B83">
    <cfRule type="expression" dxfId="2068" priority="94">
      <formula>kvartal &lt; 4</formula>
    </cfRule>
  </conditionalFormatting>
  <conditionalFormatting sqref="C83">
    <cfRule type="expression" dxfId="2067" priority="93">
      <formula>kvartal &lt; 4</formula>
    </cfRule>
  </conditionalFormatting>
  <conditionalFormatting sqref="B90">
    <cfRule type="expression" dxfId="2066" priority="84">
      <formula>kvartal &lt; 4</formula>
    </cfRule>
  </conditionalFormatting>
  <conditionalFormatting sqref="C90">
    <cfRule type="expression" dxfId="2065" priority="83">
      <formula>kvartal &lt; 4</formula>
    </cfRule>
  </conditionalFormatting>
  <conditionalFormatting sqref="B93">
    <cfRule type="expression" dxfId="2064" priority="82">
      <formula>kvartal &lt; 4</formula>
    </cfRule>
  </conditionalFormatting>
  <conditionalFormatting sqref="C93">
    <cfRule type="expression" dxfId="2063" priority="81">
      <formula>kvartal &lt; 4</formula>
    </cfRule>
  </conditionalFormatting>
  <conditionalFormatting sqref="B101">
    <cfRule type="expression" dxfId="2062" priority="80">
      <formula>kvartal &lt; 4</formula>
    </cfRule>
  </conditionalFormatting>
  <conditionalFormatting sqref="C101">
    <cfRule type="expression" dxfId="2061" priority="79">
      <formula>kvartal &lt; 4</formula>
    </cfRule>
  </conditionalFormatting>
  <conditionalFormatting sqref="B104">
    <cfRule type="expression" dxfId="2060" priority="78">
      <formula>kvartal &lt; 4</formula>
    </cfRule>
  </conditionalFormatting>
  <conditionalFormatting sqref="C104">
    <cfRule type="expression" dxfId="2059" priority="77">
      <formula>kvartal &lt; 4</formula>
    </cfRule>
  </conditionalFormatting>
  <conditionalFormatting sqref="B115">
    <cfRule type="expression" dxfId="2058" priority="76">
      <formula>kvartal &lt; 4</formula>
    </cfRule>
  </conditionalFormatting>
  <conditionalFormatting sqref="C115">
    <cfRule type="expression" dxfId="2057" priority="75">
      <formula>kvartal &lt; 4</formula>
    </cfRule>
  </conditionalFormatting>
  <conditionalFormatting sqref="B123">
    <cfRule type="expression" dxfId="2056" priority="74">
      <formula>kvartal &lt; 4</formula>
    </cfRule>
  </conditionalFormatting>
  <conditionalFormatting sqref="C123">
    <cfRule type="expression" dxfId="2055" priority="73">
      <formula>kvartal &lt; 4</formula>
    </cfRule>
  </conditionalFormatting>
  <conditionalFormatting sqref="F70">
    <cfRule type="expression" dxfId="2054" priority="72">
      <formula>kvartal &lt; 4</formula>
    </cfRule>
  </conditionalFormatting>
  <conditionalFormatting sqref="G70">
    <cfRule type="expression" dxfId="2053" priority="71">
      <formula>kvartal &lt; 4</formula>
    </cfRule>
  </conditionalFormatting>
  <conditionalFormatting sqref="F71:G71">
    <cfRule type="expression" dxfId="2052" priority="70">
      <formula>kvartal &lt; 4</formula>
    </cfRule>
  </conditionalFormatting>
  <conditionalFormatting sqref="F73:G74">
    <cfRule type="expression" dxfId="2051" priority="69">
      <formula>kvartal &lt; 4</formula>
    </cfRule>
  </conditionalFormatting>
  <conditionalFormatting sqref="F81:G82">
    <cfRule type="expression" dxfId="2050" priority="68">
      <formula>kvartal &lt; 4</formula>
    </cfRule>
  </conditionalFormatting>
  <conditionalFormatting sqref="F84:G85">
    <cfRule type="expression" dxfId="2049" priority="67">
      <formula>kvartal &lt; 4</formula>
    </cfRule>
  </conditionalFormatting>
  <conditionalFormatting sqref="F91:G92">
    <cfRule type="expression" dxfId="2048" priority="62">
      <formula>kvartal &lt; 4</formula>
    </cfRule>
  </conditionalFormatting>
  <conditionalFormatting sqref="F94:G95">
    <cfRule type="expression" dxfId="2047" priority="61">
      <formula>kvartal &lt; 4</formula>
    </cfRule>
  </conditionalFormatting>
  <conditionalFormatting sqref="F102:G103">
    <cfRule type="expression" dxfId="2046" priority="60">
      <formula>kvartal &lt; 4</formula>
    </cfRule>
  </conditionalFormatting>
  <conditionalFormatting sqref="F105:G106">
    <cfRule type="expression" dxfId="2045" priority="59">
      <formula>kvartal &lt; 4</formula>
    </cfRule>
  </conditionalFormatting>
  <conditionalFormatting sqref="F115">
    <cfRule type="expression" dxfId="2044" priority="58">
      <formula>kvartal &lt; 4</formula>
    </cfRule>
  </conditionalFormatting>
  <conditionalFormatting sqref="G115">
    <cfRule type="expression" dxfId="2043" priority="57">
      <formula>kvartal &lt; 4</formula>
    </cfRule>
  </conditionalFormatting>
  <conditionalFormatting sqref="F123:G123">
    <cfRule type="expression" dxfId="2042" priority="56">
      <formula>kvartal &lt; 4</formula>
    </cfRule>
  </conditionalFormatting>
  <conditionalFormatting sqref="F69:G69">
    <cfRule type="expression" dxfId="2041" priority="55">
      <formula>kvartal &lt; 4</formula>
    </cfRule>
  </conditionalFormatting>
  <conditionalFormatting sqref="F72:G72">
    <cfRule type="expression" dxfId="2040" priority="54">
      <formula>kvartal &lt; 4</formula>
    </cfRule>
  </conditionalFormatting>
  <conditionalFormatting sqref="F80:G80">
    <cfRule type="expression" dxfId="2039" priority="53">
      <formula>kvartal &lt; 4</formula>
    </cfRule>
  </conditionalFormatting>
  <conditionalFormatting sqref="F83:G83">
    <cfRule type="expression" dxfId="2038" priority="52">
      <formula>kvartal &lt; 4</formula>
    </cfRule>
  </conditionalFormatting>
  <conditionalFormatting sqref="F90:G90">
    <cfRule type="expression" dxfId="2037" priority="46">
      <formula>kvartal &lt; 4</formula>
    </cfRule>
  </conditionalFormatting>
  <conditionalFormatting sqref="F93">
    <cfRule type="expression" dxfId="2036" priority="45">
      <formula>kvartal &lt; 4</formula>
    </cfRule>
  </conditionalFormatting>
  <conditionalFormatting sqref="G93">
    <cfRule type="expression" dxfId="2035" priority="44">
      <formula>kvartal &lt; 4</formula>
    </cfRule>
  </conditionalFormatting>
  <conditionalFormatting sqref="F101">
    <cfRule type="expression" dxfId="2034" priority="43">
      <formula>kvartal &lt; 4</formula>
    </cfRule>
  </conditionalFormatting>
  <conditionalFormatting sqref="G101">
    <cfRule type="expression" dxfId="2033" priority="42">
      <formula>kvartal &lt; 4</formula>
    </cfRule>
  </conditionalFormatting>
  <conditionalFormatting sqref="G104">
    <cfRule type="expression" dxfId="2032" priority="41">
      <formula>kvartal &lt; 4</formula>
    </cfRule>
  </conditionalFormatting>
  <conditionalFormatting sqref="F104">
    <cfRule type="expression" dxfId="2031" priority="40">
      <formula>kvartal &lt; 4</formula>
    </cfRule>
  </conditionalFormatting>
  <conditionalFormatting sqref="J69:K71 J73:K73 K72">
    <cfRule type="expression" dxfId="2030" priority="39">
      <formula>kvartal &lt; 4</formula>
    </cfRule>
  </conditionalFormatting>
  <conditionalFormatting sqref="K74">
    <cfRule type="expression" dxfId="2029" priority="38">
      <formula>kvartal &lt; 4</formula>
    </cfRule>
  </conditionalFormatting>
  <conditionalFormatting sqref="J80:K82 J84:K84 K83 K85">
    <cfRule type="expression" dxfId="2028" priority="37">
      <formula>kvartal &lt; 4</formula>
    </cfRule>
  </conditionalFormatting>
  <conditionalFormatting sqref="J90:K95">
    <cfRule type="expression" dxfId="2027" priority="34">
      <formula>kvartal &lt; 4</formula>
    </cfRule>
  </conditionalFormatting>
  <conditionalFormatting sqref="J101:K106">
    <cfRule type="expression" dxfId="2026" priority="33">
      <formula>kvartal &lt; 4</formula>
    </cfRule>
  </conditionalFormatting>
  <conditionalFormatting sqref="J115:K115">
    <cfRule type="expression" dxfId="2025" priority="32">
      <formula>kvartal &lt; 4</formula>
    </cfRule>
  </conditionalFormatting>
  <conditionalFormatting sqref="J123:K123">
    <cfRule type="expression" dxfId="2024" priority="31">
      <formula>kvartal &lt; 4</formula>
    </cfRule>
  </conditionalFormatting>
  <conditionalFormatting sqref="A50:A52">
    <cfRule type="expression" dxfId="2023" priority="12">
      <formula>kvartal &lt; 4</formula>
    </cfRule>
  </conditionalFormatting>
  <conditionalFormatting sqref="A69:A74">
    <cfRule type="expression" dxfId="2022" priority="10">
      <formula>kvartal &lt; 4</formula>
    </cfRule>
  </conditionalFormatting>
  <conditionalFormatting sqref="A80:A85">
    <cfRule type="expression" dxfId="2021" priority="9">
      <formula>kvartal &lt; 4</formula>
    </cfRule>
  </conditionalFormatting>
  <conditionalFormatting sqref="A90:A95">
    <cfRule type="expression" dxfId="2020" priority="6">
      <formula>kvartal &lt; 4</formula>
    </cfRule>
  </conditionalFormatting>
  <conditionalFormatting sqref="A101:A106">
    <cfRule type="expression" dxfId="2019" priority="5">
      <formula>kvartal &lt; 4</formula>
    </cfRule>
  </conditionalFormatting>
  <conditionalFormatting sqref="A115">
    <cfRule type="expression" dxfId="2018" priority="4">
      <formula>kvartal &lt; 4</formula>
    </cfRule>
  </conditionalFormatting>
  <conditionalFormatting sqref="A123">
    <cfRule type="expression" dxfId="2017"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127</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6351.5640000000003</v>
      </c>
      <c r="C47" s="308">
        <v>7999.02</v>
      </c>
      <c r="D47" s="421">
        <f t="shared" ref="D47:D57" si="0">IF(B47=0, "    ---- ", IF(ABS(ROUND(100/B47*C47-100,1))&lt;999,ROUND(100/B47*C47-100,1),IF(ROUND(100/B47*C47-100,1)&gt;999,999,-999)))</f>
        <v>25.9</v>
      </c>
      <c r="E47" s="11">
        <f>IFERROR(100/'Skjema total MA'!C47*C47,0)</f>
        <v>0.15702812611640166</v>
      </c>
      <c r="F47" s="144"/>
      <c r="G47" s="33"/>
      <c r="H47" s="158"/>
      <c r="I47" s="158"/>
      <c r="J47" s="37"/>
      <c r="K47" s="37"/>
      <c r="L47" s="158"/>
      <c r="M47" s="158"/>
      <c r="N47" s="147"/>
    </row>
    <row r="48" spans="1:14" s="3" customFormat="1" ht="15.6" x14ac:dyDescent="0.25">
      <c r="A48" s="38" t="s">
        <v>455</v>
      </c>
      <c r="B48" s="278">
        <v>6351.5640000000003</v>
      </c>
      <c r="C48" s="279">
        <v>7999.02</v>
      </c>
      <c r="D48" s="252">
        <f t="shared" si="0"/>
        <v>25.9</v>
      </c>
      <c r="E48" s="27">
        <f>IFERROR(100/'Skjema total MA'!C48*C48,0)</f>
        <v>0.28242836156082624</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v>177.88800000000001</v>
      </c>
      <c r="C53" s="308">
        <v>376.346</v>
      </c>
      <c r="D53" s="422">
        <f t="shared" si="0"/>
        <v>111.6</v>
      </c>
      <c r="E53" s="11">
        <f>IFERROR(100/'Skjema total MA'!C53*C53,0)</f>
        <v>0.13761669498529661</v>
      </c>
      <c r="F53" s="144"/>
      <c r="G53" s="33"/>
      <c r="H53" s="144"/>
      <c r="I53" s="144"/>
      <c r="J53" s="33"/>
      <c r="K53" s="33"/>
      <c r="L53" s="158"/>
      <c r="M53" s="158"/>
      <c r="N53" s="147"/>
    </row>
    <row r="54" spans="1:14" s="3" customFormat="1" ht="15.6" x14ac:dyDescent="0.25">
      <c r="A54" s="38" t="s">
        <v>455</v>
      </c>
      <c r="B54" s="278">
        <v>177.88800000000001</v>
      </c>
      <c r="C54" s="279">
        <v>376.346</v>
      </c>
      <c r="D54" s="252">
        <f t="shared" si="0"/>
        <v>111.6</v>
      </c>
      <c r="E54" s="27">
        <f>IFERROR(100/'Skjema total MA'!C54*C54,0)</f>
        <v>0.14076967390885819</v>
      </c>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v>137.988</v>
      </c>
      <c r="D56" s="422" t="str">
        <f t="shared" si="0"/>
        <v xml:space="preserve">    ---- </v>
      </c>
      <c r="E56" s="11">
        <f>IFERROR(100/'Skjema total MA'!C56*C56,0)</f>
        <v>3.8638280890512855E-2</v>
      </c>
      <c r="F56" s="144"/>
      <c r="G56" s="33"/>
      <c r="H56" s="144"/>
      <c r="I56" s="144"/>
      <c r="J56" s="33"/>
      <c r="K56" s="33"/>
      <c r="L56" s="158"/>
      <c r="M56" s="158"/>
      <c r="N56" s="147"/>
    </row>
    <row r="57" spans="1:14" s="3" customFormat="1" ht="15.6" x14ac:dyDescent="0.25">
      <c r="A57" s="38" t="s">
        <v>455</v>
      </c>
      <c r="B57" s="278"/>
      <c r="C57" s="279">
        <v>137.988</v>
      </c>
      <c r="D57" s="252" t="str">
        <f t="shared" si="0"/>
        <v xml:space="preserve">    ---- </v>
      </c>
      <c r="E57" s="27">
        <f>IFERROR(100/'Skjema total MA'!C57*C57,0)</f>
        <v>3.8638280890512855E-2</v>
      </c>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016" priority="132">
      <formula>kvartal &lt; 4</formula>
    </cfRule>
  </conditionalFormatting>
  <conditionalFormatting sqref="B69">
    <cfRule type="expression" dxfId="2015" priority="100">
      <formula>kvartal &lt; 4</formula>
    </cfRule>
  </conditionalFormatting>
  <conditionalFormatting sqref="C69">
    <cfRule type="expression" dxfId="2014" priority="99">
      <formula>kvartal &lt; 4</formula>
    </cfRule>
  </conditionalFormatting>
  <conditionalFormatting sqref="B72">
    <cfRule type="expression" dxfId="2013" priority="98">
      <formula>kvartal &lt; 4</formula>
    </cfRule>
  </conditionalFormatting>
  <conditionalFormatting sqref="C72">
    <cfRule type="expression" dxfId="2012" priority="97">
      <formula>kvartal &lt; 4</formula>
    </cfRule>
  </conditionalFormatting>
  <conditionalFormatting sqref="B80">
    <cfRule type="expression" dxfId="2011" priority="96">
      <formula>kvartal &lt; 4</formula>
    </cfRule>
  </conditionalFormatting>
  <conditionalFormatting sqref="C80">
    <cfRule type="expression" dxfId="2010" priority="95">
      <formula>kvartal &lt; 4</formula>
    </cfRule>
  </conditionalFormatting>
  <conditionalFormatting sqref="B83">
    <cfRule type="expression" dxfId="2009" priority="94">
      <formula>kvartal &lt; 4</formula>
    </cfRule>
  </conditionalFormatting>
  <conditionalFormatting sqref="C83">
    <cfRule type="expression" dxfId="2008" priority="93">
      <formula>kvartal &lt; 4</formula>
    </cfRule>
  </conditionalFormatting>
  <conditionalFormatting sqref="B90">
    <cfRule type="expression" dxfId="2007" priority="84">
      <formula>kvartal &lt; 4</formula>
    </cfRule>
  </conditionalFormatting>
  <conditionalFormatting sqref="C90">
    <cfRule type="expression" dxfId="2006" priority="83">
      <formula>kvartal &lt; 4</formula>
    </cfRule>
  </conditionalFormatting>
  <conditionalFormatting sqref="B93">
    <cfRule type="expression" dxfId="2005" priority="82">
      <formula>kvartal &lt; 4</formula>
    </cfRule>
  </conditionalFormatting>
  <conditionalFormatting sqref="C93">
    <cfRule type="expression" dxfId="2004" priority="81">
      <formula>kvartal &lt; 4</formula>
    </cfRule>
  </conditionalFormatting>
  <conditionalFormatting sqref="B101">
    <cfRule type="expression" dxfId="2003" priority="80">
      <formula>kvartal &lt; 4</formula>
    </cfRule>
  </conditionalFormatting>
  <conditionalFormatting sqref="C101">
    <cfRule type="expression" dxfId="2002" priority="79">
      <formula>kvartal &lt; 4</formula>
    </cfRule>
  </conditionalFormatting>
  <conditionalFormatting sqref="B104">
    <cfRule type="expression" dxfId="2001" priority="78">
      <formula>kvartal &lt; 4</formula>
    </cfRule>
  </conditionalFormatting>
  <conditionalFormatting sqref="C104">
    <cfRule type="expression" dxfId="2000" priority="77">
      <formula>kvartal &lt; 4</formula>
    </cfRule>
  </conditionalFormatting>
  <conditionalFormatting sqref="B115">
    <cfRule type="expression" dxfId="1999" priority="76">
      <formula>kvartal &lt; 4</formula>
    </cfRule>
  </conditionalFormatting>
  <conditionalFormatting sqref="C115">
    <cfRule type="expression" dxfId="1998" priority="75">
      <formula>kvartal &lt; 4</formula>
    </cfRule>
  </conditionalFormatting>
  <conditionalFormatting sqref="B123">
    <cfRule type="expression" dxfId="1997" priority="74">
      <formula>kvartal &lt; 4</formula>
    </cfRule>
  </conditionalFormatting>
  <conditionalFormatting sqref="C123">
    <cfRule type="expression" dxfId="1996" priority="73">
      <formula>kvartal &lt; 4</formula>
    </cfRule>
  </conditionalFormatting>
  <conditionalFormatting sqref="F70">
    <cfRule type="expression" dxfId="1995" priority="72">
      <formula>kvartal &lt; 4</formula>
    </cfRule>
  </conditionalFormatting>
  <conditionalFormatting sqref="G70">
    <cfRule type="expression" dxfId="1994" priority="71">
      <formula>kvartal &lt; 4</formula>
    </cfRule>
  </conditionalFormatting>
  <conditionalFormatting sqref="F71:G71">
    <cfRule type="expression" dxfId="1993" priority="70">
      <formula>kvartal &lt; 4</formula>
    </cfRule>
  </conditionalFormatting>
  <conditionalFormatting sqref="F73:G74">
    <cfRule type="expression" dxfId="1992" priority="69">
      <formula>kvartal &lt; 4</formula>
    </cfRule>
  </conditionalFormatting>
  <conditionalFormatting sqref="F81:G82">
    <cfRule type="expression" dxfId="1991" priority="68">
      <formula>kvartal &lt; 4</formula>
    </cfRule>
  </conditionalFormatting>
  <conditionalFormatting sqref="F84:G85">
    <cfRule type="expression" dxfId="1990" priority="67">
      <formula>kvartal &lt; 4</formula>
    </cfRule>
  </conditionalFormatting>
  <conditionalFormatting sqref="F91:G92">
    <cfRule type="expression" dxfId="1989" priority="62">
      <formula>kvartal &lt; 4</formula>
    </cfRule>
  </conditionalFormatting>
  <conditionalFormatting sqref="F94:G95">
    <cfRule type="expression" dxfId="1988" priority="61">
      <formula>kvartal &lt; 4</formula>
    </cfRule>
  </conditionalFormatting>
  <conditionalFormatting sqref="F102:G103">
    <cfRule type="expression" dxfId="1987" priority="60">
      <formula>kvartal &lt; 4</formula>
    </cfRule>
  </conditionalFormatting>
  <conditionalFormatting sqref="F105:G106">
    <cfRule type="expression" dxfId="1986" priority="59">
      <formula>kvartal &lt; 4</formula>
    </cfRule>
  </conditionalFormatting>
  <conditionalFormatting sqref="F115">
    <cfRule type="expression" dxfId="1985" priority="58">
      <formula>kvartal &lt; 4</formula>
    </cfRule>
  </conditionalFormatting>
  <conditionalFormatting sqref="G115">
    <cfRule type="expression" dxfId="1984" priority="57">
      <formula>kvartal &lt; 4</formula>
    </cfRule>
  </conditionalFormatting>
  <conditionalFormatting sqref="F123:G123">
    <cfRule type="expression" dxfId="1983" priority="56">
      <formula>kvartal &lt; 4</formula>
    </cfRule>
  </conditionalFormatting>
  <conditionalFormatting sqref="F69:G69">
    <cfRule type="expression" dxfId="1982" priority="55">
      <formula>kvartal &lt; 4</formula>
    </cfRule>
  </conditionalFormatting>
  <conditionalFormatting sqref="F72:G72">
    <cfRule type="expression" dxfId="1981" priority="54">
      <formula>kvartal &lt; 4</formula>
    </cfRule>
  </conditionalFormatting>
  <conditionalFormatting sqref="F80:G80">
    <cfRule type="expression" dxfId="1980" priority="53">
      <formula>kvartal &lt; 4</formula>
    </cfRule>
  </conditionalFormatting>
  <conditionalFormatting sqref="F83:G83">
    <cfRule type="expression" dxfId="1979" priority="52">
      <formula>kvartal &lt; 4</formula>
    </cfRule>
  </conditionalFormatting>
  <conditionalFormatting sqref="F90:G90">
    <cfRule type="expression" dxfId="1978" priority="46">
      <formula>kvartal &lt; 4</formula>
    </cfRule>
  </conditionalFormatting>
  <conditionalFormatting sqref="F93">
    <cfRule type="expression" dxfId="1977" priority="45">
      <formula>kvartal &lt; 4</formula>
    </cfRule>
  </conditionalFormatting>
  <conditionalFormatting sqref="G93">
    <cfRule type="expression" dxfId="1976" priority="44">
      <formula>kvartal &lt; 4</formula>
    </cfRule>
  </conditionalFormatting>
  <conditionalFormatting sqref="F101">
    <cfRule type="expression" dxfId="1975" priority="43">
      <formula>kvartal &lt; 4</formula>
    </cfRule>
  </conditionalFormatting>
  <conditionalFormatting sqref="G101">
    <cfRule type="expression" dxfId="1974" priority="42">
      <formula>kvartal &lt; 4</formula>
    </cfRule>
  </conditionalFormatting>
  <conditionalFormatting sqref="G104">
    <cfRule type="expression" dxfId="1973" priority="41">
      <formula>kvartal &lt; 4</formula>
    </cfRule>
  </conditionalFormatting>
  <conditionalFormatting sqref="F104">
    <cfRule type="expression" dxfId="1972" priority="40">
      <formula>kvartal &lt; 4</formula>
    </cfRule>
  </conditionalFormatting>
  <conditionalFormatting sqref="J69:K73">
    <cfRule type="expression" dxfId="1971" priority="39">
      <formula>kvartal &lt; 4</formula>
    </cfRule>
  </conditionalFormatting>
  <conditionalFormatting sqref="J74:K74">
    <cfRule type="expression" dxfId="1970" priority="38">
      <formula>kvartal &lt; 4</formula>
    </cfRule>
  </conditionalFormatting>
  <conditionalFormatting sqref="J80:K85">
    <cfRule type="expression" dxfId="1969" priority="37">
      <formula>kvartal &lt; 4</formula>
    </cfRule>
  </conditionalFormatting>
  <conditionalFormatting sqref="J90:K95">
    <cfRule type="expression" dxfId="1968" priority="34">
      <formula>kvartal &lt; 4</formula>
    </cfRule>
  </conditionalFormatting>
  <conditionalFormatting sqref="J101:K106">
    <cfRule type="expression" dxfId="1967" priority="33">
      <formula>kvartal &lt; 4</formula>
    </cfRule>
  </conditionalFormatting>
  <conditionalFormatting sqref="J115:K115">
    <cfRule type="expression" dxfId="1966" priority="32">
      <formula>kvartal &lt; 4</formula>
    </cfRule>
  </conditionalFormatting>
  <conditionalFormatting sqref="J123:K123">
    <cfRule type="expression" dxfId="1965" priority="31">
      <formula>kvartal &lt; 4</formula>
    </cfRule>
  </conditionalFormatting>
  <conditionalFormatting sqref="A50:A52">
    <cfRule type="expression" dxfId="1964" priority="12">
      <formula>kvartal &lt; 4</formula>
    </cfRule>
  </conditionalFormatting>
  <conditionalFormatting sqref="A69:A74">
    <cfRule type="expression" dxfId="1963" priority="10">
      <formula>kvartal &lt; 4</formula>
    </cfRule>
  </conditionalFormatting>
  <conditionalFormatting sqref="A80:A85">
    <cfRule type="expression" dxfId="1962" priority="9">
      <formula>kvartal &lt; 4</formula>
    </cfRule>
  </conditionalFormatting>
  <conditionalFormatting sqref="A90:A95">
    <cfRule type="expression" dxfId="1961" priority="6">
      <formula>kvartal &lt; 4</formula>
    </cfRule>
  </conditionalFormatting>
  <conditionalFormatting sqref="A101:A106">
    <cfRule type="expression" dxfId="1960" priority="5">
      <formula>kvartal &lt; 4</formula>
    </cfRule>
  </conditionalFormatting>
  <conditionalFormatting sqref="A115">
    <cfRule type="expression" dxfId="1959" priority="4">
      <formula>kvartal &lt; 4</formula>
    </cfRule>
  </conditionalFormatting>
  <conditionalFormatting sqref="A123">
    <cfRule type="expression" dxfId="1958"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128</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760138</v>
      </c>
      <c r="C7" s="304">
        <v>792978</v>
      </c>
      <c r="D7" s="345">
        <f t="shared" ref="D7:D10" si="0">IF(B7=0, "    ---- ", IF(ABS(ROUND(100/B7*C7-100,1))&lt;999,ROUND(100/B7*C7-100,1),IF(ROUND(100/B7*C7-100,1)&gt;999,999,-999)))</f>
        <v>4.3</v>
      </c>
      <c r="E7" s="11">
        <f>IFERROR(100/'Skjema total MA'!C7*C7,0)</f>
        <v>16.112855295943298</v>
      </c>
      <c r="F7" s="303"/>
      <c r="G7" s="304"/>
      <c r="H7" s="345"/>
      <c r="I7" s="159"/>
      <c r="J7" s="305">
        <f t="shared" ref="J7:K10" si="1">SUM(B7,F7)</f>
        <v>760138</v>
      </c>
      <c r="K7" s="306">
        <f t="shared" si="1"/>
        <v>792978</v>
      </c>
      <c r="L7" s="421">
        <f t="shared" ref="L7:L10" si="2">IF(J7=0, "    ---- ", IF(ABS(ROUND(100/J7*K7-100,1))&lt;999,ROUND(100/J7*K7-100,1),IF(ROUND(100/J7*K7-100,1)&gt;999,999,-999)))</f>
        <v>4.3</v>
      </c>
      <c r="M7" s="11">
        <f>IFERROR(100/'Skjema total MA'!I7*K7,0)</f>
        <v>4.0336843373697517</v>
      </c>
    </row>
    <row r="8" spans="1:14" ht="15.6" x14ac:dyDescent="0.25">
      <c r="A8" s="21" t="s">
        <v>25</v>
      </c>
      <c r="B8" s="278">
        <v>470988</v>
      </c>
      <c r="C8" s="279">
        <v>500598.72899999999</v>
      </c>
      <c r="D8" s="165">
        <f t="shared" si="0"/>
        <v>6.3</v>
      </c>
      <c r="E8" s="27">
        <f>IFERROR(100/'Skjema total MA'!C8*C8,0)</f>
        <v>15.455190263036481</v>
      </c>
      <c r="F8" s="282"/>
      <c r="G8" s="283"/>
      <c r="H8" s="165"/>
      <c r="I8" s="174"/>
      <c r="J8" s="232">
        <f t="shared" si="1"/>
        <v>470988</v>
      </c>
      <c r="K8" s="284">
        <f t="shared" si="1"/>
        <v>500598.72899999999</v>
      </c>
      <c r="L8" s="165">
        <f t="shared" si="2"/>
        <v>6.3</v>
      </c>
      <c r="M8" s="27">
        <f>IFERROR(100/'Skjema total MA'!I8*K8,0)</f>
        <v>15.455190263036481</v>
      </c>
    </row>
    <row r="9" spans="1:14" ht="15.6" x14ac:dyDescent="0.25">
      <c r="A9" s="21" t="s">
        <v>24</v>
      </c>
      <c r="B9" s="278">
        <v>289150</v>
      </c>
      <c r="C9" s="279">
        <v>292378.78899999999</v>
      </c>
      <c r="D9" s="165">
        <f t="shared" si="0"/>
        <v>1.1000000000000001</v>
      </c>
      <c r="E9" s="27">
        <f>IFERROR(100/'Skjema total MA'!C9*C9,0)</f>
        <v>29.323685064636937</v>
      </c>
      <c r="F9" s="282"/>
      <c r="G9" s="283"/>
      <c r="H9" s="165"/>
      <c r="I9" s="174"/>
      <c r="J9" s="232">
        <f t="shared" si="1"/>
        <v>289150</v>
      </c>
      <c r="K9" s="284">
        <f t="shared" si="1"/>
        <v>292378.78899999999</v>
      </c>
      <c r="L9" s="165">
        <f t="shared" si="2"/>
        <v>1.1000000000000001</v>
      </c>
      <c r="M9" s="27">
        <f>IFERROR(100/'Skjema total MA'!I9*K9,0)</f>
        <v>29.323685064636937</v>
      </c>
    </row>
    <row r="10" spans="1:14" ht="15.6" x14ac:dyDescent="0.25">
      <c r="A10" s="13" t="s">
        <v>444</v>
      </c>
      <c r="B10" s="307">
        <v>1127127</v>
      </c>
      <c r="C10" s="308">
        <v>1138879</v>
      </c>
      <c r="D10" s="170">
        <f t="shared" si="0"/>
        <v>1</v>
      </c>
      <c r="E10" s="11">
        <f>IFERROR(100/'Skjema total MA'!C10*C10,0)</f>
        <v>6.0377256730630835</v>
      </c>
      <c r="F10" s="307"/>
      <c r="G10" s="308"/>
      <c r="H10" s="170"/>
      <c r="I10" s="159"/>
      <c r="J10" s="305">
        <f t="shared" si="1"/>
        <v>1127127</v>
      </c>
      <c r="K10" s="306">
        <f t="shared" si="1"/>
        <v>1138879</v>
      </c>
      <c r="L10" s="422">
        <f t="shared" si="2"/>
        <v>1</v>
      </c>
      <c r="M10" s="11">
        <f>IFERROR(100/'Skjema total MA'!I10*K10,0)</f>
        <v>1.1840240097817081</v>
      </c>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906280</v>
      </c>
      <c r="C47" s="308">
        <v>1117691.1639999999</v>
      </c>
      <c r="D47" s="421">
        <f t="shared" ref="D47:D48" si="3">IF(B47=0, "    ---- ", IF(ABS(ROUND(100/B47*C47-100,1))&lt;999,ROUND(100/B47*C47-100,1),IF(ROUND(100/B47*C47-100,1)&gt;999,999,-999)))</f>
        <v>23.3</v>
      </c>
      <c r="E47" s="11">
        <f>IFERROR(100/'Skjema total MA'!C47*C47,0)</f>
        <v>21.941306442511674</v>
      </c>
      <c r="F47" s="144"/>
      <c r="G47" s="33"/>
      <c r="H47" s="158"/>
      <c r="I47" s="158"/>
      <c r="J47" s="37"/>
      <c r="K47" s="37"/>
      <c r="L47" s="158"/>
      <c r="M47" s="158"/>
      <c r="N47" s="147"/>
    </row>
    <row r="48" spans="1:14" s="3" customFormat="1" ht="15.6" x14ac:dyDescent="0.25">
      <c r="A48" s="38" t="s">
        <v>455</v>
      </c>
      <c r="B48" s="278">
        <v>591282</v>
      </c>
      <c r="C48" s="279">
        <v>763902.55299999996</v>
      </c>
      <c r="D48" s="252">
        <f t="shared" si="3"/>
        <v>29.2</v>
      </c>
      <c r="E48" s="27">
        <f>IFERROR(100/'Skjema total MA'!C48*C48,0)</f>
        <v>26.971772346602734</v>
      </c>
      <c r="F48" s="144"/>
      <c r="G48" s="33"/>
      <c r="H48" s="144"/>
      <c r="I48" s="144"/>
      <c r="J48" s="33"/>
      <c r="K48" s="33"/>
      <c r="L48" s="158"/>
      <c r="M48" s="158"/>
      <c r="N48" s="147"/>
    </row>
    <row r="49" spans="1:14" s="3" customFormat="1" ht="15.6" x14ac:dyDescent="0.25">
      <c r="A49" s="38" t="s">
        <v>456</v>
      </c>
      <c r="B49" s="44">
        <v>314998</v>
      </c>
      <c r="C49" s="284">
        <v>353788.61099999998</v>
      </c>
      <c r="D49" s="252">
        <f>IF(B49=0, "    ---- ", IF(ABS(ROUND(100/B49*C49-100,1))&lt;999,ROUND(100/B49*C49-100,1),IF(ROUND(100/B49*C49-100,1)&gt;999,999,-999)))</f>
        <v>12.3</v>
      </c>
      <c r="E49" s="27">
        <f>IFERROR(100/'Skjema total MA'!C49*C49,0)</f>
        <v>15.642078760742683</v>
      </c>
      <c r="F49" s="144"/>
      <c r="G49" s="33"/>
      <c r="H49" s="144"/>
      <c r="I49" s="144"/>
      <c r="J49" s="37"/>
      <c r="K49" s="37"/>
      <c r="L49" s="158"/>
      <c r="M49" s="158"/>
      <c r="N49" s="147"/>
    </row>
    <row r="50" spans="1:14" s="3" customFormat="1" x14ac:dyDescent="0.25">
      <c r="A50" s="293" t="s">
        <v>6</v>
      </c>
      <c r="B50" s="287"/>
      <c r="C50" s="288"/>
      <c r="D50" s="252"/>
      <c r="E50" s="27"/>
      <c r="F50" s="144"/>
      <c r="G50" s="33"/>
      <c r="H50" s="144"/>
      <c r="I50" s="144"/>
      <c r="J50" s="33"/>
      <c r="K50" s="33"/>
      <c r="L50" s="158"/>
      <c r="M50" s="158"/>
      <c r="N50" s="147"/>
    </row>
    <row r="51" spans="1:14" s="3" customFormat="1" x14ac:dyDescent="0.25">
      <c r="A51" s="293" t="s">
        <v>7</v>
      </c>
      <c r="B51" s="287">
        <v>277400</v>
      </c>
      <c r="C51" s="288">
        <v>318185.18199999997</v>
      </c>
      <c r="D51" s="252">
        <f t="shared" ref="D51:D57" si="4">IF(B51=0, "    ---- ", IF(ABS(ROUND(100/B51*C51-100,1))&lt;999,ROUND(100/B51*C51-100,1),IF(ROUND(100/B51*C51-100,1)&gt;999,999,-999)))</f>
        <v>14.7</v>
      </c>
      <c r="E51" s="27">
        <f>IFERROR(100/'Skjema total MA'!C51*C51,0)</f>
        <v>14.520572810964333</v>
      </c>
      <c r="F51" s="144"/>
      <c r="G51" s="33"/>
      <c r="H51" s="144"/>
      <c r="I51" s="144"/>
      <c r="J51" s="33"/>
      <c r="K51" s="33"/>
      <c r="L51" s="158"/>
      <c r="M51" s="158"/>
      <c r="N51" s="147"/>
    </row>
    <row r="52" spans="1:14" s="3" customFormat="1" x14ac:dyDescent="0.25">
      <c r="A52" s="293" t="s">
        <v>8</v>
      </c>
      <c r="B52" s="287">
        <v>37598</v>
      </c>
      <c r="C52" s="288">
        <v>35603.428999999996</v>
      </c>
      <c r="D52" s="252">
        <f t="shared" si="4"/>
        <v>-5.3</v>
      </c>
      <c r="E52" s="27">
        <f>IFERROR(100/'Skjema total MA'!C52*C52,0)</f>
        <v>50.498924683155856</v>
      </c>
      <c r="F52" s="144"/>
      <c r="G52" s="33"/>
      <c r="H52" s="144"/>
      <c r="I52" s="144"/>
      <c r="J52" s="33"/>
      <c r="K52" s="33"/>
      <c r="L52" s="158"/>
      <c r="M52" s="158"/>
      <c r="N52" s="147"/>
    </row>
    <row r="53" spans="1:14" s="3" customFormat="1" ht="15.6" x14ac:dyDescent="0.25">
      <c r="A53" s="39" t="s">
        <v>457</v>
      </c>
      <c r="B53" s="307">
        <v>73086</v>
      </c>
      <c r="C53" s="308">
        <v>182436</v>
      </c>
      <c r="D53" s="252">
        <f t="shared" si="4"/>
        <v>149.6</v>
      </c>
      <c r="E53" s="27">
        <f>IFERROR(100/'Skjema total MA'!C53*C53,0)</f>
        <v>66.710525331311004</v>
      </c>
      <c r="F53" s="144"/>
      <c r="G53" s="33"/>
      <c r="H53" s="144"/>
      <c r="I53" s="144"/>
      <c r="J53" s="33"/>
      <c r="K53" s="33"/>
      <c r="L53" s="158"/>
      <c r="M53" s="158"/>
      <c r="N53" s="147"/>
    </row>
    <row r="54" spans="1:14" s="3" customFormat="1" ht="15.6" x14ac:dyDescent="0.25">
      <c r="A54" s="38" t="s">
        <v>455</v>
      </c>
      <c r="B54" s="278">
        <v>73086</v>
      </c>
      <c r="C54" s="279">
        <v>182436</v>
      </c>
      <c r="D54" s="252">
        <f t="shared" si="4"/>
        <v>149.6</v>
      </c>
      <c r="E54" s="27">
        <f>IFERROR(100/'Skjema total MA'!C54*C54,0)</f>
        <v>68.238950936734952</v>
      </c>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v>30672</v>
      </c>
      <c r="C56" s="308">
        <v>34688</v>
      </c>
      <c r="D56" s="252">
        <f t="shared" si="4"/>
        <v>13.1</v>
      </c>
      <c r="E56" s="27">
        <f>IFERROR(100/'Skjema total MA'!C56*C56,0)</f>
        <v>9.7130524939133114</v>
      </c>
      <c r="F56" s="144"/>
      <c r="G56" s="33"/>
      <c r="H56" s="144"/>
      <c r="I56" s="144"/>
      <c r="J56" s="33"/>
      <c r="K56" s="33"/>
      <c r="L56" s="158"/>
      <c r="M56" s="158"/>
      <c r="N56" s="147"/>
    </row>
    <row r="57" spans="1:14" s="3" customFormat="1" ht="15.6" x14ac:dyDescent="0.25">
      <c r="A57" s="38" t="s">
        <v>455</v>
      </c>
      <c r="B57" s="278">
        <v>30672</v>
      </c>
      <c r="C57" s="279">
        <v>34688</v>
      </c>
      <c r="D57" s="252">
        <f t="shared" si="4"/>
        <v>13.1</v>
      </c>
      <c r="E57" s="27">
        <f>IFERROR(100/'Skjema total MA'!C57*C57,0)</f>
        <v>9.7130524939133114</v>
      </c>
      <c r="F57" s="144"/>
      <c r="G57" s="33"/>
      <c r="H57" s="144"/>
      <c r="I57" s="144"/>
      <c r="J57" s="33"/>
      <c r="K57" s="33"/>
      <c r="L57" s="158"/>
      <c r="M57" s="158"/>
      <c r="N57" s="147"/>
    </row>
    <row r="58" spans="1:14" s="3" customFormat="1" ht="15.6" x14ac:dyDescent="0.25">
      <c r="A58" s="46" t="s">
        <v>456</v>
      </c>
      <c r="B58" s="280"/>
      <c r="C58" s="281"/>
      <c r="D58" s="253"/>
      <c r="E58" s="41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957" priority="132">
      <formula>kvartal &lt; 4</formula>
    </cfRule>
  </conditionalFormatting>
  <conditionalFormatting sqref="B69">
    <cfRule type="expression" dxfId="1956" priority="100">
      <formula>kvartal &lt; 4</formula>
    </cfRule>
  </conditionalFormatting>
  <conditionalFormatting sqref="C69">
    <cfRule type="expression" dxfId="1955" priority="99">
      <formula>kvartal &lt; 4</formula>
    </cfRule>
  </conditionalFormatting>
  <conditionalFormatting sqref="B72">
    <cfRule type="expression" dxfId="1954" priority="98">
      <formula>kvartal &lt; 4</formula>
    </cfRule>
  </conditionalFormatting>
  <conditionalFormatting sqref="C72">
    <cfRule type="expression" dxfId="1953" priority="97">
      <formula>kvartal &lt; 4</formula>
    </cfRule>
  </conditionalFormatting>
  <conditionalFormatting sqref="B80">
    <cfRule type="expression" dxfId="1952" priority="96">
      <formula>kvartal &lt; 4</formula>
    </cfRule>
  </conditionalFormatting>
  <conditionalFormatting sqref="C80">
    <cfRule type="expression" dxfId="1951" priority="95">
      <formula>kvartal &lt; 4</formula>
    </cfRule>
  </conditionalFormatting>
  <conditionalFormatting sqref="B83">
    <cfRule type="expression" dxfId="1950" priority="94">
      <formula>kvartal &lt; 4</formula>
    </cfRule>
  </conditionalFormatting>
  <conditionalFormatting sqref="C83">
    <cfRule type="expression" dxfId="1949" priority="93">
      <formula>kvartal &lt; 4</formula>
    </cfRule>
  </conditionalFormatting>
  <conditionalFormatting sqref="B90">
    <cfRule type="expression" dxfId="1948" priority="84">
      <formula>kvartal &lt; 4</formula>
    </cfRule>
  </conditionalFormatting>
  <conditionalFormatting sqref="C90">
    <cfRule type="expression" dxfId="1947" priority="83">
      <formula>kvartal &lt; 4</formula>
    </cfRule>
  </conditionalFormatting>
  <conditionalFormatting sqref="B93">
    <cfRule type="expression" dxfId="1946" priority="82">
      <formula>kvartal &lt; 4</formula>
    </cfRule>
  </conditionalFormatting>
  <conditionalFormatting sqref="C93">
    <cfRule type="expression" dxfId="1945" priority="81">
      <formula>kvartal &lt; 4</formula>
    </cfRule>
  </conditionalFormatting>
  <conditionalFormatting sqref="B101">
    <cfRule type="expression" dxfId="1944" priority="80">
      <formula>kvartal &lt; 4</formula>
    </cfRule>
  </conditionalFormatting>
  <conditionalFormatting sqref="C101">
    <cfRule type="expression" dxfId="1943" priority="79">
      <formula>kvartal &lt; 4</formula>
    </cfRule>
  </conditionalFormatting>
  <conditionalFormatting sqref="B104">
    <cfRule type="expression" dxfId="1942" priority="78">
      <formula>kvartal &lt; 4</formula>
    </cfRule>
  </conditionalFormatting>
  <conditionalFormatting sqref="C104">
    <cfRule type="expression" dxfId="1941" priority="77">
      <formula>kvartal &lt; 4</formula>
    </cfRule>
  </conditionalFormatting>
  <conditionalFormatting sqref="B115">
    <cfRule type="expression" dxfId="1940" priority="76">
      <formula>kvartal &lt; 4</formula>
    </cfRule>
  </conditionalFormatting>
  <conditionalFormatting sqref="C115">
    <cfRule type="expression" dxfId="1939" priority="75">
      <formula>kvartal &lt; 4</formula>
    </cfRule>
  </conditionalFormatting>
  <conditionalFormatting sqref="B123">
    <cfRule type="expression" dxfId="1938" priority="74">
      <formula>kvartal &lt; 4</formula>
    </cfRule>
  </conditionalFormatting>
  <conditionalFormatting sqref="C123">
    <cfRule type="expression" dxfId="1937" priority="73">
      <formula>kvartal &lt; 4</formula>
    </cfRule>
  </conditionalFormatting>
  <conditionalFormatting sqref="F70">
    <cfRule type="expression" dxfId="1936" priority="72">
      <formula>kvartal &lt; 4</formula>
    </cfRule>
  </conditionalFormatting>
  <conditionalFormatting sqref="G70">
    <cfRule type="expression" dxfId="1935" priority="71">
      <formula>kvartal &lt; 4</formula>
    </cfRule>
  </conditionalFormatting>
  <conditionalFormatting sqref="F71:G71">
    <cfRule type="expression" dxfId="1934" priority="70">
      <formula>kvartal &lt; 4</formula>
    </cfRule>
  </conditionalFormatting>
  <conditionalFormatting sqref="F73:G74">
    <cfRule type="expression" dxfId="1933" priority="69">
      <formula>kvartal &lt; 4</formula>
    </cfRule>
  </conditionalFormatting>
  <conditionalFormatting sqref="F81:G82">
    <cfRule type="expression" dxfId="1932" priority="68">
      <formula>kvartal &lt; 4</formula>
    </cfRule>
  </conditionalFormatting>
  <conditionalFormatting sqref="F84:G85">
    <cfRule type="expression" dxfId="1931" priority="67">
      <formula>kvartal &lt; 4</formula>
    </cfRule>
  </conditionalFormatting>
  <conditionalFormatting sqref="F91:G92">
    <cfRule type="expression" dxfId="1930" priority="62">
      <formula>kvartal &lt; 4</formula>
    </cfRule>
  </conditionalFormatting>
  <conditionalFormatting sqref="F94:G95">
    <cfRule type="expression" dxfId="1929" priority="61">
      <formula>kvartal &lt; 4</formula>
    </cfRule>
  </conditionalFormatting>
  <conditionalFormatting sqref="F102:G103">
    <cfRule type="expression" dxfId="1928" priority="60">
      <formula>kvartal &lt; 4</formula>
    </cfRule>
  </conditionalFormatting>
  <conditionalFormatting sqref="F105:G106">
    <cfRule type="expression" dxfId="1927" priority="59">
      <formula>kvartal &lt; 4</formula>
    </cfRule>
  </conditionalFormatting>
  <conditionalFormatting sqref="F115">
    <cfRule type="expression" dxfId="1926" priority="58">
      <formula>kvartal &lt; 4</formula>
    </cfRule>
  </conditionalFormatting>
  <conditionalFormatting sqref="G115">
    <cfRule type="expression" dxfId="1925" priority="57">
      <formula>kvartal &lt; 4</formula>
    </cfRule>
  </conditionalFormatting>
  <conditionalFormatting sqref="F123:G123">
    <cfRule type="expression" dxfId="1924" priority="56">
      <formula>kvartal &lt; 4</formula>
    </cfRule>
  </conditionalFormatting>
  <conditionalFormatting sqref="F69:G69">
    <cfRule type="expression" dxfId="1923" priority="55">
      <formula>kvartal &lt; 4</formula>
    </cfRule>
  </conditionalFormatting>
  <conditionalFormatting sqref="F72:G72">
    <cfRule type="expression" dxfId="1922" priority="54">
      <formula>kvartal &lt; 4</formula>
    </cfRule>
  </conditionalFormatting>
  <conditionalFormatting sqref="F80:G80">
    <cfRule type="expression" dxfId="1921" priority="53">
      <formula>kvartal &lt; 4</formula>
    </cfRule>
  </conditionalFormatting>
  <conditionalFormatting sqref="F83:G83">
    <cfRule type="expression" dxfId="1920" priority="52">
      <formula>kvartal &lt; 4</formula>
    </cfRule>
  </conditionalFormatting>
  <conditionalFormatting sqref="F90:G90">
    <cfRule type="expression" dxfId="1919" priority="46">
      <formula>kvartal &lt; 4</formula>
    </cfRule>
  </conditionalFormatting>
  <conditionalFormatting sqref="F93">
    <cfRule type="expression" dxfId="1918" priority="45">
      <formula>kvartal &lt; 4</formula>
    </cfRule>
  </conditionalFormatting>
  <conditionalFormatting sqref="G93">
    <cfRule type="expression" dxfId="1917" priority="44">
      <formula>kvartal &lt; 4</formula>
    </cfRule>
  </conditionalFormatting>
  <conditionalFormatting sqref="F101">
    <cfRule type="expression" dxfId="1916" priority="43">
      <formula>kvartal &lt; 4</formula>
    </cfRule>
  </conditionalFormatting>
  <conditionalFormatting sqref="G101">
    <cfRule type="expression" dxfId="1915" priority="42">
      <formula>kvartal &lt; 4</formula>
    </cfRule>
  </conditionalFormatting>
  <conditionalFormatting sqref="G104">
    <cfRule type="expression" dxfId="1914" priority="41">
      <formula>kvartal &lt; 4</formula>
    </cfRule>
  </conditionalFormatting>
  <conditionalFormatting sqref="F104">
    <cfRule type="expression" dxfId="1913" priority="40">
      <formula>kvartal &lt; 4</formula>
    </cfRule>
  </conditionalFormatting>
  <conditionalFormatting sqref="J69:K73">
    <cfRule type="expression" dxfId="1912" priority="39">
      <formula>kvartal &lt; 4</formula>
    </cfRule>
  </conditionalFormatting>
  <conditionalFormatting sqref="J74:K74">
    <cfRule type="expression" dxfId="1911" priority="38">
      <formula>kvartal &lt; 4</formula>
    </cfRule>
  </conditionalFormatting>
  <conditionalFormatting sqref="J80:K85">
    <cfRule type="expression" dxfId="1910" priority="37">
      <formula>kvartal &lt; 4</formula>
    </cfRule>
  </conditionalFormatting>
  <conditionalFormatting sqref="J90:K95">
    <cfRule type="expression" dxfId="1909" priority="34">
      <formula>kvartal &lt; 4</formula>
    </cfRule>
  </conditionalFormatting>
  <conditionalFormatting sqref="J101:K106">
    <cfRule type="expression" dxfId="1908" priority="33">
      <formula>kvartal &lt; 4</formula>
    </cfRule>
  </conditionalFormatting>
  <conditionalFormatting sqref="J115:K115">
    <cfRule type="expression" dxfId="1907" priority="32">
      <formula>kvartal &lt; 4</formula>
    </cfRule>
  </conditionalFormatting>
  <conditionalFormatting sqref="J123:K123">
    <cfRule type="expression" dxfId="1906" priority="31">
      <formula>kvartal &lt; 4</formula>
    </cfRule>
  </conditionalFormatting>
  <conditionalFormatting sqref="A50:A52">
    <cfRule type="expression" dxfId="1905" priority="12">
      <formula>kvartal &lt; 4</formula>
    </cfRule>
  </conditionalFormatting>
  <conditionalFormatting sqref="A69:A74">
    <cfRule type="expression" dxfId="1904" priority="10">
      <formula>kvartal &lt; 4</formula>
    </cfRule>
  </conditionalFormatting>
  <conditionalFormatting sqref="A80:A85">
    <cfRule type="expression" dxfId="1903" priority="9">
      <formula>kvartal &lt; 4</formula>
    </cfRule>
  </conditionalFormatting>
  <conditionalFormatting sqref="A90:A95">
    <cfRule type="expression" dxfId="1902" priority="6">
      <formula>kvartal &lt; 4</formula>
    </cfRule>
  </conditionalFormatting>
  <conditionalFormatting sqref="A101:A106">
    <cfRule type="expression" dxfId="1901" priority="5">
      <formula>kvartal &lt; 4</formula>
    </cfRule>
  </conditionalFormatting>
  <conditionalFormatting sqref="A115">
    <cfRule type="expression" dxfId="1900" priority="4">
      <formula>kvartal &lt; 4</formula>
    </cfRule>
  </conditionalFormatting>
  <conditionalFormatting sqref="A123">
    <cfRule type="expression" dxfId="1899" priority="3">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129</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v>144582</v>
      </c>
      <c r="G7" s="304">
        <v>162521</v>
      </c>
      <c r="H7" s="345">
        <f t="shared" ref="H7:H12" si="0">IF(F7=0, "    ---- ", IF(ABS(ROUND(100/F7*G7-100,1))&lt;999,ROUND(100/F7*G7-100,1),IF(ROUND(100/F7*G7-100,1)&gt;999,999,-999)))</f>
        <v>12.4</v>
      </c>
      <c r="I7" s="159">
        <f>IFERROR(100/'Skjema total MA'!F7*G7,0)</f>
        <v>1.102771757148221</v>
      </c>
      <c r="J7" s="305">
        <f t="shared" ref="J7:K12" si="1">SUM(B7,F7)</f>
        <v>144582</v>
      </c>
      <c r="K7" s="306">
        <f t="shared" si="1"/>
        <v>162521</v>
      </c>
      <c r="L7" s="421">
        <f t="shared" ref="L7:L12" si="2">IF(J7=0, "    ---- ", IF(ABS(ROUND(100/J7*K7-100,1))&lt;999,ROUND(100/J7*K7-100,1),IF(ROUND(100/J7*K7-100,1)&gt;999,999,-999)))</f>
        <v>12.4</v>
      </c>
      <c r="M7" s="11">
        <f>IFERROR(100/'Skjema total MA'!I7*K7,0)</f>
        <v>0.82670441322920607</v>
      </c>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v>834178</v>
      </c>
      <c r="G10" s="308">
        <v>1033685</v>
      </c>
      <c r="H10" s="170">
        <f t="shared" si="0"/>
        <v>23.9</v>
      </c>
      <c r="I10" s="159">
        <f>IFERROR(100/'Skjema total MA'!F10*G10,0)</f>
        <v>1.33681538956184</v>
      </c>
      <c r="J10" s="305">
        <f t="shared" si="1"/>
        <v>834178</v>
      </c>
      <c r="K10" s="306">
        <f t="shared" si="1"/>
        <v>1033685</v>
      </c>
      <c r="L10" s="422">
        <f t="shared" si="2"/>
        <v>23.9</v>
      </c>
      <c r="M10" s="11">
        <f>IFERROR(100/'Skjema total MA'!I10*K10,0)</f>
        <v>1.0746601338256347</v>
      </c>
    </row>
    <row r="11" spans="1:14" s="43" customFormat="1" ht="15.6" x14ac:dyDescent="0.25">
      <c r="A11" s="13" t="s">
        <v>445</v>
      </c>
      <c r="B11" s="307"/>
      <c r="C11" s="308"/>
      <c r="D11" s="170"/>
      <c r="E11" s="11"/>
      <c r="F11" s="307">
        <v>5621</v>
      </c>
      <c r="G11" s="308">
        <v>9687</v>
      </c>
      <c r="H11" s="170">
        <f t="shared" si="0"/>
        <v>72.3</v>
      </c>
      <c r="I11" s="159">
        <f>IFERROR(100/'Skjema total MA'!F11*G11,0)</f>
        <v>1.4460947653882077</v>
      </c>
      <c r="J11" s="305">
        <f t="shared" si="1"/>
        <v>5621</v>
      </c>
      <c r="K11" s="306">
        <f t="shared" si="1"/>
        <v>9687</v>
      </c>
      <c r="L11" s="422">
        <f t="shared" si="2"/>
        <v>72.3</v>
      </c>
      <c r="M11" s="11">
        <f>IFERROR(100/'Skjema total MA'!I11*K11,0)</f>
        <v>1.2679010403992925</v>
      </c>
      <c r="N11" s="142"/>
    </row>
    <row r="12" spans="1:14" s="43" customFormat="1" ht="15.6" x14ac:dyDescent="0.25">
      <c r="A12" s="41" t="s">
        <v>446</v>
      </c>
      <c r="B12" s="309"/>
      <c r="C12" s="310"/>
      <c r="D12" s="168"/>
      <c r="E12" s="36"/>
      <c r="F12" s="309">
        <v>5037</v>
      </c>
      <c r="G12" s="310">
        <v>10900</v>
      </c>
      <c r="H12" s="168">
        <f t="shared" si="0"/>
        <v>116.4</v>
      </c>
      <c r="I12" s="168">
        <f>IFERROR(100/'Skjema total MA'!F12*G12,0)</f>
        <v>6.0946909700849572</v>
      </c>
      <c r="J12" s="311">
        <f t="shared" si="1"/>
        <v>5037</v>
      </c>
      <c r="K12" s="312">
        <f t="shared" si="1"/>
        <v>10900</v>
      </c>
      <c r="L12" s="423">
        <f t="shared" si="2"/>
        <v>116.4</v>
      </c>
      <c r="M12" s="36">
        <f>IFERROR(100/'Skjema total MA'!I12*K12,0)</f>
        <v>5.859799873080541</v>
      </c>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414502</v>
      </c>
      <c r="C22" s="307">
        <v>464208</v>
      </c>
      <c r="D22" s="345">
        <f t="shared" ref="D22:D30" si="3">IF(B22=0, "    ---- ", IF(ABS(ROUND(100/B22*C22-100,1))&lt;999,ROUND(100/B22*C22-100,1),IF(ROUND(100/B22*C22-100,1)&gt;999,999,-999)))</f>
        <v>12</v>
      </c>
      <c r="E22" s="11">
        <f>IFERROR(100/'Skjema total MA'!C22*C22,0)</f>
        <v>24.034407505068472</v>
      </c>
      <c r="F22" s="315">
        <v>97513</v>
      </c>
      <c r="G22" s="315">
        <v>111185</v>
      </c>
      <c r="H22" s="345">
        <f t="shared" ref="H22:H35" si="4">IF(F22=0, "    ---- ", IF(ABS(ROUND(100/F22*G22-100,1))&lt;999,ROUND(100/F22*G22-100,1),IF(ROUND(100/F22*G22-100,1)&gt;999,999,-999)))</f>
        <v>14</v>
      </c>
      <c r="I22" s="11">
        <f>IFERROR(100/'Skjema total MA'!F22*G22,0)</f>
        <v>6.4797502745274942</v>
      </c>
      <c r="J22" s="313">
        <f t="shared" ref="J22:J35" si="5">SUM(B22,F22)</f>
        <v>512015</v>
      </c>
      <c r="K22" s="313">
        <f t="shared" ref="K22:K35" si="6">SUM(C22,G22)</f>
        <v>575393</v>
      </c>
      <c r="L22" s="421">
        <f t="shared" ref="L22:L35" si="7">IF(J22=0, "    ---- ", IF(ABS(ROUND(100/J22*K22-100,1))&lt;999,ROUND(100/J22*K22-100,1),IF(ROUND(100/J22*K22-100,1)&gt;999,999,-999)))</f>
        <v>12.4</v>
      </c>
      <c r="M22" s="24">
        <f>IFERROR(100/'Skjema total MA'!I22*K22,0)</f>
        <v>15.775796546056526</v>
      </c>
    </row>
    <row r="23" spans="1:14" ht="15.6" x14ac:dyDescent="0.25">
      <c r="A23" s="782" t="s">
        <v>447</v>
      </c>
      <c r="B23" s="278">
        <v>414502</v>
      </c>
      <c r="C23" s="278">
        <v>464208</v>
      </c>
      <c r="D23" s="165">
        <f t="shared" si="3"/>
        <v>12</v>
      </c>
      <c r="E23" s="11">
        <f>IFERROR(100/'Skjema total MA'!C23*C23,0)</f>
        <v>41.849492963211851</v>
      </c>
      <c r="F23" s="287"/>
      <c r="G23" s="287"/>
      <c r="H23" s="165"/>
      <c r="I23" s="411"/>
      <c r="J23" s="287">
        <f t="shared" si="5"/>
        <v>414502</v>
      </c>
      <c r="K23" s="287">
        <f t="shared" si="6"/>
        <v>464208</v>
      </c>
      <c r="L23" s="165">
        <f t="shared" si="7"/>
        <v>12</v>
      </c>
      <c r="M23" s="23">
        <f>IFERROR(100/'Skjema total MA'!I23*K23,0)</f>
        <v>35.312435333452662</v>
      </c>
    </row>
    <row r="24" spans="1:14" ht="15.6" x14ac:dyDescent="0.25">
      <c r="A24" s="782" t="s">
        <v>448</v>
      </c>
      <c r="B24" s="278"/>
      <c r="C24" s="278"/>
      <c r="D24" s="165"/>
      <c r="E24" s="11"/>
      <c r="F24" s="287">
        <v>22</v>
      </c>
      <c r="G24" s="287">
        <v>0</v>
      </c>
      <c r="H24" s="165">
        <f t="shared" si="4"/>
        <v>-100</v>
      </c>
      <c r="I24" s="411">
        <f>IFERROR(100/'Skjema total MA'!F24*G24,0)</f>
        <v>0</v>
      </c>
      <c r="J24" s="287">
        <f t="shared" si="5"/>
        <v>22</v>
      </c>
      <c r="K24" s="287">
        <f t="shared" si="6"/>
        <v>0</v>
      </c>
      <c r="L24" s="165">
        <f t="shared" si="7"/>
        <v>-100</v>
      </c>
      <c r="M24" s="23">
        <f>IFERROR(100/'Skjema total MA'!I24*K24,0)</f>
        <v>0</v>
      </c>
    </row>
    <row r="25" spans="1:14" ht="15.6" x14ac:dyDescent="0.25">
      <c r="A25" s="782" t="s">
        <v>449</v>
      </c>
      <c r="B25" s="278"/>
      <c r="C25" s="278"/>
      <c r="D25" s="165"/>
      <c r="E25" s="11"/>
      <c r="F25" s="287">
        <v>30</v>
      </c>
      <c r="G25" s="287">
        <v>56</v>
      </c>
      <c r="H25" s="165">
        <f t="shared" si="4"/>
        <v>86.7</v>
      </c>
      <c r="I25" s="411">
        <f>IFERROR(100/'Skjema total MA'!F25*G25,0)</f>
        <v>0.30204730201740959</v>
      </c>
      <c r="J25" s="287">
        <f t="shared" si="5"/>
        <v>30</v>
      </c>
      <c r="K25" s="287">
        <f t="shared" si="6"/>
        <v>56</v>
      </c>
      <c r="L25" s="165">
        <f t="shared" si="7"/>
        <v>86.7</v>
      </c>
      <c r="M25" s="23">
        <f>IFERROR(100/'Skjema total MA'!I25*K25,0)</f>
        <v>0.11577153659765402</v>
      </c>
    </row>
    <row r="26" spans="1:14" ht="15.6" x14ac:dyDescent="0.25">
      <c r="A26" s="782" t="s">
        <v>450</v>
      </c>
      <c r="B26" s="278"/>
      <c r="C26" s="278"/>
      <c r="D26" s="165"/>
      <c r="E26" s="11"/>
      <c r="F26" s="287">
        <v>97461</v>
      </c>
      <c r="G26" s="287">
        <v>111129</v>
      </c>
      <c r="H26" s="165">
        <f t="shared" si="4"/>
        <v>14</v>
      </c>
      <c r="I26" s="411">
        <f>IFERROR(100/'Skjema total MA'!F26*G26,0)</f>
        <v>7.4489502498942439</v>
      </c>
      <c r="J26" s="287">
        <f t="shared" si="5"/>
        <v>97461</v>
      </c>
      <c r="K26" s="287">
        <f t="shared" si="6"/>
        <v>111129</v>
      </c>
      <c r="L26" s="165">
        <f t="shared" si="7"/>
        <v>14</v>
      </c>
      <c r="M26" s="23">
        <f>IFERROR(100/'Skjema total MA'!I26*K26,0)</f>
        <v>7.4489502498942439</v>
      </c>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414502</v>
      </c>
      <c r="C28" s="284">
        <v>464208</v>
      </c>
      <c r="D28" s="165">
        <f t="shared" si="3"/>
        <v>12</v>
      </c>
      <c r="E28" s="11">
        <f>IFERROR(100/'Skjema total MA'!C28*C28,0)</f>
        <v>21.292651234010545</v>
      </c>
      <c r="F28" s="232"/>
      <c r="G28" s="284"/>
      <c r="H28" s="165"/>
      <c r="I28" s="27"/>
      <c r="J28" s="44">
        <f t="shared" si="5"/>
        <v>414502</v>
      </c>
      <c r="K28" s="44">
        <f t="shared" si="6"/>
        <v>464208</v>
      </c>
      <c r="L28" s="252">
        <f t="shared" si="7"/>
        <v>12</v>
      </c>
      <c r="M28" s="23">
        <f>IFERROR(100/'Skjema total MA'!I28*K28,0)</f>
        <v>21.292651234010545</v>
      </c>
    </row>
    <row r="29" spans="1:14" s="3" customFormat="1" ht="15.6" x14ac:dyDescent="0.25">
      <c r="A29" s="13" t="s">
        <v>444</v>
      </c>
      <c r="B29" s="234">
        <v>2260429</v>
      </c>
      <c r="C29" s="234">
        <v>2636057</v>
      </c>
      <c r="D29" s="170">
        <f t="shared" si="3"/>
        <v>16.600000000000001</v>
      </c>
      <c r="E29" s="11">
        <f>IFERROR(100/'Skjema total MA'!C29*C29,0)</f>
        <v>5.816897780266407</v>
      </c>
      <c r="F29" s="305">
        <v>1660557</v>
      </c>
      <c r="G29" s="305">
        <v>1751131</v>
      </c>
      <c r="H29" s="170">
        <f t="shared" si="4"/>
        <v>5.5</v>
      </c>
      <c r="I29" s="11">
        <f>IFERROR(100/'Skjema total MA'!F29*G29,0)</f>
        <v>6.5498335443944304</v>
      </c>
      <c r="J29" s="234">
        <f t="shared" si="5"/>
        <v>3920986</v>
      </c>
      <c r="K29" s="234">
        <f t="shared" si="6"/>
        <v>4387188</v>
      </c>
      <c r="L29" s="422">
        <f t="shared" si="7"/>
        <v>11.9</v>
      </c>
      <c r="M29" s="24">
        <f>IFERROR(100/'Skjema total MA'!I29*K29,0)</f>
        <v>6.0888570196721163</v>
      </c>
      <c r="N29" s="147"/>
    </row>
    <row r="30" spans="1:14" s="3" customFormat="1" ht="15.6" x14ac:dyDescent="0.25">
      <c r="A30" s="782" t="s">
        <v>447</v>
      </c>
      <c r="B30" s="278">
        <v>2260429</v>
      </c>
      <c r="C30" s="278">
        <v>2636057</v>
      </c>
      <c r="D30" s="165">
        <f t="shared" si="3"/>
        <v>16.600000000000001</v>
      </c>
      <c r="E30" s="11">
        <f>IFERROR(100/'Skjema total MA'!C30*C30,0)</f>
        <v>16.514756255092209</v>
      </c>
      <c r="F30" s="287">
        <v>26981</v>
      </c>
      <c r="G30" s="287">
        <v>25424</v>
      </c>
      <c r="H30" s="165">
        <f t="shared" si="4"/>
        <v>-5.8</v>
      </c>
      <c r="I30" s="411">
        <f>IFERROR(100/'Skjema total MA'!F30*G30,0)</f>
        <v>0.61254573947720403</v>
      </c>
      <c r="J30" s="287">
        <f t="shared" si="5"/>
        <v>2287410</v>
      </c>
      <c r="K30" s="287">
        <f t="shared" si="6"/>
        <v>2661481</v>
      </c>
      <c r="L30" s="165">
        <f t="shared" si="7"/>
        <v>16.399999999999999</v>
      </c>
      <c r="M30" s="23">
        <f>IFERROR(100/'Skjema total MA'!I30*K30,0)</f>
        <v>13.233051615226257</v>
      </c>
      <c r="N30" s="147"/>
    </row>
    <row r="31" spans="1:14" s="3" customFormat="1" ht="15.6" x14ac:dyDescent="0.25">
      <c r="A31" s="782" t="s">
        <v>448</v>
      </c>
      <c r="B31" s="278"/>
      <c r="C31" s="278"/>
      <c r="D31" s="165"/>
      <c r="E31" s="11"/>
      <c r="F31" s="287">
        <v>1112296</v>
      </c>
      <c r="G31" s="287">
        <v>1040098</v>
      </c>
      <c r="H31" s="165">
        <f t="shared" si="4"/>
        <v>-6.5</v>
      </c>
      <c r="I31" s="411">
        <f>IFERROR(100/'Skjema total MA'!F31*G31,0)</f>
        <v>11.080659679118385</v>
      </c>
      <c r="J31" s="287">
        <f t="shared" si="5"/>
        <v>1112296</v>
      </c>
      <c r="K31" s="287">
        <f t="shared" si="6"/>
        <v>1040098</v>
      </c>
      <c r="L31" s="165">
        <f t="shared" si="7"/>
        <v>-6.5</v>
      </c>
      <c r="M31" s="23">
        <f>IFERROR(100/'Skjema total MA'!I31*K31,0)</f>
        <v>3.2612043202914651</v>
      </c>
      <c r="N31" s="147"/>
    </row>
    <row r="32" spans="1:14" ht="15.6" x14ac:dyDescent="0.25">
      <c r="A32" s="782" t="s">
        <v>449</v>
      </c>
      <c r="B32" s="278"/>
      <c r="C32" s="278"/>
      <c r="D32" s="165"/>
      <c r="E32" s="11"/>
      <c r="F32" s="287">
        <v>131435</v>
      </c>
      <c r="G32" s="287">
        <v>135180</v>
      </c>
      <c r="H32" s="165">
        <f t="shared" si="4"/>
        <v>2.8</v>
      </c>
      <c r="I32" s="411">
        <f>IFERROR(100/'Skjema total MA'!F32*G32,0)</f>
        <v>2.294233346261183</v>
      </c>
      <c r="J32" s="287">
        <f t="shared" si="5"/>
        <v>131435</v>
      </c>
      <c r="K32" s="287">
        <f t="shared" si="6"/>
        <v>135180</v>
      </c>
      <c r="L32" s="165">
        <f t="shared" si="7"/>
        <v>2.8</v>
      </c>
      <c r="M32" s="23">
        <f>IFERROR(100/'Skjema total MA'!I32*K32,0)</f>
        <v>1.5253695181239038</v>
      </c>
    </row>
    <row r="33" spans="1:14" ht="15.6" x14ac:dyDescent="0.25">
      <c r="A33" s="782" t="s">
        <v>450</v>
      </c>
      <c r="B33" s="278"/>
      <c r="C33" s="278"/>
      <c r="D33" s="165"/>
      <c r="E33" s="11"/>
      <c r="F33" s="287">
        <v>389845</v>
      </c>
      <c r="G33" s="287">
        <v>550429</v>
      </c>
      <c r="H33" s="165">
        <f t="shared" si="4"/>
        <v>41.2</v>
      </c>
      <c r="I33" s="411">
        <f>IFERROR(100/'Skjema total MA'!F33*G33,0)</f>
        <v>7.5337401671875419</v>
      </c>
      <c r="J33" s="287">
        <f t="shared" si="5"/>
        <v>389845</v>
      </c>
      <c r="K33" s="287">
        <f t="shared" si="6"/>
        <v>550429</v>
      </c>
      <c r="L33" s="165">
        <f t="shared" si="7"/>
        <v>41.2</v>
      </c>
      <c r="M33" s="23">
        <f>IFERROR(100/'Skjema total MA'!I33*K33,0)</f>
        <v>7.5337401671875419</v>
      </c>
    </row>
    <row r="34" spans="1:14" ht="15.6" x14ac:dyDescent="0.25">
      <c r="A34" s="13" t="s">
        <v>445</v>
      </c>
      <c r="B34" s="234"/>
      <c r="C34" s="306"/>
      <c r="D34" s="170"/>
      <c r="E34" s="11"/>
      <c r="F34" s="305">
        <v>14869</v>
      </c>
      <c r="G34" s="306">
        <v>8901</v>
      </c>
      <c r="H34" s="170">
        <f t="shared" si="4"/>
        <v>-40.1</v>
      </c>
      <c r="I34" s="11">
        <f>IFERROR(100/'Skjema total MA'!F34*G34,0)</f>
        <v>35.077687238851148</v>
      </c>
      <c r="J34" s="234">
        <f t="shared" si="5"/>
        <v>14869</v>
      </c>
      <c r="K34" s="234">
        <f t="shared" si="6"/>
        <v>8901</v>
      </c>
      <c r="L34" s="422">
        <f t="shared" si="7"/>
        <v>-40.1</v>
      </c>
      <c r="M34" s="24">
        <f>IFERROR(100/'Skjema total MA'!I34*K34,0)</f>
        <v>19.194346683572398</v>
      </c>
    </row>
    <row r="35" spans="1:14" ht="15.6" x14ac:dyDescent="0.25">
      <c r="A35" s="13" t="s">
        <v>446</v>
      </c>
      <c r="B35" s="234"/>
      <c r="C35" s="306"/>
      <c r="D35" s="170"/>
      <c r="E35" s="11"/>
      <c r="F35" s="305">
        <v>9437</v>
      </c>
      <c r="G35" s="306">
        <v>16204</v>
      </c>
      <c r="H35" s="170">
        <f t="shared" si="4"/>
        <v>71.7</v>
      </c>
      <c r="I35" s="11">
        <f>IFERROR(100/'Skjema total MA'!F35*G35,0)</f>
        <v>9.773540690461461</v>
      </c>
      <c r="J35" s="234">
        <f t="shared" si="5"/>
        <v>9437</v>
      </c>
      <c r="K35" s="234">
        <f t="shared" si="6"/>
        <v>16204</v>
      </c>
      <c r="L35" s="422">
        <f t="shared" si="7"/>
        <v>71.7</v>
      </c>
      <c r="M35" s="24">
        <f>IFERROR(100/'Skjema total MA'!I35*K35,0)</f>
        <v>19.506143542066955</v>
      </c>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c r="D47" s="421"/>
      <c r="E47" s="11"/>
      <c r="F47" s="144"/>
      <c r="G47" s="33"/>
      <c r="H47" s="158"/>
      <c r="I47" s="158"/>
      <c r="J47" s="37"/>
      <c r="K47" s="37"/>
      <c r="L47" s="158"/>
      <c r="M47" s="158"/>
      <c r="N47" s="147"/>
    </row>
    <row r="48" spans="1:14" s="3" customFormat="1" ht="15.6" x14ac:dyDescent="0.25">
      <c r="A48" s="38" t="s">
        <v>455</v>
      </c>
      <c r="B48" s="278"/>
      <c r="C48" s="279"/>
      <c r="D48" s="252"/>
      <c r="E48" s="27"/>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247836</v>
      </c>
      <c r="C66" s="348">
        <v>262086</v>
      </c>
      <c r="D66" s="345">
        <f>IF(B66=0, "    ---- ", IF(ABS(ROUND(100/B66*C66-100,1))&lt;999,ROUND(100/B66*C66-100,1),IF(ROUND(100/B66*C66-100,1)&gt;999,999,-999)))</f>
        <v>5.7</v>
      </c>
      <c r="E66" s="11">
        <f>IFERROR(100/'Skjema total MA'!C66*C66,0)</f>
        <v>3.4479458537823024</v>
      </c>
      <c r="F66" s="347">
        <v>3008996</v>
      </c>
      <c r="G66" s="347">
        <v>3440588</v>
      </c>
      <c r="H66" s="345">
        <f>IF(F66=0, "    ---- ", IF(ABS(ROUND(100/F66*G66-100,1))&lt;999,ROUND(100/F66*G66-100,1),IF(ROUND(100/F66*G66-100,1)&gt;999,999,-999)))</f>
        <v>14.3</v>
      </c>
      <c r="I66" s="11">
        <f>IFERROR(100/'Skjema total MA'!F66*G66,0)</f>
        <v>9.0119039820433571</v>
      </c>
      <c r="J66" s="306">
        <f t="shared" ref="J66:K68" si="8">SUM(B66,F66)</f>
        <v>3256832</v>
      </c>
      <c r="K66" s="313">
        <f t="shared" si="8"/>
        <v>3702674</v>
      </c>
      <c r="L66" s="422">
        <f>IF(J66=0, "    ---- ", IF(ABS(ROUND(100/J66*K66-100,1))&lt;999,ROUND(100/J66*K66-100,1),IF(ROUND(100/J66*K66-100,1)&gt;999,999,-999)))</f>
        <v>13.7</v>
      </c>
      <c r="M66" s="11">
        <f>IFERROR(100/'Skjema total MA'!I66*K66,0)</f>
        <v>8.0880647876828196</v>
      </c>
    </row>
    <row r="67" spans="1:14" x14ac:dyDescent="0.25">
      <c r="A67" s="413" t="s">
        <v>9</v>
      </c>
      <c r="B67" s="44">
        <v>247836</v>
      </c>
      <c r="C67" s="144">
        <v>262086</v>
      </c>
      <c r="D67" s="165">
        <f>IF(B67=0, "    ---- ", IF(ABS(ROUND(100/B67*C67-100,1))&lt;999,ROUND(100/B67*C67-100,1),IF(ROUND(100/B67*C67-100,1)&gt;999,999,-999)))</f>
        <v>5.7</v>
      </c>
      <c r="E67" s="27">
        <f>IFERROR(100/'Skjema total MA'!C67*C67,0)</f>
        <v>5.0645533268388672</v>
      </c>
      <c r="F67" s="232"/>
      <c r="G67" s="144"/>
      <c r="H67" s="165"/>
      <c r="I67" s="27"/>
      <c r="J67" s="284">
        <f t="shared" si="8"/>
        <v>247836</v>
      </c>
      <c r="K67" s="44">
        <f t="shared" si="8"/>
        <v>262086</v>
      </c>
      <c r="L67" s="252">
        <f>IF(J67=0, "    ---- ", IF(ABS(ROUND(100/J67*K67-100,1))&lt;999,ROUND(100/J67*K67-100,1),IF(ROUND(100/J67*K67-100,1)&gt;999,999,-999)))</f>
        <v>5.7</v>
      </c>
      <c r="M67" s="27">
        <f>IFERROR(100/'Skjema total MA'!I67*K67,0)</f>
        <v>5.0645533268388672</v>
      </c>
    </row>
    <row r="68" spans="1:14" x14ac:dyDescent="0.25">
      <c r="A68" s="21" t="s">
        <v>10</v>
      </c>
      <c r="B68" s="289"/>
      <c r="C68" s="290"/>
      <c r="D68" s="165"/>
      <c r="E68" s="27"/>
      <c r="F68" s="289">
        <v>3008996</v>
      </c>
      <c r="G68" s="289">
        <v>3440588</v>
      </c>
      <c r="H68" s="165">
        <f>IF(F68=0, "    ---- ", IF(ABS(ROUND(100/F68*G68-100,1))&lt;999,ROUND(100/F68*G68-100,1),IF(ROUND(100/F68*G68-100,1)&gt;999,999,-999)))</f>
        <v>14.3</v>
      </c>
      <c r="I68" s="27">
        <f>IFERROR(100/'Skjema total MA'!F68*G68,0)</f>
        <v>9.3845485004277815</v>
      </c>
      <c r="J68" s="284">
        <f t="shared" si="8"/>
        <v>3008996</v>
      </c>
      <c r="K68" s="44">
        <f t="shared" si="8"/>
        <v>3440588</v>
      </c>
      <c r="L68" s="252">
        <f>IF(J68=0, "    ---- ", IF(ABS(ROUND(100/J68*K68-100,1))&lt;999,ROUND(100/J68*K68-100,1),IF(ROUND(100/J68*K68-100,1)&gt;999,999,-999)))</f>
        <v>14.3</v>
      </c>
      <c r="M68" s="27">
        <f>IFERROR(100/'Skjema total MA'!I68*K68,0)</f>
        <v>9.3728649288566732</v>
      </c>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v>3008996</v>
      </c>
      <c r="G72" s="278">
        <v>3440588</v>
      </c>
      <c r="H72" s="165">
        <f>IF(F72=0, "    ---- ", IF(ABS(ROUND(100/F72*G72-100,1))&lt;999,ROUND(100/F72*G72-100,1),IF(ROUND(100/F72*G72-100,1)&gt;999,999,-999)))</f>
        <v>14.3</v>
      </c>
      <c r="I72" s="411">
        <f>IFERROR(100/'Skjema total MA'!F72*G72,0)</f>
        <v>9.3850975945597472</v>
      </c>
      <c r="J72" s="284">
        <f t="shared" ref="J72" si="9">SUM(B72,F72)</f>
        <v>3008996</v>
      </c>
      <c r="K72" s="44">
        <f t="shared" ref="K72" si="10">SUM(C72,G72)</f>
        <v>3440588</v>
      </c>
      <c r="L72" s="252">
        <f>IF(J72=0, "    ---- ", IF(ABS(ROUND(100/J72*K72-100,1))&lt;999,ROUND(100/J72*K72-100,1),IF(ROUND(100/J72*K72-100,1)&gt;999,999,-999)))</f>
        <v>14.3</v>
      </c>
      <c r="M72" s="23">
        <f>IFERROR(100/'Skjema total MA'!I72*K72,0)</f>
        <v>9.3753387660932699</v>
      </c>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v>3008996</v>
      </c>
      <c r="G74" s="278">
        <v>3440588</v>
      </c>
      <c r="H74" s="165">
        <f>IF(F74=0, "    ---- ", IF(ABS(ROUND(100/F74*G74-100,1))&lt;999,ROUND(100/F74*G74-100,1),IF(ROUND(100/F74*G74-100,1)&gt;999,999,-999)))</f>
        <v>14.3</v>
      </c>
      <c r="I74" s="411">
        <f>IFERROR(100/'Skjema total MA'!F74*G74,0)</f>
        <v>9.3850996425835387</v>
      </c>
      <c r="J74" s="284">
        <f t="shared" ref="J74" si="11">SUM(B74,F74)</f>
        <v>3008996</v>
      </c>
      <c r="K74" s="44">
        <f t="shared" ref="K74" si="12">SUM(C74,G74)</f>
        <v>3440588</v>
      </c>
      <c r="L74" s="252">
        <f>IF(J74=0, "    ---- ", IF(ABS(ROUND(100/J74*K74-100,1))&lt;999,ROUND(100/J74*K74-100,1),IF(ROUND(100/J74*K74-100,1)&gt;999,999,-999)))</f>
        <v>14.3</v>
      </c>
      <c r="M74" s="23">
        <f>IFERROR(100/'Skjema total MA'!I74*K74,0)</f>
        <v>9.3850996425835387</v>
      </c>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v>247186</v>
      </c>
      <c r="C77" s="232">
        <v>261584</v>
      </c>
      <c r="D77" s="165">
        <f>IF(B77=0, "    ---- ", IF(ABS(ROUND(100/B77*C77-100,1))&lt;999,ROUND(100/B77*C77-100,1),IF(ROUND(100/B77*C77-100,1)&gt;999,999,-999)))</f>
        <v>5.8</v>
      </c>
      <c r="E77" s="27">
        <f>IFERROR(100/'Skjema total MA'!C77*C77,0)</f>
        <v>5.1051128949094577</v>
      </c>
      <c r="F77" s="232">
        <v>3008996</v>
      </c>
      <c r="G77" s="144">
        <v>3440588</v>
      </c>
      <c r="H77" s="165">
        <f>IF(F77=0, "    ---- ", IF(ABS(ROUND(100/F77*G77-100,1))&lt;999,ROUND(100/F77*G77-100,1),IF(ROUND(100/F77*G77-100,1)&gt;999,999,-999)))</f>
        <v>14.3</v>
      </c>
      <c r="I77" s="27">
        <f>IFERROR(100/'Skjema total MA'!F77*G77,0)</f>
        <v>9.3876359636124445</v>
      </c>
      <c r="J77" s="284">
        <f t="shared" ref="J77:K79" si="13">SUM(B77,F77)</f>
        <v>3256182</v>
      </c>
      <c r="K77" s="44">
        <f t="shared" si="13"/>
        <v>3702172</v>
      </c>
      <c r="L77" s="252">
        <f>IF(J77=0, "    ---- ", IF(ABS(ROUND(100/J77*K77-100,1))&lt;999,ROUND(100/J77*K77-100,1),IF(ROUND(100/J77*K77-100,1)&gt;999,999,-999)))</f>
        <v>13.7</v>
      </c>
      <c r="M77" s="27">
        <f>IFERROR(100/'Skjema total MA'!I77*K77,0)</f>
        <v>8.8623476629715476</v>
      </c>
    </row>
    <row r="78" spans="1:14" x14ac:dyDescent="0.25">
      <c r="A78" s="21" t="s">
        <v>9</v>
      </c>
      <c r="B78" s="232">
        <v>247186</v>
      </c>
      <c r="C78" s="144">
        <v>261584</v>
      </c>
      <c r="D78" s="165">
        <f>IF(B78=0, "    ---- ", IF(ABS(ROUND(100/B78*C78-100,1))&lt;999,ROUND(100/B78*C78-100,1),IF(ROUND(100/B78*C78-100,1)&gt;999,999,-999)))</f>
        <v>5.8</v>
      </c>
      <c r="E78" s="27">
        <f>IFERROR(100/'Skjema total MA'!C78*C78,0)</f>
        <v>5.1488732924380445</v>
      </c>
      <c r="F78" s="232"/>
      <c r="G78" s="144"/>
      <c r="H78" s="165"/>
      <c r="I78" s="27"/>
      <c r="J78" s="284">
        <f t="shared" si="13"/>
        <v>247186</v>
      </c>
      <c r="K78" s="44">
        <f t="shared" si="13"/>
        <v>261584</v>
      </c>
      <c r="L78" s="252">
        <f>IF(J78=0, "    ---- ", IF(ABS(ROUND(100/J78*K78-100,1))&lt;999,ROUND(100/J78*K78-100,1),IF(ROUND(100/J78*K78-100,1)&gt;999,999,-999)))</f>
        <v>5.8</v>
      </c>
      <c r="M78" s="27">
        <f>IFERROR(100/'Skjema total MA'!I78*K78,0)</f>
        <v>5.1488732924380445</v>
      </c>
    </row>
    <row r="79" spans="1:14" x14ac:dyDescent="0.25">
      <c r="A79" s="38" t="s">
        <v>495</v>
      </c>
      <c r="B79" s="289"/>
      <c r="C79" s="290"/>
      <c r="D79" s="165"/>
      <c r="E79" s="27"/>
      <c r="F79" s="289">
        <v>3008996</v>
      </c>
      <c r="G79" s="290">
        <v>3440588</v>
      </c>
      <c r="H79" s="165">
        <f>IF(F79=0, "    ---- ", IF(ABS(ROUND(100/F79*G79-100,1))&lt;999,ROUND(100/F79*G79-100,1),IF(ROUND(100/F79*G79-100,1)&gt;999,999,-999)))</f>
        <v>14.3</v>
      </c>
      <c r="I79" s="27">
        <f>IFERROR(100/'Skjema total MA'!F79*G79,0)</f>
        <v>9.3876359636124445</v>
      </c>
      <c r="J79" s="284">
        <f t="shared" si="13"/>
        <v>3008996</v>
      </c>
      <c r="K79" s="44">
        <f t="shared" si="13"/>
        <v>3440588</v>
      </c>
      <c r="L79" s="252">
        <f>IF(J79=0, "    ---- ", IF(ABS(ROUND(100/J79*K79-100,1))&lt;999,ROUND(100/J79*K79-100,1),IF(ROUND(100/J79*K79-100,1)&gt;999,999,-999)))</f>
        <v>14.3</v>
      </c>
      <c r="M79" s="27">
        <f>IFERROR(100/'Skjema total MA'!I79*K79,0)</f>
        <v>9.3764945843847372</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v>3008996</v>
      </c>
      <c r="G83" s="278">
        <v>3440588</v>
      </c>
      <c r="H83" s="165">
        <f>IF(F83=0, "    ---- ", IF(ABS(ROUND(100/F83*G83-100,1))&lt;999,ROUND(100/F83*G83-100,1),IF(ROUND(100/F83*G83-100,1)&gt;999,999,-999)))</f>
        <v>14.3</v>
      </c>
      <c r="I83" s="411">
        <f>IFERROR(100/'Skjema total MA'!F83*G83,0)</f>
        <v>9.3876359636124445</v>
      </c>
      <c r="J83" s="284">
        <f t="shared" ref="J83" si="14">SUM(B83,F83)</f>
        <v>3008996</v>
      </c>
      <c r="K83" s="44">
        <f t="shared" ref="K83" si="15">SUM(C83,G83)</f>
        <v>3440588</v>
      </c>
      <c r="L83" s="252">
        <f>IF(J83=0, "    ---- ", IF(ABS(ROUND(100/J83*K83-100,1))&lt;999,ROUND(100/J83*K83-100,1),IF(ROUND(100/J83*K83-100,1)&gt;999,999,-999)))</f>
        <v>14.3</v>
      </c>
      <c r="M83" s="23">
        <f>IFERROR(100/'Skjema total MA'!I83*K83,0)</f>
        <v>9.3764945843847372</v>
      </c>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v>3008996</v>
      </c>
      <c r="G85" s="278">
        <v>3440588</v>
      </c>
      <c r="H85" s="165">
        <f>IF(F85=0, "    ---- ", IF(ABS(ROUND(100/F85*G85-100,1))&lt;999,ROUND(100/F85*G85-100,1),IF(ROUND(100/F85*G85-100,1)&gt;999,999,-999)))</f>
        <v>14.3</v>
      </c>
      <c r="I85" s="411">
        <f>IFERROR(100/'Skjema total MA'!F85*G85,0)</f>
        <v>9.3876380127442367</v>
      </c>
      <c r="J85" s="284">
        <f t="shared" ref="J85" si="16">SUM(B85,F85)</f>
        <v>3008996</v>
      </c>
      <c r="K85" s="44">
        <f t="shared" ref="K85" si="17">SUM(C85,G85)</f>
        <v>3440588</v>
      </c>
      <c r="L85" s="252">
        <f>IF(J85=0, "    ---- ", IF(ABS(ROUND(100/J85*K85-100,1))&lt;999,ROUND(100/J85*K85-100,1),IF(ROUND(100/J85*K85-100,1)&gt;999,999,-999)))</f>
        <v>14.3</v>
      </c>
      <c r="M85" s="23">
        <f>IFERROR(100/'Skjema total MA'!I85*K85,0)</f>
        <v>9.3876380127442367</v>
      </c>
    </row>
    <row r="86" spans="1:13" ht="15.6" x14ac:dyDescent="0.25">
      <c r="A86" s="21" t="s">
        <v>462</v>
      </c>
      <c r="B86" s="232">
        <v>650</v>
      </c>
      <c r="C86" s="144">
        <v>502</v>
      </c>
      <c r="D86" s="165">
        <f>IF(B86=0, "    ---- ", IF(ABS(ROUND(100/B86*C86-100,1))&lt;999,ROUND(100/B86*C86-100,1),IF(ROUND(100/B86*C86-100,1)&gt;999,999,-999)))</f>
        <v>-22.8</v>
      </c>
      <c r="E86" s="27">
        <f>IFERROR(100/'Skjema total MA'!C86*C86,0)</f>
        <v>0.51941233233457851</v>
      </c>
      <c r="F86" s="232"/>
      <c r="G86" s="144"/>
      <c r="H86" s="165"/>
      <c r="I86" s="27"/>
      <c r="J86" s="284">
        <f t="shared" ref="J86:K89" si="18">SUM(B86,F86)</f>
        <v>650</v>
      </c>
      <c r="K86" s="44">
        <f t="shared" si="18"/>
        <v>502</v>
      </c>
      <c r="L86" s="252">
        <f>IF(J86=0, "    ---- ", IF(ABS(ROUND(100/J86*K86-100,1))&lt;999,ROUND(100/J86*K86-100,1),IF(ROUND(100/J86*K86-100,1)&gt;999,999,-999)))</f>
        <v>-22.8</v>
      </c>
      <c r="M86" s="27">
        <f>IFERROR(100/'Skjema total MA'!I86*K86,0)</f>
        <v>0.46179860285299923</v>
      </c>
    </row>
    <row r="87" spans="1:13" ht="15.6" x14ac:dyDescent="0.25">
      <c r="A87" s="13" t="s">
        <v>444</v>
      </c>
      <c r="B87" s="348">
        <v>5402096</v>
      </c>
      <c r="C87" s="348">
        <v>5594116</v>
      </c>
      <c r="D87" s="170">
        <f>IF(B87=0, "    ---- ", IF(ABS(ROUND(100/B87*C87-100,1))&lt;999,ROUND(100/B87*C87-100,1),IF(ROUND(100/B87*C87-100,1)&gt;999,999,-999)))</f>
        <v>3.6</v>
      </c>
      <c r="E87" s="11">
        <f>IFERROR(100/'Skjema total MA'!C87*C87,0)</f>
        <v>1.3831843316592494</v>
      </c>
      <c r="F87" s="347">
        <v>32202793</v>
      </c>
      <c r="G87" s="347">
        <v>40399615</v>
      </c>
      <c r="H87" s="170">
        <f>IF(F87=0, "    ---- ", IF(ABS(ROUND(100/F87*G87-100,1))&lt;999,ROUND(100/F87*G87-100,1),IF(ROUND(100/F87*G87-100,1)&gt;999,999,-999)))</f>
        <v>25.5</v>
      </c>
      <c r="I87" s="11">
        <f>IFERROR(100/'Skjema total MA'!F87*G87,0)</f>
        <v>8.9800382757587585</v>
      </c>
      <c r="J87" s="306">
        <f t="shared" si="18"/>
        <v>37604889</v>
      </c>
      <c r="K87" s="234">
        <f t="shared" si="18"/>
        <v>45993731</v>
      </c>
      <c r="L87" s="422">
        <f>IF(J87=0, "    ---- ", IF(ABS(ROUND(100/J87*K87-100,1))&lt;999,ROUND(100/J87*K87-100,1),IF(ROUND(100/J87*K87-100,1)&gt;999,999,-999)))</f>
        <v>22.3</v>
      </c>
      <c r="M87" s="11">
        <f>IFERROR(100/'Skjema total MA'!I87*K87,0)</f>
        <v>5.3836659478955831</v>
      </c>
    </row>
    <row r="88" spans="1:13" x14ac:dyDescent="0.25">
      <c r="A88" s="21" t="s">
        <v>9</v>
      </c>
      <c r="B88" s="232">
        <v>5402096</v>
      </c>
      <c r="C88" s="144">
        <v>5594116</v>
      </c>
      <c r="D88" s="165">
        <f>IF(B88=0, "    ---- ", IF(ABS(ROUND(100/B88*C88-100,1))&lt;999,ROUND(100/B88*C88-100,1),IF(ROUND(100/B88*C88-100,1)&gt;999,999,-999)))</f>
        <v>3.6</v>
      </c>
      <c r="E88" s="27">
        <f>IFERROR(100/'Skjema total MA'!C88*C88,0)</f>
        <v>1.432434098391691</v>
      </c>
      <c r="F88" s="232"/>
      <c r="G88" s="144"/>
      <c r="H88" s="165"/>
      <c r="I88" s="27"/>
      <c r="J88" s="284">
        <f t="shared" si="18"/>
        <v>5402096</v>
      </c>
      <c r="K88" s="44">
        <f t="shared" si="18"/>
        <v>5594116</v>
      </c>
      <c r="L88" s="252">
        <f>IF(J88=0, "    ---- ", IF(ABS(ROUND(100/J88*K88-100,1))&lt;999,ROUND(100/J88*K88-100,1),IF(ROUND(100/J88*K88-100,1)&gt;999,999,-999)))</f>
        <v>3.6</v>
      </c>
      <c r="M88" s="27">
        <f>IFERROR(100/'Skjema total MA'!I88*K88,0)</f>
        <v>1.432434098391691</v>
      </c>
    </row>
    <row r="89" spans="1:13" x14ac:dyDescent="0.25">
      <c r="A89" s="21" t="s">
        <v>10</v>
      </c>
      <c r="B89" s="232"/>
      <c r="C89" s="144"/>
      <c r="D89" s="165"/>
      <c r="E89" s="27"/>
      <c r="F89" s="232">
        <v>32202793</v>
      </c>
      <c r="G89" s="144">
        <v>40399615</v>
      </c>
      <c r="H89" s="165">
        <f>IF(F89=0, "    ---- ", IF(ABS(ROUND(100/F89*G89-100,1))&lt;999,ROUND(100/F89*G89-100,1),IF(ROUND(100/F89*G89-100,1)&gt;999,999,-999)))</f>
        <v>25.5</v>
      </c>
      <c r="I89" s="27">
        <f>IFERROR(100/'Skjema total MA'!F89*G89,0)</f>
        <v>9.0778563605782061</v>
      </c>
      <c r="J89" s="284">
        <f t="shared" si="18"/>
        <v>32202793</v>
      </c>
      <c r="K89" s="44">
        <f t="shared" si="18"/>
        <v>40399615</v>
      </c>
      <c r="L89" s="252">
        <f>IF(J89=0, "    ---- ", IF(ABS(ROUND(100/J89*K89-100,1))&lt;999,ROUND(100/J89*K89-100,1),IF(ROUND(100/J89*K89-100,1)&gt;999,999,-999)))</f>
        <v>25.5</v>
      </c>
      <c r="M89" s="27">
        <f>IFERROR(100/'Skjema total MA'!I89*K89,0)</f>
        <v>9.0136812741094143</v>
      </c>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v>32202793</v>
      </c>
      <c r="G93" s="278">
        <v>40399615</v>
      </c>
      <c r="H93" s="165">
        <f>IF(F93=0, "    ---- ", IF(ABS(ROUND(100/F93*G93-100,1))&lt;999,ROUND(100/F93*G93-100,1),IF(ROUND(100/F93*G93-100,1)&gt;999,999,-999)))</f>
        <v>25.5</v>
      </c>
      <c r="I93" s="411">
        <f>IFERROR(100/'Skjema total MA'!F93*G93,0)</f>
        <v>9.0802081957268435</v>
      </c>
      <c r="J93" s="284">
        <f t="shared" ref="J93" si="19">SUM(B93,F93)</f>
        <v>32202793</v>
      </c>
      <c r="K93" s="44">
        <f t="shared" ref="K93" si="20">SUM(C93,G93)</f>
        <v>40399615</v>
      </c>
      <c r="L93" s="252">
        <f>IF(J93=0, "    ---- ", IF(ABS(ROUND(100/J93*K93-100,1))&lt;999,ROUND(100/J93*K93-100,1),IF(ROUND(100/J93*K93-100,1)&gt;999,999,-999)))</f>
        <v>25.5</v>
      </c>
      <c r="M93" s="23">
        <f>IFERROR(100/'Skjema total MA'!I93*K93,0)</f>
        <v>9.0159999703752121</v>
      </c>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v>32202793</v>
      </c>
      <c r="G95" s="278">
        <v>40399615</v>
      </c>
      <c r="H95" s="165">
        <f>IF(F95=0, "    ---- ", IF(ABS(ROUND(100/F95*G95-100,1))&lt;999,ROUND(100/F95*G95-100,1),IF(ROUND(100/F95*G95-100,1)&gt;999,999,-999)))</f>
        <v>25.5</v>
      </c>
      <c r="I95" s="411">
        <f>IFERROR(100/'Skjema total MA'!F95*G95,0)</f>
        <v>9.0957600212483811</v>
      </c>
      <c r="J95" s="284">
        <f t="shared" ref="J95" si="21">SUM(B95,F95)</f>
        <v>32202793</v>
      </c>
      <c r="K95" s="44">
        <f t="shared" ref="K95" si="22">SUM(C95,G95)</f>
        <v>40399615</v>
      </c>
      <c r="L95" s="252">
        <f>IF(J95=0, "    ---- ", IF(ABS(ROUND(100/J95*K95-100,1))&lt;999,ROUND(100/J95*K95-100,1),IF(ROUND(100/J95*K95-100,1)&gt;999,999,-999)))</f>
        <v>25.5</v>
      </c>
      <c r="M95" s="23">
        <f>IFERROR(100/'Skjema total MA'!I95*K95,0)</f>
        <v>9.0957600212483811</v>
      </c>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v>5400577</v>
      </c>
      <c r="C98" s="232">
        <v>5592181</v>
      </c>
      <c r="D98" s="165">
        <f>IF(B98=0, "    ---- ", IF(ABS(ROUND(100/B98*C98-100,1))&lt;999,ROUND(100/B98*C98-100,1),IF(ROUND(100/B98*C98-100,1)&gt;999,999,-999)))</f>
        <v>3.5</v>
      </c>
      <c r="E98" s="27">
        <f>IFERROR(100/'Skjema total MA'!C98*C98,0)</f>
        <v>1.4368976405804932</v>
      </c>
      <c r="F98" s="289">
        <v>32202793</v>
      </c>
      <c r="G98" s="289">
        <v>40399615</v>
      </c>
      <c r="H98" s="165">
        <f>IF(F98=0, "    ---- ", IF(ABS(ROUND(100/F98*G98-100,1))&lt;999,ROUND(100/F98*G98-100,1),IF(ROUND(100/F98*G98-100,1)&gt;999,999,-999)))</f>
        <v>25.5</v>
      </c>
      <c r="I98" s="27">
        <f>IFERROR(100/'Skjema total MA'!F98*G98,0)</f>
        <v>9.0975187402322266</v>
      </c>
      <c r="J98" s="284">
        <f t="shared" ref="J98:K100" si="23">SUM(B98,F98)</f>
        <v>37603370</v>
      </c>
      <c r="K98" s="44">
        <f t="shared" si="23"/>
        <v>45991796</v>
      </c>
      <c r="L98" s="252">
        <f>IF(J98=0, "    ---- ", IF(ABS(ROUND(100/J98*K98-100,1))&lt;999,ROUND(100/J98*K98-100,1),IF(ROUND(100/J98*K98-100,1)&gt;999,999,-999)))</f>
        <v>22.3</v>
      </c>
      <c r="M98" s="27">
        <f>IFERROR(100/'Skjema total MA'!I98*K98,0)</f>
        <v>5.5195193551755128</v>
      </c>
    </row>
    <row r="99" spans="1:13" x14ac:dyDescent="0.25">
      <c r="A99" s="21" t="s">
        <v>9</v>
      </c>
      <c r="B99" s="289">
        <v>5400577</v>
      </c>
      <c r="C99" s="290">
        <v>5592181</v>
      </c>
      <c r="D99" s="165">
        <f>IF(B99=0, "    ---- ", IF(ABS(ROUND(100/B99*C99-100,1))&lt;999,ROUND(100/B99*C99-100,1),IF(ROUND(100/B99*C99-100,1)&gt;999,999,-999)))</f>
        <v>3.5</v>
      </c>
      <c r="E99" s="27">
        <f>IFERROR(100/'Skjema total MA'!C99*C99,0)</f>
        <v>1.4486921232315342</v>
      </c>
      <c r="F99" s="232"/>
      <c r="G99" s="144"/>
      <c r="H99" s="165"/>
      <c r="I99" s="27"/>
      <c r="J99" s="284">
        <f t="shared" si="23"/>
        <v>5400577</v>
      </c>
      <c r="K99" s="44">
        <f t="shared" si="23"/>
        <v>5592181</v>
      </c>
      <c r="L99" s="252">
        <f>IF(J99=0, "    ---- ", IF(ABS(ROUND(100/J99*K99-100,1))&lt;999,ROUND(100/J99*K99-100,1),IF(ROUND(100/J99*K99-100,1)&gt;999,999,-999)))</f>
        <v>3.5</v>
      </c>
      <c r="M99" s="27">
        <f>IFERROR(100/'Skjema total MA'!I99*K99,0)</f>
        <v>1.4486921232315342</v>
      </c>
    </row>
    <row r="100" spans="1:13" x14ac:dyDescent="0.25">
      <c r="A100" s="38" t="s">
        <v>495</v>
      </c>
      <c r="B100" s="289"/>
      <c r="C100" s="290"/>
      <c r="D100" s="165"/>
      <c r="E100" s="27"/>
      <c r="F100" s="232">
        <v>32202793</v>
      </c>
      <c r="G100" s="232">
        <v>40399615</v>
      </c>
      <c r="H100" s="165">
        <f>IF(F100=0, "    ---- ", IF(ABS(ROUND(100/F100*G100-100,1))&lt;999,ROUND(100/F100*G100-100,1),IF(ROUND(100/F100*G100-100,1)&gt;999,999,-999)))</f>
        <v>25.5</v>
      </c>
      <c r="I100" s="27">
        <f>IFERROR(100/'Skjema total MA'!F100*G100,0)</f>
        <v>9.0975187402322266</v>
      </c>
      <c r="J100" s="284">
        <f t="shared" si="23"/>
        <v>32202793</v>
      </c>
      <c r="K100" s="44">
        <f t="shared" si="23"/>
        <v>40399615</v>
      </c>
      <c r="L100" s="252">
        <f>IF(J100=0, "    ---- ", IF(ABS(ROUND(100/J100*K100-100,1))&lt;999,ROUND(100/J100*K100-100,1),IF(ROUND(100/J100*K100-100,1)&gt;999,999,-999)))</f>
        <v>25.5</v>
      </c>
      <c r="M100" s="27">
        <f>IFERROR(100/'Skjema total MA'!I100*K100,0)</f>
        <v>9.0330663367568551</v>
      </c>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v>32202793</v>
      </c>
      <c r="G104" s="278">
        <v>40399615</v>
      </c>
      <c r="H104" s="165">
        <f>IF(F104=0, "    ---- ", IF(ABS(ROUND(100/F104*G104-100,1))&lt;999,ROUND(100/F104*G104-100,1),IF(ROUND(100/F104*G104-100,1)&gt;999,999,-999)))</f>
        <v>25.5</v>
      </c>
      <c r="I104" s="411">
        <f>IFERROR(100/'Skjema total MA'!F104*G104,0)</f>
        <v>9.0975187402322266</v>
      </c>
      <c r="J104" s="284">
        <f t="shared" ref="J104" si="24">SUM(B104,F104)</f>
        <v>32202793</v>
      </c>
      <c r="K104" s="44">
        <f t="shared" ref="K104" si="25">SUM(C104,G104)</f>
        <v>40399615</v>
      </c>
      <c r="L104" s="252">
        <f>IF(J104=0, "    ---- ", IF(ABS(ROUND(100/J104*K104-100,1))&lt;999,ROUND(100/J104*K104-100,1),IF(ROUND(100/J104*K104-100,1)&gt;999,999,-999)))</f>
        <v>25.5</v>
      </c>
      <c r="M104" s="23">
        <f>IFERROR(100/'Skjema total MA'!I104*K104,0)</f>
        <v>9.0330663367568551</v>
      </c>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v>32202793</v>
      </c>
      <c r="G106" s="278">
        <v>40399615</v>
      </c>
      <c r="H106" s="165">
        <f>IF(F106=0, "    ---- ", IF(ABS(ROUND(100/F106*G106-100,1))&lt;999,ROUND(100/F106*G106-100,1),IF(ROUND(100/F106*G106-100,1)&gt;999,999,-999)))</f>
        <v>25.5</v>
      </c>
      <c r="I106" s="411">
        <f>IFERROR(100/'Skjema total MA'!F106*G106,0)</f>
        <v>9.0975206305259935</v>
      </c>
      <c r="J106" s="284">
        <f t="shared" ref="J106" si="26">SUM(B106,F106)</f>
        <v>32202793</v>
      </c>
      <c r="K106" s="44">
        <f t="shared" ref="K106" si="27">SUM(C106,G106)</f>
        <v>40399615</v>
      </c>
      <c r="L106" s="252">
        <f>IF(J106=0, "    ---- ", IF(ABS(ROUND(100/J106*K106-100,1))&lt;999,ROUND(100/J106*K106-100,1),IF(ROUND(100/J106*K106-100,1)&gt;999,999,-999)))</f>
        <v>25.5</v>
      </c>
      <c r="M106" s="23">
        <f>IFERROR(100/'Skjema total MA'!I106*K106,0)</f>
        <v>9.0975206305259935</v>
      </c>
    </row>
    <row r="107" spans="1:13" ht="15.6" x14ac:dyDescent="0.25">
      <c r="A107" s="21" t="s">
        <v>462</v>
      </c>
      <c r="B107" s="232">
        <v>1519</v>
      </c>
      <c r="C107" s="144">
        <v>1935</v>
      </c>
      <c r="D107" s="165">
        <f>IF(B107=0, "    ---- ", IF(ABS(ROUND(100/B107*C107-100,1))&lt;999,ROUND(100/B107*C107-100,1),IF(ROUND(100/B107*C107-100,1)&gt;999,999,-999)))</f>
        <v>27.4</v>
      </c>
      <c r="E107" s="27">
        <f>IFERROR(100/'Skjema total MA'!C107*C107,0)</f>
        <v>4.2844460099847062E-2</v>
      </c>
      <c r="F107" s="232"/>
      <c r="G107" s="144"/>
      <c r="H107" s="165"/>
      <c r="I107" s="27"/>
      <c r="J107" s="284">
        <f t="shared" ref="J107:K111" si="28">SUM(B107,F107)</f>
        <v>1519</v>
      </c>
      <c r="K107" s="44">
        <f t="shared" si="28"/>
        <v>1935</v>
      </c>
      <c r="L107" s="252">
        <f>IF(J107=0, "    ---- ", IF(ABS(ROUND(100/J107*K107-100,1))&lt;999,ROUND(100/J107*K107-100,1),IF(ROUND(100/J107*K107-100,1)&gt;999,999,-999)))</f>
        <v>27.4</v>
      </c>
      <c r="M107" s="27">
        <f>IFERROR(100/'Skjema total MA'!I107*K107,0)</f>
        <v>3.5321912365449723E-2</v>
      </c>
    </row>
    <row r="108" spans="1:13" ht="15.6" x14ac:dyDescent="0.25">
      <c r="A108" s="21" t="s">
        <v>463</v>
      </c>
      <c r="B108" s="232">
        <v>4139530</v>
      </c>
      <c r="C108" s="232">
        <v>4191200</v>
      </c>
      <c r="D108" s="165">
        <f>IF(B108=0, "    ---- ", IF(ABS(ROUND(100/B108*C108-100,1))&lt;999,ROUND(100/B108*C108-100,1),IF(ROUND(100/B108*C108-100,1)&gt;999,999,-999)))</f>
        <v>1.2</v>
      </c>
      <c r="E108" s="27">
        <f>IFERROR(100/'Skjema total MA'!C108*C108,0)</f>
        <v>1.2459423609494127</v>
      </c>
      <c r="F108" s="232"/>
      <c r="G108" s="232"/>
      <c r="H108" s="165"/>
      <c r="I108" s="27"/>
      <c r="J108" s="284">
        <f t="shared" si="28"/>
        <v>4139530</v>
      </c>
      <c r="K108" s="44">
        <f t="shared" si="28"/>
        <v>4191200</v>
      </c>
      <c r="L108" s="252">
        <f>IF(J108=0, "    ---- ", IF(ABS(ROUND(100/J108*K108-100,1))&lt;999,ROUND(100/J108*K108-100,1),IF(ROUND(100/J108*K108-100,1)&gt;999,999,-999)))</f>
        <v>1.2</v>
      </c>
      <c r="M108" s="27">
        <f>IFERROR(100/'Skjema total MA'!I108*K108,0)</f>
        <v>1.172553154235946</v>
      </c>
    </row>
    <row r="109" spans="1:13" ht="15.75" customHeight="1" x14ac:dyDescent="0.25">
      <c r="A109" s="21" t="s">
        <v>510</v>
      </c>
      <c r="B109" s="232"/>
      <c r="C109" s="232"/>
      <c r="D109" s="165"/>
      <c r="E109" s="27"/>
      <c r="F109" s="232">
        <v>12008594</v>
      </c>
      <c r="G109" s="232">
        <v>16553447</v>
      </c>
      <c r="H109" s="165">
        <f>IF(F109=0, "    ---- ", IF(ABS(ROUND(100/F109*G109-100,1))&lt;999,ROUND(100/F109*G109-100,1),IF(ROUND(100/F109*G109-100,1)&gt;999,999,-999)))</f>
        <v>37.799999999999997</v>
      </c>
      <c r="I109" s="27">
        <f>IFERROR(100/'Skjema total MA'!F109*G109,0)</f>
        <v>10.660033804564105</v>
      </c>
      <c r="J109" s="284">
        <f t="shared" si="28"/>
        <v>12008594</v>
      </c>
      <c r="K109" s="44">
        <f t="shared" si="28"/>
        <v>16553447</v>
      </c>
      <c r="L109" s="252">
        <f>IF(J109=0, "    ---- ", IF(ABS(ROUND(100/J109*K109-100,1))&lt;999,ROUND(100/J109*K109-100,1),IF(ROUND(100/J109*K109-100,1)&gt;999,999,-999)))</f>
        <v>37.799999999999997</v>
      </c>
      <c r="M109" s="27">
        <f>IFERROR(100/'Skjema total MA'!I109*K109,0)</f>
        <v>10.547974890776075</v>
      </c>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v>70925</v>
      </c>
      <c r="C111" s="158">
        <v>72044</v>
      </c>
      <c r="D111" s="170">
        <f>IF(B111=0, "    ---- ", IF(ABS(ROUND(100/B111*C111-100,1))&lt;999,ROUND(100/B111*C111-100,1),IF(ROUND(100/B111*C111-100,1)&gt;999,999,-999)))</f>
        <v>1.6</v>
      </c>
      <c r="E111" s="11">
        <f>IFERROR(100/'Skjema total MA'!C111*C111,0)</f>
        <v>12.686155367034582</v>
      </c>
      <c r="F111" s="305">
        <v>1743767</v>
      </c>
      <c r="G111" s="158">
        <v>11222128</v>
      </c>
      <c r="H111" s="170">
        <f>IF(F111=0, "    ---- ", IF(ABS(ROUND(100/F111*G111-100,1))&lt;999,ROUND(100/F111*G111-100,1),IF(ROUND(100/F111*G111-100,1)&gt;999,999,-999)))</f>
        <v>543.6</v>
      </c>
      <c r="I111" s="11">
        <f>IFERROR(100/'Skjema total MA'!F111*G111,0)</f>
        <v>13.327198069114296</v>
      </c>
      <c r="J111" s="306">
        <f t="shared" si="28"/>
        <v>1814692</v>
      </c>
      <c r="K111" s="234">
        <f t="shared" si="28"/>
        <v>11294172</v>
      </c>
      <c r="L111" s="422">
        <f>IF(J111=0, "    ---- ", IF(ABS(ROUND(100/J111*K111-100,1))&lt;999,ROUND(100/J111*K111-100,1),IF(ROUND(100/J111*K111-100,1)&gt;999,999,-999)))</f>
        <v>522.4</v>
      </c>
      <c r="M111" s="11">
        <f>IFERROR(100/'Skjema total MA'!I111*K111,0)</f>
        <v>13.322903701257886</v>
      </c>
    </row>
    <row r="112" spans="1:13" x14ac:dyDescent="0.25">
      <c r="A112" s="21" t="s">
        <v>9</v>
      </c>
      <c r="B112" s="232">
        <v>70925</v>
      </c>
      <c r="C112" s="144">
        <v>72044</v>
      </c>
      <c r="D112" s="165">
        <f t="shared" ref="D112:D120" si="29">IF(B112=0, "    ---- ", IF(ABS(ROUND(100/B112*C112-100,1))&lt;999,ROUND(100/B112*C112-100,1),IF(ROUND(100/B112*C112-100,1)&gt;999,999,-999)))</f>
        <v>1.6</v>
      </c>
      <c r="E112" s="27">
        <f>IFERROR(100/'Skjema total MA'!C112*C112,0)</f>
        <v>16.301198860006082</v>
      </c>
      <c r="F112" s="232"/>
      <c r="G112" s="144"/>
      <c r="H112" s="165"/>
      <c r="I112" s="27"/>
      <c r="J112" s="284">
        <f t="shared" ref="J112:K125" si="30">SUM(B112,F112)</f>
        <v>70925</v>
      </c>
      <c r="K112" s="44">
        <f t="shared" si="30"/>
        <v>72044</v>
      </c>
      <c r="L112" s="252">
        <f t="shared" ref="L112:L125" si="31">IF(J112=0, "    ---- ", IF(ABS(ROUND(100/J112*K112-100,1))&lt;999,ROUND(100/J112*K112-100,1),IF(ROUND(100/J112*K112-100,1)&gt;999,999,-999)))</f>
        <v>1.6</v>
      </c>
      <c r="M112" s="27">
        <f>IFERROR(100/'Skjema total MA'!I112*K112,0)</f>
        <v>15.890068730641129</v>
      </c>
    </row>
    <row r="113" spans="1:14" x14ac:dyDescent="0.25">
      <c r="A113" s="21" t="s">
        <v>495</v>
      </c>
      <c r="B113" s="232"/>
      <c r="C113" s="144"/>
      <c r="D113" s="165"/>
      <c r="E113" s="27"/>
      <c r="F113" s="232">
        <v>1743767</v>
      </c>
      <c r="G113" s="144">
        <v>11222128</v>
      </c>
      <c r="H113" s="165">
        <f t="shared" ref="H113:H125" si="32">IF(F113=0, "    ---- ", IF(ABS(ROUND(100/F113*G113-100,1))&lt;999,ROUND(100/F113*G113-100,1),IF(ROUND(100/F113*G113-100,1)&gt;999,999,-999)))</f>
        <v>543.6</v>
      </c>
      <c r="I113" s="27">
        <f>IFERROR(100/'Skjema total MA'!F113*G113,0)</f>
        <v>13.329008130353442</v>
      </c>
      <c r="J113" s="284">
        <f t="shared" si="30"/>
        <v>1743767</v>
      </c>
      <c r="K113" s="44">
        <f t="shared" si="30"/>
        <v>11222128</v>
      </c>
      <c r="L113" s="252">
        <f t="shared" si="31"/>
        <v>543.6</v>
      </c>
      <c r="M113" s="27">
        <f>IFERROR(100/'Skjema total MA'!I113*K113,0)</f>
        <v>13.328968651848081</v>
      </c>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v>3456</v>
      </c>
      <c r="C116" s="232">
        <v>27641</v>
      </c>
      <c r="D116" s="165">
        <f t="shared" si="29"/>
        <v>699.8</v>
      </c>
      <c r="E116" s="27">
        <f>IFERROR(100/'Skjema total MA'!C116*C116,0)</f>
        <v>23.660531956761982</v>
      </c>
      <c r="F116" s="232"/>
      <c r="G116" s="232"/>
      <c r="H116" s="165"/>
      <c r="I116" s="27"/>
      <c r="J116" s="284">
        <f t="shared" si="30"/>
        <v>3456</v>
      </c>
      <c r="K116" s="44">
        <f t="shared" si="30"/>
        <v>27641</v>
      </c>
      <c r="L116" s="252">
        <f t="shared" si="31"/>
        <v>699.8</v>
      </c>
      <c r="M116" s="27">
        <f>IFERROR(100/'Skjema total MA'!I116*K116,0)</f>
        <v>21.551071349414705</v>
      </c>
    </row>
    <row r="117" spans="1:14" ht="15.75" customHeight="1" x14ac:dyDescent="0.25">
      <c r="A117" s="21" t="s">
        <v>510</v>
      </c>
      <c r="B117" s="232"/>
      <c r="C117" s="232"/>
      <c r="D117" s="165"/>
      <c r="E117" s="27"/>
      <c r="F117" s="232">
        <v>298788</v>
      </c>
      <c r="G117" s="232">
        <v>9903779</v>
      </c>
      <c r="H117" s="165">
        <f t="shared" si="32"/>
        <v>999</v>
      </c>
      <c r="I117" s="27">
        <f>IFERROR(100/'Skjema total MA'!F117*G117,0)</f>
        <v>14.30468955666997</v>
      </c>
      <c r="J117" s="284">
        <f t="shared" si="30"/>
        <v>298788</v>
      </c>
      <c r="K117" s="44">
        <f t="shared" si="30"/>
        <v>9903779</v>
      </c>
      <c r="L117" s="252">
        <f t="shared" si="31"/>
        <v>999</v>
      </c>
      <c r="M117" s="27">
        <f>IFERROR(100/'Skjema total MA'!I117*K117,0)</f>
        <v>14.30468955666997</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v>126215</v>
      </c>
      <c r="C119" s="158">
        <v>73897</v>
      </c>
      <c r="D119" s="170">
        <f t="shared" si="29"/>
        <v>-41.5</v>
      </c>
      <c r="E119" s="11">
        <f>IFERROR(100/'Skjema total MA'!C119*C119,0)</f>
        <v>14.12054343687505</v>
      </c>
      <c r="F119" s="305">
        <v>2664126</v>
      </c>
      <c r="G119" s="158">
        <v>10542161</v>
      </c>
      <c r="H119" s="170">
        <f t="shared" si="32"/>
        <v>295.7</v>
      </c>
      <c r="I119" s="11">
        <f>IFERROR(100/'Skjema total MA'!F119*G119,0)</f>
        <v>11.553444079617885</v>
      </c>
      <c r="J119" s="306">
        <f t="shared" si="30"/>
        <v>2790341</v>
      </c>
      <c r="K119" s="234">
        <f t="shared" si="30"/>
        <v>10616058</v>
      </c>
      <c r="L119" s="422">
        <f t="shared" si="31"/>
        <v>280.5</v>
      </c>
      <c r="M119" s="11">
        <f>IFERROR(100/'Skjema total MA'!I119*K119,0)</f>
        <v>11.568083240949891</v>
      </c>
    </row>
    <row r="120" spans="1:14" x14ac:dyDescent="0.25">
      <c r="A120" s="21" t="s">
        <v>9</v>
      </c>
      <c r="B120" s="232">
        <v>126215</v>
      </c>
      <c r="C120" s="144">
        <v>73897</v>
      </c>
      <c r="D120" s="165">
        <f t="shared" si="29"/>
        <v>-41.5</v>
      </c>
      <c r="E120" s="27">
        <f>IFERROR(100/'Skjema total MA'!C120*C120,0)</f>
        <v>20.825848916765107</v>
      </c>
      <c r="F120" s="232"/>
      <c r="G120" s="144"/>
      <c r="H120" s="165"/>
      <c r="I120" s="27"/>
      <c r="J120" s="284">
        <f t="shared" si="30"/>
        <v>126215</v>
      </c>
      <c r="K120" s="44">
        <f t="shared" si="30"/>
        <v>73897</v>
      </c>
      <c r="L120" s="252">
        <f t="shared" si="31"/>
        <v>-41.5</v>
      </c>
      <c r="M120" s="27">
        <f>IFERROR(100/'Skjema total MA'!I120*K120,0)</f>
        <v>20.825848916765107</v>
      </c>
    </row>
    <row r="121" spans="1:14" x14ac:dyDescent="0.25">
      <c r="A121" s="21" t="s">
        <v>495</v>
      </c>
      <c r="B121" s="232"/>
      <c r="C121" s="144"/>
      <c r="D121" s="165"/>
      <c r="E121" s="27"/>
      <c r="F121" s="232">
        <v>2664126</v>
      </c>
      <c r="G121" s="144">
        <v>10542161</v>
      </c>
      <c r="H121" s="165">
        <f t="shared" si="32"/>
        <v>295.7</v>
      </c>
      <c r="I121" s="27">
        <f>IFERROR(100/'Skjema total MA'!F121*G121,0)</f>
        <v>11.553444079617885</v>
      </c>
      <c r="J121" s="284">
        <f t="shared" si="30"/>
        <v>2664126</v>
      </c>
      <c r="K121" s="44">
        <f t="shared" si="30"/>
        <v>10542161</v>
      </c>
      <c r="L121" s="252">
        <f t="shared" si="31"/>
        <v>295.7</v>
      </c>
      <c r="M121" s="27">
        <f>IFERROR(100/'Skjema total MA'!I121*K121,0)</f>
        <v>11.551774315593274</v>
      </c>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v>407258</v>
      </c>
      <c r="G125" s="232">
        <v>7201743</v>
      </c>
      <c r="H125" s="165">
        <f t="shared" si="32"/>
        <v>999</v>
      </c>
      <c r="I125" s="27">
        <f>IFERROR(100/'Skjema total MA'!F125*G125,0)</f>
        <v>9.9820061083819631</v>
      </c>
      <c r="J125" s="284">
        <f t="shared" si="30"/>
        <v>407258</v>
      </c>
      <c r="K125" s="44">
        <f t="shared" si="30"/>
        <v>7201743</v>
      </c>
      <c r="L125" s="252">
        <f t="shared" si="31"/>
        <v>999</v>
      </c>
      <c r="M125" s="27">
        <f>IFERROR(100/'Skjema total MA'!I125*K125,0)</f>
        <v>9.9816700401962759</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898" priority="133">
      <formula>kvartal &lt; 4</formula>
    </cfRule>
  </conditionalFormatting>
  <conditionalFormatting sqref="B69">
    <cfRule type="expression" dxfId="1897" priority="101">
      <formula>kvartal &lt; 4</formula>
    </cfRule>
  </conditionalFormatting>
  <conditionalFormatting sqref="C69">
    <cfRule type="expression" dxfId="1896" priority="100">
      <formula>kvartal &lt; 4</formula>
    </cfRule>
  </conditionalFormatting>
  <conditionalFormatting sqref="B72">
    <cfRule type="expression" dxfId="1895" priority="99">
      <formula>kvartal &lt; 4</formula>
    </cfRule>
  </conditionalFormatting>
  <conditionalFormatting sqref="C72">
    <cfRule type="expression" dxfId="1894" priority="98">
      <formula>kvartal &lt; 4</formula>
    </cfRule>
  </conditionalFormatting>
  <conditionalFormatting sqref="B80">
    <cfRule type="expression" dxfId="1893" priority="97">
      <formula>kvartal &lt; 4</formula>
    </cfRule>
  </conditionalFormatting>
  <conditionalFormatting sqref="C80">
    <cfRule type="expression" dxfId="1892" priority="96">
      <formula>kvartal &lt; 4</formula>
    </cfRule>
  </conditionalFormatting>
  <conditionalFormatting sqref="B83">
    <cfRule type="expression" dxfId="1891" priority="95">
      <formula>kvartal &lt; 4</formula>
    </cfRule>
  </conditionalFormatting>
  <conditionalFormatting sqref="C83">
    <cfRule type="expression" dxfId="1890" priority="94">
      <formula>kvartal &lt; 4</formula>
    </cfRule>
  </conditionalFormatting>
  <conditionalFormatting sqref="B90">
    <cfRule type="expression" dxfId="1889" priority="85">
      <formula>kvartal &lt; 4</formula>
    </cfRule>
  </conditionalFormatting>
  <conditionalFormatting sqref="C90">
    <cfRule type="expression" dxfId="1888" priority="84">
      <formula>kvartal &lt; 4</formula>
    </cfRule>
  </conditionalFormatting>
  <conditionalFormatting sqref="B93">
    <cfRule type="expression" dxfId="1887" priority="83">
      <formula>kvartal &lt; 4</formula>
    </cfRule>
  </conditionalFormatting>
  <conditionalFormatting sqref="C93">
    <cfRule type="expression" dxfId="1886" priority="82">
      <formula>kvartal &lt; 4</formula>
    </cfRule>
  </conditionalFormatting>
  <conditionalFormatting sqref="B101">
    <cfRule type="expression" dxfId="1885" priority="81">
      <formula>kvartal &lt; 4</formula>
    </cfRule>
  </conditionalFormatting>
  <conditionalFormatting sqref="C101">
    <cfRule type="expression" dxfId="1884" priority="80">
      <formula>kvartal &lt; 4</formula>
    </cfRule>
  </conditionalFormatting>
  <conditionalFormatting sqref="B104">
    <cfRule type="expression" dxfId="1883" priority="79">
      <formula>kvartal &lt; 4</formula>
    </cfRule>
  </conditionalFormatting>
  <conditionalFormatting sqref="C104">
    <cfRule type="expression" dxfId="1882" priority="78">
      <formula>kvartal &lt; 4</formula>
    </cfRule>
  </conditionalFormatting>
  <conditionalFormatting sqref="B115">
    <cfRule type="expression" dxfId="1881" priority="77">
      <formula>kvartal &lt; 4</formula>
    </cfRule>
  </conditionalFormatting>
  <conditionalFormatting sqref="C115">
    <cfRule type="expression" dxfId="1880" priority="76">
      <formula>kvartal &lt; 4</formula>
    </cfRule>
  </conditionalFormatting>
  <conditionalFormatting sqref="B123">
    <cfRule type="expression" dxfId="1879" priority="75">
      <formula>kvartal &lt; 4</formula>
    </cfRule>
  </conditionalFormatting>
  <conditionalFormatting sqref="C123">
    <cfRule type="expression" dxfId="1878" priority="74">
      <formula>kvartal &lt; 4</formula>
    </cfRule>
  </conditionalFormatting>
  <conditionalFormatting sqref="F70">
    <cfRule type="expression" dxfId="1877" priority="73">
      <formula>kvartal &lt; 4</formula>
    </cfRule>
  </conditionalFormatting>
  <conditionalFormatting sqref="G70">
    <cfRule type="expression" dxfId="1876" priority="72">
      <formula>kvartal &lt; 4</formula>
    </cfRule>
  </conditionalFormatting>
  <conditionalFormatting sqref="F71:G71">
    <cfRule type="expression" dxfId="1875" priority="71">
      <formula>kvartal &lt; 4</formula>
    </cfRule>
  </conditionalFormatting>
  <conditionalFormatting sqref="F73:G74">
    <cfRule type="expression" dxfId="1874" priority="70">
      <formula>kvartal &lt; 4</formula>
    </cfRule>
  </conditionalFormatting>
  <conditionalFormatting sqref="F81:G82">
    <cfRule type="expression" dxfId="1873" priority="69">
      <formula>kvartal &lt; 4</formula>
    </cfRule>
  </conditionalFormatting>
  <conditionalFormatting sqref="F84:G85">
    <cfRule type="expression" dxfId="1872" priority="68">
      <formula>kvartal &lt; 4</formula>
    </cfRule>
  </conditionalFormatting>
  <conditionalFormatting sqref="F91:G92">
    <cfRule type="expression" dxfId="1871" priority="63">
      <formula>kvartal &lt; 4</formula>
    </cfRule>
  </conditionalFormatting>
  <conditionalFormatting sqref="F94:G95">
    <cfRule type="expression" dxfId="1870" priority="62">
      <formula>kvartal &lt; 4</formula>
    </cfRule>
  </conditionalFormatting>
  <conditionalFormatting sqref="F102:G103">
    <cfRule type="expression" dxfId="1869" priority="61">
      <formula>kvartal &lt; 4</formula>
    </cfRule>
  </conditionalFormatting>
  <conditionalFormatting sqref="F105:G106">
    <cfRule type="expression" dxfId="1868" priority="60">
      <formula>kvartal &lt; 4</formula>
    </cfRule>
  </conditionalFormatting>
  <conditionalFormatting sqref="F115">
    <cfRule type="expression" dxfId="1867" priority="59">
      <formula>kvartal &lt; 4</formula>
    </cfRule>
  </conditionalFormatting>
  <conditionalFormatting sqref="G115">
    <cfRule type="expression" dxfId="1866" priority="58">
      <formula>kvartal &lt; 4</formula>
    </cfRule>
  </conditionalFormatting>
  <conditionalFormatting sqref="F123:G123">
    <cfRule type="expression" dxfId="1865" priority="57">
      <formula>kvartal &lt; 4</formula>
    </cfRule>
  </conditionalFormatting>
  <conditionalFormatting sqref="F69:G69">
    <cfRule type="expression" dxfId="1864" priority="56">
      <formula>kvartal &lt; 4</formula>
    </cfRule>
  </conditionalFormatting>
  <conditionalFormatting sqref="F72:G72">
    <cfRule type="expression" dxfId="1863" priority="55">
      <formula>kvartal &lt; 4</formula>
    </cfRule>
  </conditionalFormatting>
  <conditionalFormatting sqref="F80:G80">
    <cfRule type="expression" dxfId="1862" priority="54">
      <formula>kvartal &lt; 4</formula>
    </cfRule>
  </conditionalFormatting>
  <conditionalFormatting sqref="F83:G83">
    <cfRule type="expression" dxfId="1861" priority="53">
      <formula>kvartal &lt; 4</formula>
    </cfRule>
  </conditionalFormatting>
  <conditionalFormatting sqref="F90:G90">
    <cfRule type="expression" dxfId="1860" priority="47">
      <formula>kvartal &lt; 4</formula>
    </cfRule>
  </conditionalFormatting>
  <conditionalFormatting sqref="F93">
    <cfRule type="expression" dxfId="1859" priority="46">
      <formula>kvartal &lt; 4</formula>
    </cfRule>
  </conditionalFormatting>
  <conditionalFormatting sqref="G93">
    <cfRule type="expression" dxfId="1858" priority="45">
      <formula>kvartal &lt; 4</formula>
    </cfRule>
  </conditionalFormatting>
  <conditionalFormatting sqref="F101">
    <cfRule type="expression" dxfId="1857" priority="44">
      <formula>kvartal &lt; 4</formula>
    </cfRule>
  </conditionalFormatting>
  <conditionalFormatting sqref="G101">
    <cfRule type="expression" dxfId="1856" priority="43">
      <formula>kvartal &lt; 4</formula>
    </cfRule>
  </conditionalFormatting>
  <conditionalFormatting sqref="G104">
    <cfRule type="expression" dxfId="1855" priority="42">
      <formula>kvartal &lt; 4</formula>
    </cfRule>
  </conditionalFormatting>
  <conditionalFormatting sqref="F104">
    <cfRule type="expression" dxfId="1854" priority="41">
      <formula>kvartal &lt; 4</formula>
    </cfRule>
  </conditionalFormatting>
  <conditionalFormatting sqref="J69:K71 J73:K73">
    <cfRule type="expression" dxfId="1853" priority="40">
      <formula>kvartal &lt; 4</formula>
    </cfRule>
  </conditionalFormatting>
  <conditionalFormatting sqref="J80:K82 J84:K84">
    <cfRule type="expression" dxfId="1852" priority="38">
      <formula>kvartal &lt; 4</formula>
    </cfRule>
  </conditionalFormatting>
  <conditionalFormatting sqref="J90:K92 J94:K94">
    <cfRule type="expression" dxfId="1851" priority="35">
      <formula>kvartal &lt; 4</formula>
    </cfRule>
  </conditionalFormatting>
  <conditionalFormatting sqref="J101:K103 J105:K105">
    <cfRule type="expression" dxfId="1850" priority="34">
      <formula>kvartal &lt; 4</formula>
    </cfRule>
  </conditionalFormatting>
  <conditionalFormatting sqref="J115:K115">
    <cfRule type="expression" dxfId="1849" priority="33">
      <formula>kvartal &lt; 4</formula>
    </cfRule>
  </conditionalFormatting>
  <conditionalFormatting sqref="J123:K123">
    <cfRule type="expression" dxfId="1848" priority="32">
      <formula>kvartal &lt; 4</formula>
    </cfRule>
  </conditionalFormatting>
  <conditionalFormatting sqref="A50:A52">
    <cfRule type="expression" dxfId="1847" priority="13">
      <formula>kvartal &lt; 4</formula>
    </cfRule>
  </conditionalFormatting>
  <conditionalFormatting sqref="A69:A74">
    <cfRule type="expression" dxfId="1846" priority="11">
      <formula>kvartal &lt; 4</formula>
    </cfRule>
  </conditionalFormatting>
  <conditionalFormatting sqref="A80:A85">
    <cfRule type="expression" dxfId="1845" priority="10">
      <formula>kvartal &lt; 4</formula>
    </cfRule>
  </conditionalFormatting>
  <conditionalFormatting sqref="A90:A95">
    <cfRule type="expression" dxfId="1844" priority="7">
      <formula>kvartal &lt; 4</formula>
    </cfRule>
  </conditionalFormatting>
  <conditionalFormatting sqref="A101:A106">
    <cfRule type="expression" dxfId="1843" priority="6">
      <formula>kvartal &lt; 4</formula>
    </cfRule>
  </conditionalFormatting>
  <conditionalFormatting sqref="A115">
    <cfRule type="expression" dxfId="1842" priority="5">
      <formula>kvartal &lt; 4</formula>
    </cfRule>
  </conditionalFormatting>
  <conditionalFormatting sqref="A123">
    <cfRule type="expression" dxfId="1841" priority="4">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91</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34253.440000000002</v>
      </c>
      <c r="C7" s="304">
        <v>34123.021999999997</v>
      </c>
      <c r="D7" s="345">
        <f t="shared" ref="D7:D10" si="0">IF(B7=0, "    ---- ", IF(ABS(ROUND(100/B7*C7-100,1))&lt;999,ROUND(100/B7*C7-100,1),IF(ROUND(100/B7*C7-100,1)&gt;999,999,-999)))</f>
        <v>-0.4</v>
      </c>
      <c r="E7" s="11">
        <f>IFERROR(100/'Skjema total MA'!C7*C7,0)</f>
        <v>0.69336011307538126</v>
      </c>
      <c r="F7" s="303"/>
      <c r="G7" s="304"/>
      <c r="H7" s="345"/>
      <c r="I7" s="159"/>
      <c r="J7" s="305">
        <f t="shared" ref="J7:K10" si="1">SUM(B7,F7)</f>
        <v>34253.440000000002</v>
      </c>
      <c r="K7" s="306">
        <f t="shared" si="1"/>
        <v>34123.021999999997</v>
      </c>
      <c r="L7" s="421">
        <f t="shared" ref="L7:L10" si="2">IF(J7=0, "    ---- ", IF(ABS(ROUND(100/J7*K7-100,1))&lt;999,ROUND(100/J7*K7-100,1),IF(ROUND(100/J7*K7-100,1)&gt;999,999,-999)))</f>
        <v>-0.4</v>
      </c>
      <c r="M7" s="11">
        <f>IFERROR(100/'Skjema total MA'!I7*K7,0)</f>
        <v>0.17357543259097155</v>
      </c>
    </row>
    <row r="8" spans="1:14" ht="15.6" x14ac:dyDescent="0.25">
      <c r="A8" s="21" t="s">
        <v>25</v>
      </c>
      <c r="B8" s="278">
        <v>21145.584737699999</v>
      </c>
      <c r="C8" s="279">
        <v>21079.138999999999</v>
      </c>
      <c r="D8" s="165">
        <f t="shared" si="0"/>
        <v>-0.3</v>
      </c>
      <c r="E8" s="27">
        <f>IFERROR(100/'Skjema total MA'!C8*C8,0)</f>
        <v>0.65078492004319999</v>
      </c>
      <c r="F8" s="282"/>
      <c r="G8" s="283"/>
      <c r="H8" s="165"/>
      <c r="I8" s="174"/>
      <c r="J8" s="232">
        <f t="shared" si="1"/>
        <v>21145.584737699999</v>
      </c>
      <c r="K8" s="284">
        <f t="shared" si="1"/>
        <v>21079.138999999999</v>
      </c>
      <c r="L8" s="165">
        <f t="shared" si="2"/>
        <v>-0.3</v>
      </c>
      <c r="M8" s="27">
        <f>IFERROR(100/'Skjema total MA'!I8*K8,0)</f>
        <v>0.65078492004319999</v>
      </c>
    </row>
    <row r="9" spans="1:14" ht="15.6" x14ac:dyDescent="0.25">
      <c r="A9" s="21" t="s">
        <v>24</v>
      </c>
      <c r="B9" s="278">
        <v>12644.136320899999</v>
      </c>
      <c r="C9" s="279">
        <v>12476.130999999999</v>
      </c>
      <c r="D9" s="165">
        <f t="shared" si="0"/>
        <v>-1.3</v>
      </c>
      <c r="E9" s="27">
        <f>IFERROR(100/'Skjema total MA'!C9*C9,0)</f>
        <v>1.2512745453267264</v>
      </c>
      <c r="F9" s="282"/>
      <c r="G9" s="283"/>
      <c r="H9" s="165"/>
      <c r="I9" s="174"/>
      <c r="J9" s="232">
        <f t="shared" si="1"/>
        <v>12644.136320899999</v>
      </c>
      <c r="K9" s="284">
        <f t="shared" si="1"/>
        <v>12476.130999999999</v>
      </c>
      <c r="L9" s="165">
        <f t="shared" si="2"/>
        <v>-1.3</v>
      </c>
      <c r="M9" s="27">
        <f>IFERROR(100/'Skjema total MA'!I9*K9,0)</f>
        <v>1.2512745453267264</v>
      </c>
    </row>
    <row r="10" spans="1:14" ht="15.6" x14ac:dyDescent="0.25">
      <c r="A10" s="13" t="s">
        <v>444</v>
      </c>
      <c r="B10" s="307">
        <v>20605.5730577291</v>
      </c>
      <c r="C10" s="308">
        <v>20282.083999999999</v>
      </c>
      <c r="D10" s="170">
        <f t="shared" si="0"/>
        <v>-1.6</v>
      </c>
      <c r="E10" s="11">
        <f>IFERROR(100/'Skjema total MA'!C10*C10,0)</f>
        <v>0.10752473201281436</v>
      </c>
      <c r="F10" s="307"/>
      <c r="G10" s="308"/>
      <c r="H10" s="170"/>
      <c r="I10" s="159"/>
      <c r="J10" s="305">
        <f t="shared" si="1"/>
        <v>20605.5730577291</v>
      </c>
      <c r="K10" s="306">
        <f t="shared" si="1"/>
        <v>20282.083999999999</v>
      </c>
      <c r="L10" s="422">
        <f t="shared" si="2"/>
        <v>-1.6</v>
      </c>
      <c r="M10" s="11">
        <f>IFERROR(100/'Skjema total MA'!I10*K10,0)</f>
        <v>2.1086063071151039E-2</v>
      </c>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199.31784999999999</v>
      </c>
      <c r="C22" s="307">
        <v>42.22</v>
      </c>
      <c r="D22" s="345">
        <f t="shared" ref="D22:D31" si="3">IF(B22=0, "    ---- ", IF(ABS(ROUND(100/B22*C22-100,1))&lt;999,ROUND(100/B22*C22-100,1),IF(ROUND(100/B22*C22-100,1)&gt;999,999,-999)))</f>
        <v>-78.8</v>
      </c>
      <c r="E22" s="11">
        <f>IFERROR(100/'Skjema total MA'!C22*C22,0)</f>
        <v>2.1859439838692804E-3</v>
      </c>
      <c r="F22" s="315"/>
      <c r="G22" s="315"/>
      <c r="H22" s="345"/>
      <c r="I22" s="11"/>
      <c r="J22" s="313">
        <f t="shared" ref="J22:J31" si="4">SUM(B22,F22)</f>
        <v>199.31784999999999</v>
      </c>
      <c r="K22" s="313">
        <f t="shared" ref="K22:K31" si="5">SUM(C22,G22)</f>
        <v>42.22</v>
      </c>
      <c r="L22" s="421">
        <f t="shared" ref="L22:L31" si="6">IF(J22=0, "    ---- ", IF(ABS(ROUND(100/J22*K22-100,1))&lt;999,ROUND(100/J22*K22-100,1),IF(ROUND(100/J22*K22-100,1)&gt;999,999,-999)))</f>
        <v>-78.8</v>
      </c>
      <c r="M22" s="24">
        <f>IFERROR(100/'Skjema total MA'!I22*K22,0)</f>
        <v>1.1575638392794256E-3</v>
      </c>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v>199.31784999999999</v>
      </c>
      <c r="C24" s="278">
        <v>42.22</v>
      </c>
      <c r="D24" s="165">
        <f t="shared" si="3"/>
        <v>-78.8</v>
      </c>
      <c r="E24" s="11">
        <f>IFERROR(100/'Skjema total MA'!C24*C24,0)</f>
        <v>0.17510635050218945</v>
      </c>
      <c r="F24" s="287"/>
      <c r="G24" s="287"/>
      <c r="H24" s="165"/>
      <c r="I24" s="411"/>
      <c r="J24" s="287">
        <f t="shared" si="4"/>
        <v>199.31784999999999</v>
      </c>
      <c r="K24" s="287">
        <f t="shared" si="5"/>
        <v>42.22</v>
      </c>
      <c r="L24" s="165">
        <f t="shared" si="6"/>
        <v>-78.8</v>
      </c>
      <c r="M24" s="23">
        <f>IFERROR(100/'Skjema total MA'!I24*K24,0)</f>
        <v>0.17418465120917095</v>
      </c>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199.31784999999999</v>
      </c>
      <c r="C28" s="284">
        <v>42.22</v>
      </c>
      <c r="D28" s="165">
        <f t="shared" si="3"/>
        <v>-78.8</v>
      </c>
      <c r="E28" s="11">
        <f>IFERROR(100/'Skjema total MA'!C28*C28,0)</f>
        <v>1.9365795830746674E-3</v>
      </c>
      <c r="F28" s="232"/>
      <c r="G28" s="284"/>
      <c r="H28" s="165"/>
      <c r="I28" s="27"/>
      <c r="J28" s="44">
        <f t="shared" si="4"/>
        <v>199.31784999999999</v>
      </c>
      <c r="K28" s="44">
        <f t="shared" si="5"/>
        <v>42.22</v>
      </c>
      <c r="L28" s="252">
        <f t="shared" si="6"/>
        <v>-78.8</v>
      </c>
      <c r="M28" s="23">
        <f>IFERROR(100/'Skjema total MA'!I28*K28,0)</f>
        <v>1.9365795830746674E-3</v>
      </c>
    </row>
    <row r="29" spans="1:14" s="3" customFormat="1" ht="15.6" x14ac:dyDescent="0.25">
      <c r="A29" s="13" t="s">
        <v>444</v>
      </c>
      <c r="B29" s="234">
        <v>1808.7504129265301</v>
      </c>
      <c r="C29" s="234">
        <v>1728.453</v>
      </c>
      <c r="D29" s="170">
        <f t="shared" si="3"/>
        <v>-4.4000000000000004</v>
      </c>
      <c r="E29" s="11">
        <f>IFERROR(100/'Skjema total MA'!C29*C29,0)</f>
        <v>3.8141187459128584E-3</v>
      </c>
      <c r="F29" s="305"/>
      <c r="G29" s="305"/>
      <c r="H29" s="170"/>
      <c r="I29" s="11"/>
      <c r="J29" s="234">
        <f t="shared" si="4"/>
        <v>1808.7504129265301</v>
      </c>
      <c r="K29" s="234">
        <f t="shared" si="5"/>
        <v>1728.453</v>
      </c>
      <c r="L29" s="422">
        <f t="shared" si="6"/>
        <v>-4.4000000000000004</v>
      </c>
      <c r="M29" s="24">
        <f>IFERROR(100/'Skjema total MA'!I29*K29,0)</f>
        <v>2.3988721664590915E-3</v>
      </c>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v>1808.7504129265301</v>
      </c>
      <c r="C31" s="278">
        <v>1728.453</v>
      </c>
      <c r="D31" s="165">
        <f t="shared" si="3"/>
        <v>-4.4000000000000004</v>
      </c>
      <c r="E31" s="11">
        <f>IFERROR(100/'Skjema total MA'!C31*C31,0)</f>
        <v>7.6798092708918663E-3</v>
      </c>
      <c r="F31" s="287"/>
      <c r="G31" s="287"/>
      <c r="H31" s="165"/>
      <c r="I31" s="411"/>
      <c r="J31" s="287">
        <f t="shared" si="4"/>
        <v>1808.7504129265301</v>
      </c>
      <c r="K31" s="287">
        <f t="shared" si="5"/>
        <v>1728.453</v>
      </c>
      <c r="L31" s="165">
        <f t="shared" si="6"/>
        <v>-4.4000000000000004</v>
      </c>
      <c r="M31" s="23">
        <f>IFERROR(100/'Skjema total MA'!I31*K31,0)</f>
        <v>5.4195262283176626E-3</v>
      </c>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c r="D47" s="421"/>
      <c r="E47" s="11"/>
      <c r="F47" s="144"/>
      <c r="G47" s="33"/>
      <c r="H47" s="158"/>
      <c r="I47" s="158"/>
      <c r="J47" s="37"/>
      <c r="K47" s="37"/>
      <c r="L47" s="158"/>
      <c r="M47" s="158"/>
      <c r="N47" s="147"/>
    </row>
    <row r="48" spans="1:14" s="3" customFormat="1" ht="15.6" x14ac:dyDescent="0.25">
      <c r="A48" s="38" t="s">
        <v>455</v>
      </c>
      <c r="B48" s="278"/>
      <c r="C48" s="279"/>
      <c r="D48" s="252"/>
      <c r="E48" s="27"/>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840" priority="132">
      <formula>kvartal &lt; 4</formula>
    </cfRule>
  </conditionalFormatting>
  <conditionalFormatting sqref="B69">
    <cfRule type="expression" dxfId="1839" priority="100">
      <formula>kvartal &lt; 4</formula>
    </cfRule>
  </conditionalFormatting>
  <conditionalFormatting sqref="C69">
    <cfRule type="expression" dxfId="1838" priority="99">
      <formula>kvartal &lt; 4</formula>
    </cfRule>
  </conditionalFormatting>
  <conditionalFormatting sqref="B72">
    <cfRule type="expression" dxfId="1837" priority="98">
      <formula>kvartal &lt; 4</formula>
    </cfRule>
  </conditionalFormatting>
  <conditionalFormatting sqref="C72">
    <cfRule type="expression" dxfId="1836" priority="97">
      <formula>kvartal &lt; 4</formula>
    </cfRule>
  </conditionalFormatting>
  <conditionalFormatting sqref="B80">
    <cfRule type="expression" dxfId="1835" priority="96">
      <formula>kvartal &lt; 4</formula>
    </cfRule>
  </conditionalFormatting>
  <conditionalFormatting sqref="C80">
    <cfRule type="expression" dxfId="1834" priority="95">
      <formula>kvartal &lt; 4</formula>
    </cfRule>
  </conditionalFormatting>
  <conditionalFormatting sqref="B83">
    <cfRule type="expression" dxfId="1833" priority="94">
      <formula>kvartal &lt; 4</formula>
    </cfRule>
  </conditionalFormatting>
  <conditionalFormatting sqref="C83">
    <cfRule type="expression" dxfId="1832" priority="93">
      <formula>kvartal &lt; 4</formula>
    </cfRule>
  </conditionalFormatting>
  <conditionalFormatting sqref="B90">
    <cfRule type="expression" dxfId="1831" priority="84">
      <formula>kvartal &lt; 4</formula>
    </cfRule>
  </conditionalFormatting>
  <conditionalFormatting sqref="C90">
    <cfRule type="expression" dxfId="1830" priority="83">
      <formula>kvartal &lt; 4</formula>
    </cfRule>
  </conditionalFormatting>
  <conditionalFormatting sqref="B93">
    <cfRule type="expression" dxfId="1829" priority="82">
      <formula>kvartal &lt; 4</formula>
    </cfRule>
  </conditionalFormatting>
  <conditionalFormatting sqref="C93">
    <cfRule type="expression" dxfId="1828" priority="81">
      <formula>kvartal &lt; 4</formula>
    </cfRule>
  </conditionalFormatting>
  <conditionalFormatting sqref="B101">
    <cfRule type="expression" dxfId="1827" priority="80">
      <formula>kvartal &lt; 4</formula>
    </cfRule>
  </conditionalFormatting>
  <conditionalFormatting sqref="C101">
    <cfRule type="expression" dxfId="1826" priority="79">
      <formula>kvartal &lt; 4</formula>
    </cfRule>
  </conditionalFormatting>
  <conditionalFormatting sqref="B104">
    <cfRule type="expression" dxfId="1825" priority="78">
      <formula>kvartal &lt; 4</formula>
    </cfRule>
  </conditionalFormatting>
  <conditionalFormatting sqref="C104">
    <cfRule type="expression" dxfId="1824" priority="77">
      <formula>kvartal &lt; 4</formula>
    </cfRule>
  </conditionalFormatting>
  <conditionalFormatting sqref="B115">
    <cfRule type="expression" dxfId="1823" priority="76">
      <formula>kvartal &lt; 4</formula>
    </cfRule>
  </conditionalFormatting>
  <conditionalFormatting sqref="C115">
    <cfRule type="expression" dxfId="1822" priority="75">
      <formula>kvartal &lt; 4</formula>
    </cfRule>
  </conditionalFormatting>
  <conditionalFormatting sqref="B123">
    <cfRule type="expression" dxfId="1821" priority="74">
      <formula>kvartal &lt; 4</formula>
    </cfRule>
  </conditionalFormatting>
  <conditionalFormatting sqref="C123">
    <cfRule type="expression" dxfId="1820" priority="73">
      <formula>kvartal &lt; 4</formula>
    </cfRule>
  </conditionalFormatting>
  <conditionalFormatting sqref="F70">
    <cfRule type="expression" dxfId="1819" priority="72">
      <formula>kvartal &lt; 4</formula>
    </cfRule>
  </conditionalFormatting>
  <conditionalFormatting sqref="G70">
    <cfRule type="expression" dxfId="1818" priority="71">
      <formula>kvartal &lt; 4</formula>
    </cfRule>
  </conditionalFormatting>
  <conditionalFormatting sqref="F71:G71">
    <cfRule type="expression" dxfId="1817" priority="70">
      <formula>kvartal &lt; 4</formula>
    </cfRule>
  </conditionalFormatting>
  <conditionalFormatting sqref="F73:G74">
    <cfRule type="expression" dxfId="1816" priority="69">
      <formula>kvartal &lt; 4</formula>
    </cfRule>
  </conditionalFormatting>
  <conditionalFormatting sqref="F81:G82">
    <cfRule type="expression" dxfId="1815" priority="68">
      <formula>kvartal &lt; 4</formula>
    </cfRule>
  </conditionalFormatting>
  <conditionalFormatting sqref="F84:G85">
    <cfRule type="expression" dxfId="1814" priority="67">
      <formula>kvartal &lt; 4</formula>
    </cfRule>
  </conditionalFormatting>
  <conditionalFormatting sqref="F91:G92">
    <cfRule type="expression" dxfId="1813" priority="62">
      <formula>kvartal &lt; 4</formula>
    </cfRule>
  </conditionalFormatting>
  <conditionalFormatting sqref="F94:G95">
    <cfRule type="expression" dxfId="1812" priority="61">
      <formula>kvartal &lt; 4</formula>
    </cfRule>
  </conditionalFormatting>
  <conditionalFormatting sqref="F102:G103">
    <cfRule type="expression" dxfId="1811" priority="60">
      <formula>kvartal &lt; 4</formula>
    </cfRule>
  </conditionalFormatting>
  <conditionalFormatting sqref="F105:G106">
    <cfRule type="expression" dxfId="1810" priority="59">
      <formula>kvartal &lt; 4</formula>
    </cfRule>
  </conditionalFormatting>
  <conditionalFormatting sqref="F115">
    <cfRule type="expression" dxfId="1809" priority="58">
      <formula>kvartal &lt; 4</formula>
    </cfRule>
  </conditionalFormatting>
  <conditionalFormatting sqref="G115">
    <cfRule type="expression" dxfId="1808" priority="57">
      <formula>kvartal &lt; 4</formula>
    </cfRule>
  </conditionalFormatting>
  <conditionalFormatting sqref="F123:G123">
    <cfRule type="expression" dxfId="1807" priority="56">
      <formula>kvartal &lt; 4</formula>
    </cfRule>
  </conditionalFormatting>
  <conditionalFormatting sqref="F69:G69">
    <cfRule type="expression" dxfId="1806" priority="55">
      <formula>kvartal &lt; 4</formula>
    </cfRule>
  </conditionalFormatting>
  <conditionalFormatting sqref="F72:G72">
    <cfRule type="expression" dxfId="1805" priority="54">
      <formula>kvartal &lt; 4</formula>
    </cfRule>
  </conditionalFormatting>
  <conditionalFormatting sqref="F80:G80">
    <cfRule type="expression" dxfId="1804" priority="53">
      <formula>kvartal &lt; 4</formula>
    </cfRule>
  </conditionalFormatting>
  <conditionalFormatting sqref="F83:G83">
    <cfRule type="expression" dxfId="1803" priority="52">
      <formula>kvartal &lt; 4</formula>
    </cfRule>
  </conditionalFormatting>
  <conditionalFormatting sqref="F90:G90">
    <cfRule type="expression" dxfId="1802" priority="46">
      <formula>kvartal &lt; 4</formula>
    </cfRule>
  </conditionalFormatting>
  <conditionalFormatting sqref="F93">
    <cfRule type="expression" dxfId="1801" priority="45">
      <formula>kvartal &lt; 4</formula>
    </cfRule>
  </conditionalFormatting>
  <conditionalFormatting sqref="G93">
    <cfRule type="expression" dxfId="1800" priority="44">
      <formula>kvartal &lt; 4</formula>
    </cfRule>
  </conditionalFormatting>
  <conditionalFormatting sqref="F101">
    <cfRule type="expression" dxfId="1799" priority="43">
      <formula>kvartal &lt; 4</formula>
    </cfRule>
  </conditionalFormatting>
  <conditionalFormatting sqref="G101">
    <cfRule type="expression" dxfId="1798" priority="42">
      <formula>kvartal &lt; 4</formula>
    </cfRule>
  </conditionalFormatting>
  <conditionalFormatting sqref="G104">
    <cfRule type="expression" dxfId="1797" priority="41">
      <formula>kvartal &lt; 4</formula>
    </cfRule>
  </conditionalFormatting>
  <conditionalFormatting sqref="F104">
    <cfRule type="expression" dxfId="1796" priority="40">
      <formula>kvartal &lt; 4</formula>
    </cfRule>
  </conditionalFormatting>
  <conditionalFormatting sqref="J69:K73">
    <cfRule type="expression" dxfId="1795" priority="39">
      <formula>kvartal &lt; 4</formula>
    </cfRule>
  </conditionalFormatting>
  <conditionalFormatting sqref="J74:K74">
    <cfRule type="expression" dxfId="1794" priority="38">
      <formula>kvartal &lt; 4</formula>
    </cfRule>
  </conditionalFormatting>
  <conditionalFormatting sqref="J80:K85">
    <cfRule type="expression" dxfId="1793" priority="37">
      <formula>kvartal &lt; 4</formula>
    </cfRule>
  </conditionalFormatting>
  <conditionalFormatting sqref="J90:K95">
    <cfRule type="expression" dxfId="1792" priority="34">
      <formula>kvartal &lt; 4</formula>
    </cfRule>
  </conditionalFormatting>
  <conditionalFormatting sqref="J101:K106">
    <cfRule type="expression" dxfId="1791" priority="33">
      <formula>kvartal &lt; 4</formula>
    </cfRule>
  </conditionalFormatting>
  <conditionalFormatting sqref="J115:K115">
    <cfRule type="expression" dxfId="1790" priority="32">
      <formula>kvartal &lt; 4</formula>
    </cfRule>
  </conditionalFormatting>
  <conditionalFormatting sqref="J123:K123">
    <cfRule type="expression" dxfId="1789" priority="31">
      <formula>kvartal &lt; 4</formula>
    </cfRule>
  </conditionalFormatting>
  <conditionalFormatting sqref="A50:A52">
    <cfRule type="expression" dxfId="1788" priority="12">
      <formula>kvartal &lt; 4</formula>
    </cfRule>
  </conditionalFormatting>
  <conditionalFormatting sqref="A69:A74">
    <cfRule type="expression" dxfId="1787" priority="10">
      <formula>kvartal &lt; 4</formula>
    </cfRule>
  </conditionalFormatting>
  <conditionalFormatting sqref="A80:A85">
    <cfRule type="expression" dxfId="1786" priority="9">
      <formula>kvartal &lt; 4</formula>
    </cfRule>
  </conditionalFormatting>
  <conditionalFormatting sqref="A90:A95">
    <cfRule type="expression" dxfId="1785" priority="6">
      <formula>kvartal &lt; 4</formula>
    </cfRule>
  </conditionalFormatting>
  <conditionalFormatting sqref="A101:A106">
    <cfRule type="expression" dxfId="1784" priority="5">
      <formula>kvartal &lt; 4</formula>
    </cfRule>
  </conditionalFormatting>
  <conditionalFormatting sqref="A115">
    <cfRule type="expression" dxfId="1783" priority="4">
      <formula>kvartal &lt; 4</formula>
    </cfRule>
  </conditionalFormatting>
  <conditionalFormatting sqref="A123">
    <cfRule type="expression" dxfId="1782"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heetViews>
  <sheetFormatPr baseColWidth="10" defaultColWidth="11.44140625" defaultRowHeight="24.6" x14ac:dyDescent="0.4"/>
  <cols>
    <col min="1" max="1" width="11.44140625" style="67"/>
    <col min="2" max="2" width="25" style="67" customWidth="1"/>
    <col min="3" max="3" width="141.6640625" style="67" customWidth="1"/>
    <col min="4" max="16384" width="11.44140625" style="67"/>
  </cols>
  <sheetData>
    <row r="1" spans="1:14" ht="20.100000000000001" customHeight="1" x14ac:dyDescent="0.4">
      <c r="C1" s="68"/>
      <c r="D1" s="69"/>
      <c r="E1" s="69"/>
      <c r="F1" s="69"/>
      <c r="G1" s="69"/>
      <c r="H1" s="69"/>
      <c r="I1" s="69"/>
      <c r="J1" s="69"/>
      <c r="K1" s="69"/>
      <c r="L1" s="69"/>
      <c r="M1" s="69"/>
      <c r="N1" s="69"/>
    </row>
    <row r="2" spans="1:14" ht="20.100000000000001" customHeight="1" x14ac:dyDescent="0.4">
      <c r="C2" s="272" t="s">
        <v>31</v>
      </c>
      <c r="D2" s="69"/>
      <c r="E2" s="69"/>
      <c r="F2" s="69"/>
      <c r="G2" s="69"/>
      <c r="H2" s="69"/>
      <c r="I2" s="69"/>
      <c r="J2" s="69"/>
      <c r="K2" s="69"/>
      <c r="L2" s="69"/>
      <c r="M2" s="69"/>
      <c r="N2" s="69"/>
    </row>
    <row r="3" spans="1:14" ht="20.100000000000001" customHeight="1" x14ac:dyDescent="0.4">
      <c r="C3" s="70"/>
      <c r="D3" s="69"/>
      <c r="E3" s="69"/>
      <c r="F3" s="69"/>
      <c r="G3" s="69"/>
      <c r="H3" s="69"/>
      <c r="I3" s="69"/>
      <c r="J3" s="69"/>
      <c r="K3" s="69"/>
      <c r="L3" s="69"/>
      <c r="M3" s="69"/>
      <c r="N3" s="69"/>
    </row>
    <row r="4" spans="1:14" ht="20.100000000000001" customHeight="1" x14ac:dyDescent="0.4">
      <c r="C4" s="70"/>
      <c r="D4" s="69"/>
      <c r="E4" s="69"/>
      <c r="F4" s="69"/>
      <c r="G4" s="69"/>
      <c r="H4" s="69"/>
      <c r="I4" s="69"/>
      <c r="J4" s="69"/>
      <c r="K4" s="69"/>
      <c r="L4" s="69"/>
      <c r="M4" s="69"/>
      <c r="N4" s="69"/>
    </row>
    <row r="5" spans="1:14" ht="20.100000000000001" customHeight="1" x14ac:dyDescent="0.4">
      <c r="A5" s="70"/>
      <c r="B5" s="70"/>
      <c r="C5" s="70"/>
      <c r="D5" s="69"/>
      <c r="E5" s="69"/>
      <c r="F5" s="69"/>
      <c r="G5" s="69"/>
      <c r="H5" s="69"/>
      <c r="I5" s="69"/>
      <c r="J5" s="69"/>
      <c r="K5" s="69"/>
      <c r="L5" s="69"/>
      <c r="M5" s="69"/>
      <c r="N5" s="69"/>
    </row>
    <row r="6" spans="1:14" ht="20.100000000000001" customHeight="1" x14ac:dyDescent="0.4">
      <c r="A6" s="71" t="s">
        <v>32</v>
      </c>
      <c r="B6" s="71"/>
      <c r="C6" s="70"/>
      <c r="D6" s="69"/>
      <c r="E6" s="69"/>
      <c r="F6" s="69"/>
      <c r="G6" s="69"/>
      <c r="H6" s="69"/>
      <c r="I6" s="69"/>
      <c r="J6" s="69"/>
      <c r="K6" s="69"/>
      <c r="L6" s="69"/>
      <c r="M6" s="69"/>
      <c r="N6" s="69"/>
    </row>
    <row r="7" spans="1:14" ht="20.100000000000001" customHeight="1" x14ac:dyDescent="0.4">
      <c r="A7" s="70"/>
      <c r="B7" s="70" t="s">
        <v>33</v>
      </c>
      <c r="C7" s="70" t="s">
        <v>34</v>
      </c>
      <c r="D7" s="69"/>
      <c r="E7" s="69"/>
      <c r="F7" s="69"/>
      <c r="G7" s="69"/>
      <c r="H7" s="69"/>
      <c r="I7" s="69"/>
      <c r="J7" s="69"/>
      <c r="K7" s="69"/>
      <c r="L7" s="69"/>
      <c r="M7" s="69"/>
      <c r="N7" s="69"/>
    </row>
    <row r="8" spans="1:14" ht="20.100000000000001" customHeight="1" x14ac:dyDescent="0.4">
      <c r="A8" s="70"/>
      <c r="B8" s="70" t="s">
        <v>35</v>
      </c>
      <c r="C8" s="70" t="s">
        <v>36</v>
      </c>
      <c r="D8" s="69"/>
      <c r="E8" s="69"/>
      <c r="F8" s="69"/>
      <c r="G8" s="69"/>
      <c r="H8" s="69"/>
      <c r="I8" s="69"/>
      <c r="J8" s="69"/>
      <c r="K8" s="69"/>
      <c r="L8" s="69"/>
      <c r="M8" s="69"/>
      <c r="N8" s="69"/>
    </row>
    <row r="9" spans="1:14" ht="20.100000000000001" customHeight="1" x14ac:dyDescent="0.4">
      <c r="A9" s="70"/>
      <c r="B9" s="70" t="s">
        <v>37</v>
      </c>
      <c r="C9" s="70" t="s">
        <v>40</v>
      </c>
      <c r="D9" s="69"/>
      <c r="E9" s="69"/>
      <c r="F9" s="69"/>
      <c r="G9" s="69"/>
      <c r="H9" s="69"/>
      <c r="I9" s="69"/>
      <c r="J9" s="69"/>
      <c r="K9" s="69"/>
      <c r="L9" s="69"/>
      <c r="M9" s="69"/>
      <c r="N9" s="69"/>
    </row>
    <row r="10" spans="1:14" ht="20.100000000000001" customHeight="1" x14ac:dyDescent="0.4">
      <c r="A10" s="70"/>
      <c r="B10" s="70" t="s">
        <v>38</v>
      </c>
      <c r="C10" s="70" t="s">
        <v>42</v>
      </c>
      <c r="D10" s="69"/>
      <c r="E10" s="69"/>
      <c r="F10" s="69"/>
      <c r="G10" s="69"/>
      <c r="H10" s="69"/>
      <c r="I10" s="69"/>
      <c r="J10" s="69"/>
      <c r="K10" s="69"/>
      <c r="L10" s="69"/>
      <c r="M10" s="69"/>
      <c r="N10" s="69"/>
    </row>
    <row r="11" spans="1:14" ht="20.100000000000001" customHeight="1" x14ac:dyDescent="0.4">
      <c r="A11" s="70"/>
      <c r="B11" s="70" t="s">
        <v>39</v>
      </c>
      <c r="C11" s="70" t="s">
        <v>43</v>
      </c>
      <c r="D11" s="69"/>
      <c r="E11" s="69"/>
      <c r="F11" s="69"/>
      <c r="G11" s="69"/>
      <c r="H11" s="69"/>
      <c r="I11" s="69"/>
      <c r="J11" s="69"/>
      <c r="K11" s="69"/>
      <c r="L11" s="69"/>
      <c r="M11" s="69"/>
      <c r="N11" s="69"/>
    </row>
    <row r="12" spans="1:14" ht="20.100000000000001" customHeight="1" x14ac:dyDescent="0.4">
      <c r="A12" s="70"/>
      <c r="B12" s="70" t="s">
        <v>41</v>
      </c>
      <c r="C12" s="70" t="s">
        <v>44</v>
      </c>
      <c r="D12" s="69"/>
      <c r="E12" s="69"/>
      <c r="F12" s="69"/>
      <c r="G12" s="69"/>
      <c r="H12" s="69"/>
      <c r="I12" s="69"/>
      <c r="J12" s="69"/>
      <c r="K12" s="69"/>
      <c r="L12" s="69"/>
      <c r="M12" s="69"/>
      <c r="N12" s="69"/>
    </row>
    <row r="13" spans="1:14" ht="18.75" customHeight="1" x14ac:dyDescent="0.4">
      <c r="A13" s="70"/>
      <c r="B13" s="70"/>
      <c r="C13" s="70"/>
      <c r="D13" s="69"/>
      <c r="E13" s="69"/>
      <c r="F13" s="69"/>
      <c r="G13" s="69"/>
      <c r="H13" s="69"/>
      <c r="I13" s="69"/>
      <c r="J13" s="69"/>
      <c r="K13" s="69"/>
      <c r="L13" s="69"/>
      <c r="M13" s="69"/>
      <c r="N13" s="69"/>
    </row>
    <row r="14" spans="1:14" ht="20.100000000000001" customHeight="1" x14ac:dyDescent="0.4">
      <c r="A14" s="271" t="s">
        <v>45</v>
      </c>
      <c r="B14" s="71"/>
      <c r="C14" s="70"/>
      <c r="D14" s="69"/>
      <c r="E14" s="69"/>
      <c r="F14" s="69"/>
      <c r="G14" s="69"/>
      <c r="H14" s="69"/>
      <c r="I14" s="69"/>
      <c r="J14" s="69"/>
      <c r="K14" s="69"/>
      <c r="L14" s="69"/>
      <c r="M14" s="69"/>
      <c r="N14" s="69"/>
    </row>
    <row r="15" spans="1:14" ht="20.100000000000001" customHeight="1" x14ac:dyDescent="0.4">
      <c r="A15" s="70"/>
      <c r="B15" s="70" t="s">
        <v>46</v>
      </c>
      <c r="C15" s="70"/>
      <c r="D15" s="69"/>
      <c r="E15" s="69"/>
      <c r="F15" s="69"/>
      <c r="G15" s="69"/>
      <c r="H15" s="69"/>
      <c r="I15" s="69"/>
      <c r="J15" s="69"/>
      <c r="K15" s="69"/>
      <c r="L15" s="69"/>
      <c r="M15" s="69"/>
      <c r="N15" s="69"/>
    </row>
    <row r="16" spans="1:14" ht="20.100000000000001" customHeight="1" x14ac:dyDescent="0.4">
      <c r="A16" s="70"/>
      <c r="B16" s="71" t="s">
        <v>47</v>
      </c>
      <c r="C16" s="70" t="s">
        <v>48</v>
      </c>
      <c r="D16" s="69"/>
      <c r="E16" s="69"/>
      <c r="F16" s="69"/>
      <c r="G16" s="69"/>
      <c r="H16" s="69"/>
      <c r="I16" s="69"/>
      <c r="J16" s="69"/>
      <c r="K16" s="69"/>
      <c r="L16" s="69"/>
      <c r="M16" s="69"/>
      <c r="N16" s="69"/>
    </row>
    <row r="17" spans="1:14" ht="20.100000000000001" customHeight="1" x14ac:dyDescent="0.4">
      <c r="A17" s="70"/>
      <c r="B17" s="71" t="s">
        <v>49</v>
      </c>
      <c r="C17" s="70" t="s">
        <v>50</v>
      </c>
      <c r="D17" s="69"/>
      <c r="E17" s="69"/>
      <c r="F17" s="69"/>
      <c r="G17" s="69"/>
      <c r="H17" s="69"/>
      <c r="I17" s="69"/>
      <c r="J17" s="69"/>
      <c r="K17" s="69"/>
      <c r="L17" s="69"/>
      <c r="M17" s="69"/>
      <c r="N17" s="69"/>
    </row>
    <row r="18" spans="1:14" ht="20.100000000000001" customHeight="1" x14ac:dyDescent="0.4">
      <c r="A18" s="70"/>
      <c r="B18" s="71" t="s">
        <v>339</v>
      </c>
      <c r="C18" s="70" t="s">
        <v>340</v>
      </c>
      <c r="D18" s="69"/>
      <c r="E18" s="69"/>
      <c r="F18" s="69"/>
      <c r="G18" s="69"/>
      <c r="H18" s="69"/>
      <c r="I18" s="69"/>
      <c r="J18" s="69"/>
      <c r="K18" s="69"/>
      <c r="L18" s="69"/>
      <c r="M18" s="69"/>
      <c r="N18" s="69"/>
    </row>
    <row r="19" spans="1:14" ht="20.100000000000001" customHeight="1" x14ac:dyDescent="0.4">
      <c r="A19" s="70"/>
      <c r="B19" s="70" t="s">
        <v>341</v>
      </c>
      <c r="C19" s="70" t="s">
        <v>269</v>
      </c>
      <c r="D19" s="69"/>
      <c r="E19" s="69"/>
      <c r="F19" s="69"/>
      <c r="G19" s="69"/>
      <c r="H19" s="69"/>
      <c r="I19" s="69"/>
      <c r="J19" s="69"/>
      <c r="K19" s="69"/>
      <c r="L19" s="69"/>
      <c r="M19" s="69"/>
      <c r="N19" s="69"/>
    </row>
    <row r="20" spans="1:14" s="343" customFormat="1" ht="20.100000000000001" customHeight="1" x14ac:dyDescent="0.4">
      <c r="A20" s="341"/>
      <c r="B20" s="341" t="s">
        <v>343</v>
      </c>
      <c r="C20" s="341" t="s">
        <v>342</v>
      </c>
      <c r="D20" s="342"/>
      <c r="E20" s="342"/>
      <c r="F20" s="342"/>
      <c r="G20" s="342"/>
      <c r="H20" s="342"/>
      <c r="I20" s="342"/>
      <c r="J20" s="342"/>
      <c r="K20" s="342"/>
      <c r="L20" s="342"/>
      <c r="M20" s="342"/>
      <c r="N20" s="342"/>
    </row>
    <row r="21" spans="1:14" ht="20.100000000000001" customHeight="1" x14ac:dyDescent="0.4">
      <c r="A21" s="70"/>
      <c r="B21" s="70"/>
      <c r="C21" s="70"/>
    </row>
    <row r="22" spans="1:14" ht="18.75" customHeight="1" x14ac:dyDescent="0.4">
      <c r="A22" s="70"/>
      <c r="B22" s="341" t="s">
        <v>255</v>
      </c>
      <c r="C22" s="341"/>
    </row>
    <row r="23" spans="1:14" ht="20.100000000000001" customHeight="1" x14ac:dyDescent="0.4">
      <c r="A23" s="70"/>
      <c r="B23" s="344" t="s">
        <v>256</v>
      </c>
      <c r="C23" s="341" t="s">
        <v>257</v>
      </c>
    </row>
    <row r="24" spans="1:14" ht="20.100000000000001" customHeight="1" x14ac:dyDescent="0.4">
      <c r="A24" s="70"/>
      <c r="B24" s="344" t="s">
        <v>258</v>
      </c>
      <c r="C24" s="341" t="s">
        <v>259</v>
      </c>
    </row>
    <row r="25" spans="1:14" ht="20.100000000000001" customHeight="1" x14ac:dyDescent="0.4">
      <c r="A25" s="70"/>
      <c r="B25" s="344" t="s">
        <v>260</v>
      </c>
      <c r="C25" s="341" t="s">
        <v>261</v>
      </c>
    </row>
    <row r="26" spans="1:14" ht="20.100000000000001" customHeight="1" x14ac:dyDescent="0.4">
      <c r="A26" s="70"/>
      <c r="B26" s="344" t="s">
        <v>262</v>
      </c>
      <c r="C26" s="341" t="s">
        <v>263</v>
      </c>
    </row>
    <row r="27" spans="1:14" ht="20.100000000000001" customHeight="1" x14ac:dyDescent="0.4">
      <c r="A27" s="70"/>
      <c r="B27" s="344" t="s">
        <v>174</v>
      </c>
      <c r="C27" s="341" t="s">
        <v>264</v>
      </c>
    </row>
    <row r="28" spans="1:14" ht="20.100000000000001" customHeight="1" x14ac:dyDescent="0.4">
      <c r="A28" s="70"/>
      <c r="B28" s="344" t="s">
        <v>265</v>
      </c>
      <c r="C28" s="341" t="s">
        <v>506</v>
      </c>
    </row>
    <row r="29" spans="1:14" ht="20.100000000000001" customHeight="1" x14ac:dyDescent="0.4">
      <c r="A29" s="70"/>
      <c r="B29" s="344" t="s">
        <v>266</v>
      </c>
      <c r="C29" s="341" t="s">
        <v>507</v>
      </c>
    </row>
    <row r="30" spans="1:14" ht="18.75" customHeight="1" x14ac:dyDescent="0.4">
      <c r="A30" s="70"/>
      <c r="B30" s="344" t="s">
        <v>267</v>
      </c>
      <c r="C30" s="341" t="s">
        <v>268</v>
      </c>
    </row>
    <row r="31" spans="1:14" ht="18.75" customHeight="1" x14ac:dyDescent="0.4">
      <c r="A31" s="70"/>
      <c r="B31" s="344"/>
      <c r="C31" s="341"/>
    </row>
    <row r="32" spans="1:14" ht="20.100000000000001" customHeight="1" x14ac:dyDescent="0.4">
      <c r="A32" s="70"/>
      <c r="B32" s="70"/>
      <c r="C32" s="70"/>
    </row>
    <row r="33" spans="1:14" x14ac:dyDescent="0.4">
      <c r="A33" s="71" t="s">
        <v>51</v>
      </c>
      <c r="B33" s="70"/>
      <c r="C33" s="70"/>
    </row>
    <row r="34" spans="1:14" ht="26.25" hidden="1" customHeight="1" x14ac:dyDescent="0.45">
      <c r="C34" s="72"/>
    </row>
    <row r="35" spans="1:14" ht="26.25" hidden="1" customHeight="1" x14ac:dyDescent="0.45">
      <c r="C35" s="72"/>
    </row>
    <row r="36" spans="1:14" ht="18.75" customHeight="1" x14ac:dyDescent="0.45">
      <c r="C36" s="339"/>
      <c r="D36" s="340"/>
    </row>
    <row r="37" spans="1:14" ht="25.2" x14ac:dyDescent="0.45">
      <c r="C37" s="72"/>
    </row>
    <row r="38" spans="1:14" ht="25.2" x14ac:dyDescent="0.45">
      <c r="C38" s="72"/>
    </row>
    <row r="39" spans="1:14" ht="25.2" x14ac:dyDescent="0.45">
      <c r="C39" s="339"/>
      <c r="D39" s="343"/>
      <c r="E39" s="343"/>
      <c r="F39" s="343"/>
      <c r="G39" s="343"/>
      <c r="H39" s="343"/>
      <c r="I39" s="343"/>
      <c r="J39" s="343"/>
      <c r="K39" s="343"/>
      <c r="L39" s="343"/>
      <c r="M39" s="343"/>
      <c r="N39" s="343"/>
    </row>
    <row r="40" spans="1:14" ht="25.2" x14ac:dyDescent="0.45">
      <c r="C40" s="72"/>
    </row>
    <row r="41" spans="1:14" ht="25.2" x14ac:dyDescent="0.45">
      <c r="C41" s="72"/>
    </row>
    <row r="42" spans="1:14" ht="25.2" x14ac:dyDescent="0.45">
      <c r="C42" s="72"/>
    </row>
    <row r="43" spans="1:14" ht="25.2" x14ac:dyDescent="0.45">
      <c r="C43" s="72"/>
    </row>
    <row r="44" spans="1:14" ht="25.2" x14ac:dyDescent="0.45">
      <c r="C44" s="72"/>
    </row>
    <row r="45" spans="1:14" ht="25.2" x14ac:dyDescent="0.45">
      <c r="C45" s="72"/>
    </row>
    <row r="46" spans="1:14" ht="25.2" x14ac:dyDescent="0.45">
      <c r="C46" s="72"/>
    </row>
    <row r="47" spans="1:14" ht="25.2" x14ac:dyDescent="0.45">
      <c r="C47" s="72"/>
    </row>
    <row r="48" spans="1:14" ht="25.2" x14ac:dyDescent="0.45">
      <c r="C48" s="72"/>
    </row>
    <row r="49" spans="3:3" ht="25.2" x14ac:dyDescent="0.45">
      <c r="C49" s="72"/>
    </row>
    <row r="50" spans="3:3" ht="25.2" x14ac:dyDescent="0.45">
      <c r="C50" s="72"/>
    </row>
    <row r="51" spans="3:3" ht="25.2" x14ac:dyDescent="0.45">
      <c r="C51" s="72"/>
    </row>
    <row r="52" spans="3:3" ht="25.2" x14ac:dyDescent="0.45">
      <c r="C52" s="72"/>
    </row>
    <row r="53" spans="3:3" ht="25.2" x14ac:dyDescent="0.45">
      <c r="C53" s="72"/>
    </row>
    <row r="54" spans="3:3" ht="25.2" x14ac:dyDescent="0.45">
      <c r="C54" s="72"/>
    </row>
    <row r="55" spans="3:3" ht="25.2" x14ac:dyDescent="0.45">
      <c r="C55" s="72"/>
    </row>
    <row r="56" spans="3:3" ht="25.2" x14ac:dyDescent="0.45">
      <c r="C56" s="72"/>
    </row>
    <row r="57" spans="3:3" ht="25.2" x14ac:dyDescent="0.45">
      <c r="C57" s="72"/>
    </row>
    <row r="58" spans="3:3" ht="25.2" x14ac:dyDescent="0.45">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130</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381001.17330438498</v>
      </c>
      <c r="C7" s="304">
        <v>407549.65517683298</v>
      </c>
      <c r="D7" s="345">
        <f t="shared" ref="D7:D10" si="0">IF(B7=0, "    ---- ", IF(ABS(ROUND(100/B7*C7-100,1))&lt;999,ROUND(100/B7*C7-100,1),IF(ROUND(100/B7*C7-100,1)&gt;999,999,-999)))</f>
        <v>7</v>
      </c>
      <c r="E7" s="11">
        <f>IFERROR(100/'Skjema total MA'!C7*C7,0)</f>
        <v>8.2811737775523397</v>
      </c>
      <c r="F7" s="303"/>
      <c r="G7" s="304"/>
      <c r="H7" s="345"/>
      <c r="I7" s="159"/>
      <c r="J7" s="305">
        <f t="shared" ref="J7:K10" si="1">SUM(B7,F7)</f>
        <v>381001.17330438498</v>
      </c>
      <c r="K7" s="306">
        <f t="shared" si="1"/>
        <v>407549.65517683298</v>
      </c>
      <c r="L7" s="421">
        <f t="shared" ref="L7:L10" si="2">IF(J7=0, "    ---- ", IF(ABS(ROUND(100/J7*K7-100,1))&lt;999,ROUND(100/J7*K7-100,1),IF(ROUND(100/J7*K7-100,1)&gt;999,999,-999)))</f>
        <v>7</v>
      </c>
      <c r="M7" s="11">
        <f>IFERROR(100/'Skjema total MA'!I7*K7,0)</f>
        <v>2.0731050051668953</v>
      </c>
    </row>
    <row r="8" spans="1:14" ht="15.6" x14ac:dyDescent="0.25">
      <c r="A8" s="21" t="s">
        <v>25</v>
      </c>
      <c r="B8" s="278">
        <v>261650.34432729101</v>
      </c>
      <c r="C8" s="279">
        <v>285267.726738622</v>
      </c>
      <c r="D8" s="165">
        <f t="shared" si="0"/>
        <v>9</v>
      </c>
      <c r="E8" s="27">
        <f>IFERROR(100/'Skjema total MA'!C8*C8,0)</f>
        <v>8.8071877478724137</v>
      </c>
      <c r="F8" s="282"/>
      <c r="G8" s="283"/>
      <c r="H8" s="165"/>
      <c r="I8" s="174"/>
      <c r="J8" s="232">
        <f t="shared" si="1"/>
        <v>261650.34432729101</v>
      </c>
      <c r="K8" s="284">
        <f t="shared" si="1"/>
        <v>285267.726738622</v>
      </c>
      <c r="L8" s="165">
        <f t="shared" si="2"/>
        <v>9</v>
      </c>
      <c r="M8" s="27">
        <f>IFERROR(100/'Skjema total MA'!I8*K8,0)</f>
        <v>8.8071877478724137</v>
      </c>
    </row>
    <row r="9" spans="1:14" ht="15.6" x14ac:dyDescent="0.25">
      <c r="A9" s="21" t="s">
        <v>24</v>
      </c>
      <c r="B9" s="278">
        <v>119350.828977094</v>
      </c>
      <c r="C9" s="279">
        <v>122281.92843821101</v>
      </c>
      <c r="D9" s="165">
        <f t="shared" si="0"/>
        <v>2.5</v>
      </c>
      <c r="E9" s="27">
        <f>IFERROR(100/'Skjema total MA'!C9*C9,0)</f>
        <v>12.264079658044453</v>
      </c>
      <c r="F9" s="282"/>
      <c r="G9" s="283"/>
      <c r="H9" s="165"/>
      <c r="I9" s="174"/>
      <c r="J9" s="232">
        <f t="shared" si="1"/>
        <v>119350.828977094</v>
      </c>
      <c r="K9" s="284">
        <f t="shared" si="1"/>
        <v>122281.92843821101</v>
      </c>
      <c r="L9" s="165">
        <f t="shared" si="2"/>
        <v>2.5</v>
      </c>
      <c r="M9" s="27">
        <f>IFERROR(100/'Skjema total MA'!I9*K9,0)</f>
        <v>12.264079658044453</v>
      </c>
    </row>
    <row r="10" spans="1:14" ht="15.6" x14ac:dyDescent="0.25">
      <c r="A10" s="13" t="s">
        <v>444</v>
      </c>
      <c r="B10" s="307">
        <v>513146.81849719601</v>
      </c>
      <c r="C10" s="308">
        <v>556565.27800000005</v>
      </c>
      <c r="D10" s="170">
        <f t="shared" si="0"/>
        <v>8.5</v>
      </c>
      <c r="E10" s="11">
        <f>IFERROR(100/'Skjema total MA'!C10*C10,0)</f>
        <v>2.9506106159794787</v>
      </c>
      <c r="F10" s="307"/>
      <c r="G10" s="308"/>
      <c r="H10" s="170"/>
      <c r="I10" s="159"/>
      <c r="J10" s="305">
        <f t="shared" si="1"/>
        <v>513146.81849719601</v>
      </c>
      <c r="K10" s="306">
        <f t="shared" si="1"/>
        <v>556565.27800000005</v>
      </c>
      <c r="L10" s="422">
        <f t="shared" si="2"/>
        <v>8.5</v>
      </c>
      <c r="M10" s="11">
        <f>IFERROR(100/'Skjema total MA'!I10*K10,0)</f>
        <v>0.578627450469129</v>
      </c>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186503.16401361101</v>
      </c>
      <c r="C28" s="284">
        <v>216078.24376196999</v>
      </c>
      <c r="D28" s="165">
        <f t="shared" ref="D28" si="3">IF(B28=0, "    ---- ", IF(ABS(ROUND(100/B28*C28-100,1))&lt;999,ROUND(100/B28*C28-100,1),IF(ROUND(100/B28*C28-100,1)&gt;999,999,-999)))</f>
        <v>15.9</v>
      </c>
      <c r="E28" s="11">
        <f>IFERROR(100/'Skjema total MA'!C28*C28,0)</f>
        <v>9.9112438468986799</v>
      </c>
      <c r="F28" s="232"/>
      <c r="G28" s="284"/>
      <c r="H28" s="165"/>
      <c r="I28" s="27"/>
      <c r="J28" s="44">
        <f t="shared" ref="J28" si="4">SUM(B28,F28)</f>
        <v>186503.16401361101</v>
      </c>
      <c r="K28" s="44">
        <f t="shared" ref="K28" si="5">SUM(C28,G28)</f>
        <v>216078.24376196999</v>
      </c>
      <c r="L28" s="252">
        <f t="shared" ref="L28" si="6">IF(J28=0, "    ---- ", IF(ABS(ROUND(100/J28*K28-100,1))&lt;999,ROUND(100/J28*K28-100,1),IF(ROUND(100/J28*K28-100,1)&gt;999,999,-999)))</f>
        <v>15.9</v>
      </c>
      <c r="M28" s="23">
        <f>IFERROR(100/'Skjema total MA'!I28*K28,0)</f>
        <v>9.9112438468986799</v>
      </c>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127487.56471999999</v>
      </c>
      <c r="C47" s="308">
        <v>127907.0653</v>
      </c>
      <c r="D47" s="421">
        <f t="shared" ref="D47:D57" si="7">IF(B47=0, "    ---- ", IF(ABS(ROUND(100/B47*C47-100,1))&lt;999,ROUND(100/B47*C47-100,1),IF(ROUND(100/B47*C47-100,1)&gt;999,999,-999)))</f>
        <v>0.3</v>
      </c>
      <c r="E47" s="11">
        <f>IFERROR(100/'Skjema total MA'!C47*C47,0)</f>
        <v>2.5109334369844332</v>
      </c>
      <c r="F47" s="144"/>
      <c r="G47" s="33"/>
      <c r="H47" s="158"/>
      <c r="I47" s="158"/>
      <c r="J47" s="37"/>
      <c r="K47" s="37"/>
      <c r="L47" s="158"/>
      <c r="M47" s="158"/>
      <c r="N47" s="147"/>
    </row>
    <row r="48" spans="1:14" s="3" customFormat="1" ht="15.6" x14ac:dyDescent="0.25">
      <c r="A48" s="38" t="s">
        <v>455</v>
      </c>
      <c r="B48" s="278">
        <v>127487.56471999999</v>
      </c>
      <c r="C48" s="279">
        <v>127907.0653</v>
      </c>
      <c r="D48" s="252">
        <f t="shared" si="7"/>
        <v>0.3</v>
      </c>
      <c r="E48" s="27">
        <f>IFERROR(100/'Skjema total MA'!C48*C48,0)</f>
        <v>4.516126086037116</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v>2624.6518760218</v>
      </c>
      <c r="C53" s="308">
        <v>7133.2978760218002</v>
      </c>
      <c r="D53" s="422">
        <f t="shared" si="7"/>
        <v>171.8</v>
      </c>
      <c r="E53" s="11">
        <f>IFERROR(100/'Skjema total MA'!C53*C53,0)</f>
        <v>2.6083999246537926</v>
      </c>
      <c r="F53" s="144"/>
      <c r="G53" s="33"/>
      <c r="H53" s="144"/>
      <c r="I53" s="144"/>
      <c r="J53" s="33"/>
      <c r="K53" s="33"/>
      <c r="L53" s="158"/>
      <c r="M53" s="158"/>
      <c r="N53" s="147"/>
    </row>
    <row r="54" spans="1:14" s="3" customFormat="1" ht="15.6" x14ac:dyDescent="0.25">
      <c r="A54" s="38" t="s">
        <v>455</v>
      </c>
      <c r="B54" s="278">
        <v>2624.6518760218</v>
      </c>
      <c r="C54" s="279">
        <v>7133.2978760218002</v>
      </c>
      <c r="D54" s="252">
        <f t="shared" si="7"/>
        <v>171.8</v>
      </c>
      <c r="E54" s="27">
        <f>IFERROR(100/'Skjema total MA'!C54*C54,0)</f>
        <v>2.6681617870319854</v>
      </c>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v>5890.2740000000003</v>
      </c>
      <c r="C56" s="308">
        <v>800.75400000000002</v>
      </c>
      <c r="D56" s="422">
        <f t="shared" si="7"/>
        <v>-86.4</v>
      </c>
      <c r="E56" s="11">
        <f>IFERROR(100/'Skjema total MA'!C56*C56,0)</f>
        <v>0.22422064220223303</v>
      </c>
      <c r="F56" s="144"/>
      <c r="G56" s="33"/>
      <c r="H56" s="144"/>
      <c r="I56" s="144"/>
      <c r="J56" s="33"/>
      <c r="K56" s="33"/>
      <c r="L56" s="158"/>
      <c r="M56" s="158"/>
      <c r="N56" s="147"/>
    </row>
    <row r="57" spans="1:14" s="3" customFormat="1" ht="15.6" x14ac:dyDescent="0.25">
      <c r="A57" s="38" t="s">
        <v>455</v>
      </c>
      <c r="B57" s="278">
        <v>5890.2740000000003</v>
      </c>
      <c r="C57" s="279">
        <v>800.75400000000002</v>
      </c>
      <c r="D57" s="252">
        <f t="shared" si="7"/>
        <v>-86.4</v>
      </c>
      <c r="E57" s="27">
        <f>IFERROR(100/'Skjema total MA'!C57*C57,0)</f>
        <v>0.22422064220223303</v>
      </c>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81" priority="132">
      <formula>kvartal &lt; 4</formula>
    </cfRule>
  </conditionalFormatting>
  <conditionalFormatting sqref="B69">
    <cfRule type="expression" dxfId="1780" priority="100">
      <formula>kvartal &lt; 4</formula>
    </cfRule>
  </conditionalFormatting>
  <conditionalFormatting sqref="C69">
    <cfRule type="expression" dxfId="1779" priority="99">
      <formula>kvartal &lt; 4</formula>
    </cfRule>
  </conditionalFormatting>
  <conditionalFormatting sqref="B72">
    <cfRule type="expression" dxfId="1778" priority="98">
      <formula>kvartal &lt; 4</formula>
    </cfRule>
  </conditionalFormatting>
  <conditionalFormatting sqref="C72">
    <cfRule type="expression" dxfId="1777" priority="97">
      <formula>kvartal &lt; 4</formula>
    </cfRule>
  </conditionalFormatting>
  <conditionalFormatting sqref="B80">
    <cfRule type="expression" dxfId="1776" priority="96">
      <formula>kvartal &lt; 4</formula>
    </cfRule>
  </conditionalFormatting>
  <conditionalFormatting sqref="C80">
    <cfRule type="expression" dxfId="1775" priority="95">
      <formula>kvartal &lt; 4</formula>
    </cfRule>
  </conditionalFormatting>
  <conditionalFormatting sqref="B83">
    <cfRule type="expression" dxfId="1774" priority="94">
      <formula>kvartal &lt; 4</formula>
    </cfRule>
  </conditionalFormatting>
  <conditionalFormatting sqref="C83">
    <cfRule type="expression" dxfId="1773" priority="93">
      <formula>kvartal &lt; 4</formula>
    </cfRule>
  </conditionalFormatting>
  <conditionalFormatting sqref="B90">
    <cfRule type="expression" dxfId="1772" priority="84">
      <formula>kvartal &lt; 4</formula>
    </cfRule>
  </conditionalFormatting>
  <conditionalFormatting sqref="C90">
    <cfRule type="expression" dxfId="1771" priority="83">
      <formula>kvartal &lt; 4</formula>
    </cfRule>
  </conditionalFormatting>
  <conditionalFormatting sqref="B93">
    <cfRule type="expression" dxfId="1770" priority="82">
      <formula>kvartal &lt; 4</formula>
    </cfRule>
  </conditionalFormatting>
  <conditionalFormatting sqref="C93">
    <cfRule type="expression" dxfId="1769" priority="81">
      <formula>kvartal &lt; 4</formula>
    </cfRule>
  </conditionalFormatting>
  <conditionalFormatting sqref="B101">
    <cfRule type="expression" dxfId="1768" priority="80">
      <formula>kvartal &lt; 4</formula>
    </cfRule>
  </conditionalFormatting>
  <conditionalFormatting sqref="C101">
    <cfRule type="expression" dxfId="1767" priority="79">
      <formula>kvartal &lt; 4</formula>
    </cfRule>
  </conditionalFormatting>
  <conditionalFormatting sqref="B104">
    <cfRule type="expression" dxfId="1766" priority="78">
      <formula>kvartal &lt; 4</formula>
    </cfRule>
  </conditionalFormatting>
  <conditionalFormatting sqref="C104">
    <cfRule type="expression" dxfId="1765" priority="77">
      <formula>kvartal &lt; 4</formula>
    </cfRule>
  </conditionalFormatting>
  <conditionalFormatting sqref="B115">
    <cfRule type="expression" dxfId="1764" priority="76">
      <formula>kvartal &lt; 4</formula>
    </cfRule>
  </conditionalFormatting>
  <conditionalFormatting sqref="C115">
    <cfRule type="expression" dxfId="1763" priority="75">
      <formula>kvartal &lt; 4</formula>
    </cfRule>
  </conditionalFormatting>
  <conditionalFormatting sqref="B123">
    <cfRule type="expression" dxfId="1762" priority="74">
      <formula>kvartal &lt; 4</formula>
    </cfRule>
  </conditionalFormatting>
  <conditionalFormatting sqref="C123">
    <cfRule type="expression" dxfId="1761" priority="73">
      <formula>kvartal &lt; 4</formula>
    </cfRule>
  </conditionalFormatting>
  <conditionalFormatting sqref="F70">
    <cfRule type="expression" dxfId="1760" priority="72">
      <formula>kvartal &lt; 4</formula>
    </cfRule>
  </conditionalFormatting>
  <conditionalFormatting sqref="G70">
    <cfRule type="expression" dxfId="1759" priority="71">
      <formula>kvartal &lt; 4</formula>
    </cfRule>
  </conditionalFormatting>
  <conditionalFormatting sqref="F71:G71">
    <cfRule type="expression" dxfId="1758" priority="70">
      <formula>kvartal &lt; 4</formula>
    </cfRule>
  </conditionalFormatting>
  <conditionalFormatting sqref="F73:G74">
    <cfRule type="expression" dxfId="1757" priority="69">
      <formula>kvartal &lt; 4</formula>
    </cfRule>
  </conditionalFormatting>
  <conditionalFormatting sqref="F81:G82">
    <cfRule type="expression" dxfId="1756" priority="68">
      <formula>kvartal &lt; 4</formula>
    </cfRule>
  </conditionalFormatting>
  <conditionalFormatting sqref="F84:G85">
    <cfRule type="expression" dxfId="1755" priority="67">
      <formula>kvartal &lt; 4</formula>
    </cfRule>
  </conditionalFormatting>
  <conditionalFormatting sqref="F91:G92">
    <cfRule type="expression" dxfId="1754" priority="62">
      <formula>kvartal &lt; 4</formula>
    </cfRule>
  </conditionalFormatting>
  <conditionalFormatting sqref="F94:G95">
    <cfRule type="expression" dxfId="1753" priority="61">
      <formula>kvartal &lt; 4</formula>
    </cfRule>
  </conditionalFormatting>
  <conditionalFormatting sqref="F102:G103">
    <cfRule type="expression" dxfId="1752" priority="60">
      <formula>kvartal &lt; 4</formula>
    </cfRule>
  </conditionalFormatting>
  <conditionalFormatting sqref="F105:G106">
    <cfRule type="expression" dxfId="1751" priority="59">
      <formula>kvartal &lt; 4</formula>
    </cfRule>
  </conditionalFormatting>
  <conditionalFormatting sqref="F115">
    <cfRule type="expression" dxfId="1750" priority="58">
      <formula>kvartal &lt; 4</formula>
    </cfRule>
  </conditionalFormatting>
  <conditionalFormatting sqref="G115">
    <cfRule type="expression" dxfId="1749" priority="57">
      <formula>kvartal &lt; 4</formula>
    </cfRule>
  </conditionalFormatting>
  <conditionalFormatting sqref="F123:G123">
    <cfRule type="expression" dxfId="1748" priority="56">
      <formula>kvartal &lt; 4</formula>
    </cfRule>
  </conditionalFormatting>
  <conditionalFormatting sqref="F69:G69">
    <cfRule type="expression" dxfId="1747" priority="55">
      <formula>kvartal &lt; 4</formula>
    </cfRule>
  </conditionalFormatting>
  <conditionalFormatting sqref="F72:G72">
    <cfRule type="expression" dxfId="1746" priority="54">
      <formula>kvartal &lt; 4</formula>
    </cfRule>
  </conditionalFormatting>
  <conditionalFormatting sqref="F80:G80">
    <cfRule type="expression" dxfId="1745" priority="53">
      <formula>kvartal &lt; 4</formula>
    </cfRule>
  </conditionalFormatting>
  <conditionalFormatting sqref="F83:G83">
    <cfRule type="expression" dxfId="1744" priority="52">
      <formula>kvartal &lt; 4</formula>
    </cfRule>
  </conditionalFormatting>
  <conditionalFormatting sqref="F90:G90">
    <cfRule type="expression" dxfId="1743" priority="46">
      <formula>kvartal &lt; 4</formula>
    </cfRule>
  </conditionalFormatting>
  <conditionalFormatting sqref="F93">
    <cfRule type="expression" dxfId="1742" priority="45">
      <formula>kvartal &lt; 4</formula>
    </cfRule>
  </conditionalFormatting>
  <conditionalFormatting sqref="G93">
    <cfRule type="expression" dxfId="1741" priority="44">
      <formula>kvartal &lt; 4</formula>
    </cfRule>
  </conditionalFormatting>
  <conditionalFormatting sqref="F101">
    <cfRule type="expression" dxfId="1740" priority="43">
      <formula>kvartal &lt; 4</formula>
    </cfRule>
  </conditionalFormatting>
  <conditionalFormatting sqref="G101">
    <cfRule type="expression" dxfId="1739" priority="42">
      <formula>kvartal &lt; 4</formula>
    </cfRule>
  </conditionalFormatting>
  <conditionalFormatting sqref="G104">
    <cfRule type="expression" dxfId="1738" priority="41">
      <formula>kvartal &lt; 4</formula>
    </cfRule>
  </conditionalFormatting>
  <conditionalFormatting sqref="F104">
    <cfRule type="expression" dxfId="1737" priority="40">
      <formula>kvartal &lt; 4</formula>
    </cfRule>
  </conditionalFormatting>
  <conditionalFormatting sqref="J69:K73">
    <cfRule type="expression" dxfId="1736" priority="39">
      <formula>kvartal &lt; 4</formula>
    </cfRule>
  </conditionalFormatting>
  <conditionalFormatting sqref="J74:K74">
    <cfRule type="expression" dxfId="1735" priority="38">
      <formula>kvartal &lt; 4</formula>
    </cfRule>
  </conditionalFormatting>
  <conditionalFormatting sqref="J80:K85">
    <cfRule type="expression" dxfId="1734" priority="37">
      <formula>kvartal &lt; 4</formula>
    </cfRule>
  </conditionalFormatting>
  <conditionalFormatting sqref="J90:K95">
    <cfRule type="expression" dxfId="1733" priority="34">
      <formula>kvartal &lt; 4</formula>
    </cfRule>
  </conditionalFormatting>
  <conditionalFormatting sqref="J101:K106">
    <cfRule type="expression" dxfId="1732" priority="33">
      <formula>kvartal &lt; 4</formula>
    </cfRule>
  </conditionalFormatting>
  <conditionalFormatting sqref="J115:K115">
    <cfRule type="expression" dxfId="1731" priority="32">
      <formula>kvartal &lt; 4</formula>
    </cfRule>
  </conditionalFormatting>
  <conditionalFormatting sqref="J123:K123">
    <cfRule type="expression" dxfId="1730" priority="31">
      <formula>kvartal &lt; 4</formula>
    </cfRule>
  </conditionalFormatting>
  <conditionalFormatting sqref="A50:A52">
    <cfRule type="expression" dxfId="1729" priority="12">
      <formula>kvartal &lt; 4</formula>
    </cfRule>
  </conditionalFormatting>
  <conditionalFormatting sqref="A69:A74">
    <cfRule type="expression" dxfId="1728" priority="10">
      <formula>kvartal &lt; 4</formula>
    </cfRule>
  </conditionalFormatting>
  <conditionalFormatting sqref="A80:A85">
    <cfRule type="expression" dxfId="1727" priority="9">
      <formula>kvartal &lt; 4</formula>
    </cfRule>
  </conditionalFormatting>
  <conditionalFormatting sqref="A90:A95">
    <cfRule type="expression" dxfId="1726" priority="6">
      <formula>kvartal &lt; 4</formula>
    </cfRule>
  </conditionalFormatting>
  <conditionalFormatting sqref="A101:A106">
    <cfRule type="expression" dxfId="1725" priority="5">
      <formula>kvartal &lt; 4</formula>
    </cfRule>
  </conditionalFormatting>
  <conditionalFormatting sqref="A115">
    <cfRule type="expression" dxfId="1724" priority="4">
      <formula>kvartal &lt; 4</formula>
    </cfRule>
  </conditionalFormatting>
  <conditionalFormatting sqref="A123">
    <cfRule type="expression" dxfId="1723" priority="3">
      <formula>kvartal &lt; 4</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781" t="s">
        <v>484</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803"/>
      <c r="B3" s="796"/>
      <c r="C3" s="804"/>
      <c r="D3" s="796"/>
      <c r="E3" s="7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11672</v>
      </c>
      <c r="C7" s="304"/>
      <c r="D7" s="345"/>
      <c r="E7" s="11"/>
      <c r="F7" s="303"/>
      <c r="G7" s="304"/>
      <c r="H7" s="345"/>
      <c r="I7" s="159"/>
      <c r="J7" s="305">
        <f t="shared" ref="J7:K10" si="0">SUM(B7,F7)</f>
        <v>11672</v>
      </c>
      <c r="K7" s="306">
        <f t="shared" si="0"/>
        <v>0</v>
      </c>
      <c r="L7" s="421">
        <f t="shared" ref="L7:L10" si="1">IF(J7=0, "    ---- ", IF(ABS(ROUND(100/J7*K7-100,1))&lt;999,ROUND(100/J7*K7-100,1),IF(ROUND(100/J7*K7-100,1)&gt;999,999,-999)))</f>
        <v>-100</v>
      </c>
      <c r="M7" s="11">
        <f>IFERROR(100/'Skjema total MA'!I7*K7,0)</f>
        <v>0</v>
      </c>
    </row>
    <row r="8" spans="1:14" ht="15.6" x14ac:dyDescent="0.25">
      <c r="A8" s="21" t="s">
        <v>25</v>
      </c>
      <c r="B8" s="278">
        <v>7536</v>
      </c>
      <c r="C8" s="279"/>
      <c r="D8" s="165"/>
      <c r="E8" s="27"/>
      <c r="F8" s="282"/>
      <c r="G8" s="283"/>
      <c r="H8" s="165"/>
      <c r="I8" s="174"/>
      <c r="J8" s="232">
        <f t="shared" si="0"/>
        <v>7536</v>
      </c>
      <c r="K8" s="284">
        <f t="shared" si="0"/>
        <v>0</v>
      </c>
      <c r="L8" s="165">
        <f t="shared" si="1"/>
        <v>-100</v>
      </c>
      <c r="M8" s="27">
        <f>IFERROR(100/'Skjema total MA'!I8*K8,0)</f>
        <v>0</v>
      </c>
    </row>
    <row r="9" spans="1:14" ht="15.6" x14ac:dyDescent="0.25">
      <c r="A9" s="21" t="s">
        <v>24</v>
      </c>
      <c r="B9" s="278">
        <v>4136</v>
      </c>
      <c r="C9" s="279"/>
      <c r="D9" s="165"/>
      <c r="E9" s="27"/>
      <c r="F9" s="282"/>
      <c r="G9" s="283"/>
      <c r="H9" s="165"/>
      <c r="I9" s="174"/>
      <c r="J9" s="232">
        <f t="shared" si="0"/>
        <v>4136</v>
      </c>
      <c r="K9" s="284">
        <f t="shared" si="0"/>
        <v>0</v>
      </c>
      <c r="L9" s="165">
        <f t="shared" si="1"/>
        <v>-100</v>
      </c>
      <c r="M9" s="27">
        <f>IFERROR(100/'Skjema total MA'!I9*K9,0)</f>
        <v>0</v>
      </c>
    </row>
    <row r="10" spans="1:14" ht="15.6" x14ac:dyDescent="0.25">
      <c r="A10" s="13" t="s">
        <v>444</v>
      </c>
      <c r="B10" s="307">
        <v>2056</v>
      </c>
      <c r="C10" s="308"/>
      <c r="D10" s="170"/>
      <c r="E10" s="11"/>
      <c r="F10" s="307"/>
      <c r="G10" s="308"/>
      <c r="H10" s="170"/>
      <c r="I10" s="159"/>
      <c r="J10" s="305">
        <f t="shared" si="0"/>
        <v>2056</v>
      </c>
      <c r="K10" s="306">
        <f t="shared" si="0"/>
        <v>0</v>
      </c>
      <c r="L10" s="422">
        <f t="shared" si="1"/>
        <v>-100</v>
      </c>
      <c r="M10" s="11">
        <f>IFERROR(100/'Skjema total MA'!I10*K10,0)</f>
        <v>0</v>
      </c>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2991</v>
      </c>
      <c r="C47" s="308"/>
      <c r="D47" s="421">
        <f t="shared" ref="D47:D48" si="2">IF(B47=0, "    ---- ", IF(ABS(ROUND(100/B47*C47-100,1))&lt;999,ROUND(100/B47*C47-100,1),IF(ROUND(100/B47*C47-100,1)&gt;999,999,-999)))</f>
        <v>-100</v>
      </c>
      <c r="E47" s="11">
        <f>IFERROR(100/'Skjema total MA'!C47*C47,0)</f>
        <v>0</v>
      </c>
      <c r="F47" s="144"/>
      <c r="G47" s="33"/>
      <c r="H47" s="158"/>
      <c r="I47" s="158"/>
      <c r="J47" s="37"/>
      <c r="K47" s="37"/>
      <c r="L47" s="158"/>
      <c r="M47" s="158"/>
      <c r="N47" s="147"/>
    </row>
    <row r="48" spans="1:14" s="3" customFormat="1" ht="15.6" x14ac:dyDescent="0.25">
      <c r="A48" s="38" t="s">
        <v>455</v>
      </c>
      <c r="B48" s="278">
        <v>2991</v>
      </c>
      <c r="C48" s="279"/>
      <c r="D48" s="252">
        <f t="shared" si="2"/>
        <v>-100</v>
      </c>
      <c r="E48" s="27">
        <f>IFERROR(100/'Skjema total MA'!C48*C48,0)</f>
        <v>0</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22" priority="132">
      <formula>kvartal &lt; 4</formula>
    </cfRule>
  </conditionalFormatting>
  <conditionalFormatting sqref="B69">
    <cfRule type="expression" dxfId="1721" priority="100">
      <formula>kvartal &lt; 4</formula>
    </cfRule>
  </conditionalFormatting>
  <conditionalFormatting sqref="C69">
    <cfRule type="expression" dxfId="1720" priority="99">
      <formula>kvartal &lt; 4</formula>
    </cfRule>
  </conditionalFormatting>
  <conditionalFormatting sqref="B72">
    <cfRule type="expression" dxfId="1719" priority="98">
      <formula>kvartal &lt; 4</formula>
    </cfRule>
  </conditionalFormatting>
  <conditionalFormatting sqref="C72">
    <cfRule type="expression" dxfId="1718" priority="97">
      <formula>kvartal &lt; 4</formula>
    </cfRule>
  </conditionalFormatting>
  <conditionalFormatting sqref="B80">
    <cfRule type="expression" dxfId="1717" priority="96">
      <formula>kvartal &lt; 4</formula>
    </cfRule>
  </conditionalFormatting>
  <conditionalFormatting sqref="C80">
    <cfRule type="expression" dxfId="1716" priority="95">
      <formula>kvartal &lt; 4</formula>
    </cfRule>
  </conditionalFormatting>
  <conditionalFormatting sqref="B83">
    <cfRule type="expression" dxfId="1715" priority="94">
      <formula>kvartal &lt; 4</formula>
    </cfRule>
  </conditionalFormatting>
  <conditionalFormatting sqref="C83">
    <cfRule type="expression" dxfId="1714" priority="93">
      <formula>kvartal &lt; 4</formula>
    </cfRule>
  </conditionalFormatting>
  <conditionalFormatting sqref="B90">
    <cfRule type="expression" dxfId="1713" priority="84">
      <formula>kvartal &lt; 4</formula>
    </cfRule>
  </conditionalFormatting>
  <conditionalFormatting sqref="C90">
    <cfRule type="expression" dxfId="1712" priority="83">
      <formula>kvartal &lt; 4</formula>
    </cfRule>
  </conditionalFormatting>
  <conditionalFormatting sqref="B93">
    <cfRule type="expression" dxfId="1711" priority="82">
      <formula>kvartal &lt; 4</formula>
    </cfRule>
  </conditionalFormatting>
  <conditionalFormatting sqref="C93">
    <cfRule type="expression" dxfId="1710" priority="81">
      <formula>kvartal &lt; 4</formula>
    </cfRule>
  </conditionalFormatting>
  <conditionalFormatting sqref="B101">
    <cfRule type="expression" dxfId="1709" priority="80">
      <formula>kvartal &lt; 4</formula>
    </cfRule>
  </conditionalFormatting>
  <conditionalFormatting sqref="C101">
    <cfRule type="expression" dxfId="1708" priority="79">
      <formula>kvartal &lt; 4</formula>
    </cfRule>
  </conditionalFormatting>
  <conditionalFormatting sqref="B104">
    <cfRule type="expression" dxfId="1707" priority="78">
      <formula>kvartal &lt; 4</formula>
    </cfRule>
  </conditionalFormatting>
  <conditionalFormatting sqref="C104">
    <cfRule type="expression" dxfId="1706" priority="77">
      <formula>kvartal &lt; 4</formula>
    </cfRule>
  </conditionalFormatting>
  <conditionalFormatting sqref="B115">
    <cfRule type="expression" dxfId="1705" priority="76">
      <formula>kvartal &lt; 4</formula>
    </cfRule>
  </conditionalFormatting>
  <conditionalFormatting sqref="C115">
    <cfRule type="expression" dxfId="1704" priority="75">
      <formula>kvartal &lt; 4</formula>
    </cfRule>
  </conditionalFormatting>
  <conditionalFormatting sqref="B123">
    <cfRule type="expression" dxfId="1703" priority="74">
      <formula>kvartal &lt; 4</formula>
    </cfRule>
  </conditionalFormatting>
  <conditionalFormatting sqref="C123">
    <cfRule type="expression" dxfId="1702" priority="73">
      <formula>kvartal &lt; 4</formula>
    </cfRule>
  </conditionalFormatting>
  <conditionalFormatting sqref="F70">
    <cfRule type="expression" dxfId="1701" priority="72">
      <formula>kvartal &lt; 4</formula>
    </cfRule>
  </conditionalFormatting>
  <conditionalFormatting sqref="G70">
    <cfRule type="expression" dxfId="1700" priority="71">
      <formula>kvartal &lt; 4</formula>
    </cfRule>
  </conditionalFormatting>
  <conditionalFormatting sqref="F71:G71">
    <cfRule type="expression" dxfId="1699" priority="70">
      <formula>kvartal &lt; 4</formula>
    </cfRule>
  </conditionalFormatting>
  <conditionalFormatting sqref="F73:G74">
    <cfRule type="expression" dxfId="1698" priority="69">
      <formula>kvartal &lt; 4</formula>
    </cfRule>
  </conditionalFormatting>
  <conditionalFormatting sqref="F81:G82">
    <cfRule type="expression" dxfId="1697" priority="68">
      <formula>kvartal &lt; 4</formula>
    </cfRule>
  </conditionalFormatting>
  <conditionalFormatting sqref="F84:G85">
    <cfRule type="expression" dxfId="1696" priority="67">
      <formula>kvartal &lt; 4</formula>
    </cfRule>
  </conditionalFormatting>
  <conditionalFormatting sqref="F91:G92">
    <cfRule type="expression" dxfId="1695" priority="62">
      <formula>kvartal &lt; 4</formula>
    </cfRule>
  </conditionalFormatting>
  <conditionalFormatting sqref="F94:G95">
    <cfRule type="expression" dxfId="1694" priority="61">
      <formula>kvartal &lt; 4</formula>
    </cfRule>
  </conditionalFormatting>
  <conditionalFormatting sqref="F102:G103">
    <cfRule type="expression" dxfId="1693" priority="60">
      <formula>kvartal &lt; 4</formula>
    </cfRule>
  </conditionalFormatting>
  <conditionalFormatting sqref="F105:G106">
    <cfRule type="expression" dxfId="1692" priority="59">
      <formula>kvartal &lt; 4</formula>
    </cfRule>
  </conditionalFormatting>
  <conditionalFormatting sqref="F115">
    <cfRule type="expression" dxfId="1691" priority="58">
      <formula>kvartal &lt; 4</formula>
    </cfRule>
  </conditionalFormatting>
  <conditionalFormatting sqref="G115">
    <cfRule type="expression" dxfId="1690" priority="57">
      <formula>kvartal &lt; 4</formula>
    </cfRule>
  </conditionalFormatting>
  <conditionalFormatting sqref="F123:G123">
    <cfRule type="expression" dxfId="1689" priority="56">
      <formula>kvartal &lt; 4</formula>
    </cfRule>
  </conditionalFormatting>
  <conditionalFormatting sqref="F69:G69">
    <cfRule type="expression" dxfId="1688" priority="55">
      <formula>kvartal &lt; 4</formula>
    </cfRule>
  </conditionalFormatting>
  <conditionalFormatting sqref="F72:G72">
    <cfRule type="expression" dxfId="1687" priority="54">
      <formula>kvartal &lt; 4</formula>
    </cfRule>
  </conditionalFormatting>
  <conditionalFormatting sqref="F80:G80">
    <cfRule type="expression" dxfId="1686" priority="53">
      <formula>kvartal &lt; 4</formula>
    </cfRule>
  </conditionalFormatting>
  <conditionalFormatting sqref="F83:G83">
    <cfRule type="expression" dxfId="1685" priority="52">
      <formula>kvartal &lt; 4</formula>
    </cfRule>
  </conditionalFormatting>
  <conditionalFormatting sqref="F90:G90">
    <cfRule type="expression" dxfId="1684" priority="46">
      <formula>kvartal &lt; 4</formula>
    </cfRule>
  </conditionalFormatting>
  <conditionalFormatting sqref="F93">
    <cfRule type="expression" dxfId="1683" priority="45">
      <formula>kvartal &lt; 4</formula>
    </cfRule>
  </conditionalFormatting>
  <conditionalFormatting sqref="G93">
    <cfRule type="expression" dxfId="1682" priority="44">
      <formula>kvartal &lt; 4</formula>
    </cfRule>
  </conditionalFormatting>
  <conditionalFormatting sqref="F101">
    <cfRule type="expression" dxfId="1681" priority="43">
      <formula>kvartal &lt; 4</formula>
    </cfRule>
  </conditionalFormatting>
  <conditionalFormatting sqref="G101">
    <cfRule type="expression" dxfId="1680" priority="42">
      <formula>kvartal &lt; 4</formula>
    </cfRule>
  </conditionalFormatting>
  <conditionalFormatting sqref="G104">
    <cfRule type="expression" dxfId="1679" priority="41">
      <formula>kvartal &lt; 4</formula>
    </cfRule>
  </conditionalFormatting>
  <conditionalFormatting sqref="F104">
    <cfRule type="expression" dxfId="1678" priority="40">
      <formula>kvartal &lt; 4</formula>
    </cfRule>
  </conditionalFormatting>
  <conditionalFormatting sqref="J69:K73">
    <cfRule type="expression" dxfId="1677" priority="39">
      <formula>kvartal &lt; 4</formula>
    </cfRule>
  </conditionalFormatting>
  <conditionalFormatting sqref="J74:K74">
    <cfRule type="expression" dxfId="1676" priority="38">
      <formula>kvartal &lt; 4</formula>
    </cfRule>
  </conditionalFormatting>
  <conditionalFormatting sqref="J80:K85">
    <cfRule type="expression" dxfId="1675" priority="37">
      <formula>kvartal &lt; 4</formula>
    </cfRule>
  </conditionalFormatting>
  <conditionalFormatting sqref="J90:K95">
    <cfRule type="expression" dxfId="1674" priority="34">
      <formula>kvartal &lt; 4</formula>
    </cfRule>
  </conditionalFormatting>
  <conditionalFormatting sqref="J101:K106">
    <cfRule type="expression" dxfId="1673" priority="33">
      <formula>kvartal &lt; 4</formula>
    </cfRule>
  </conditionalFormatting>
  <conditionalFormatting sqref="J115:K115">
    <cfRule type="expression" dxfId="1672" priority="32">
      <formula>kvartal &lt; 4</formula>
    </cfRule>
  </conditionalFormatting>
  <conditionalFormatting sqref="J123:K123">
    <cfRule type="expression" dxfId="1671" priority="31">
      <formula>kvartal &lt; 4</formula>
    </cfRule>
  </conditionalFormatting>
  <conditionalFormatting sqref="A50:A52">
    <cfRule type="expression" dxfId="1670" priority="12">
      <formula>kvartal &lt; 4</formula>
    </cfRule>
  </conditionalFormatting>
  <conditionalFormatting sqref="A69:A74">
    <cfRule type="expression" dxfId="1669" priority="10">
      <formula>kvartal &lt; 4</formula>
    </cfRule>
  </conditionalFormatting>
  <conditionalFormatting sqref="A80:A85">
    <cfRule type="expression" dxfId="1668" priority="9">
      <formula>kvartal &lt; 4</formula>
    </cfRule>
  </conditionalFormatting>
  <conditionalFormatting sqref="A90:A95">
    <cfRule type="expression" dxfId="1667" priority="6">
      <formula>kvartal &lt; 4</formula>
    </cfRule>
  </conditionalFormatting>
  <conditionalFormatting sqref="A101:A106">
    <cfRule type="expression" dxfId="1666" priority="5">
      <formula>kvartal &lt; 4</formula>
    </cfRule>
  </conditionalFormatting>
  <conditionalFormatting sqref="A115">
    <cfRule type="expression" dxfId="1665" priority="4">
      <formula>kvartal &lt; 4</formula>
    </cfRule>
  </conditionalFormatting>
  <conditionalFormatting sqref="A123">
    <cfRule type="expression" dxfId="1664"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63</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2524.9679599999999</v>
      </c>
      <c r="C47" s="308">
        <v>0</v>
      </c>
      <c r="D47" s="421">
        <f t="shared" ref="D47:D48" si="0">IF(B47=0, "    ---- ", IF(ABS(ROUND(100/B47*C47-100,1))&lt;999,ROUND(100/B47*C47-100,1),IF(ROUND(100/B47*C47-100,1)&gt;999,999,-999)))</f>
        <v>-100</v>
      </c>
      <c r="E47" s="11">
        <f>IFERROR(100/'Skjema total MA'!C47*C47,0)</f>
        <v>0</v>
      </c>
      <c r="F47" s="144"/>
      <c r="G47" s="33"/>
      <c r="H47" s="158"/>
      <c r="I47" s="158"/>
      <c r="J47" s="37"/>
      <c r="K47" s="37"/>
      <c r="L47" s="158"/>
      <c r="M47" s="158"/>
      <c r="N47" s="147"/>
    </row>
    <row r="48" spans="1:14" s="3" customFormat="1" ht="15.6" x14ac:dyDescent="0.25">
      <c r="A48" s="38" t="s">
        <v>455</v>
      </c>
      <c r="B48" s="278">
        <v>1001.35307</v>
      </c>
      <c r="C48" s="279">
        <v>0</v>
      </c>
      <c r="D48" s="252">
        <f t="shared" si="0"/>
        <v>-100</v>
      </c>
      <c r="E48" s="27">
        <f>IFERROR(100/'Skjema total MA'!C48*C48,0)</f>
        <v>0</v>
      </c>
      <c r="F48" s="144"/>
      <c r="G48" s="33"/>
      <c r="H48" s="144"/>
      <c r="I48" s="144"/>
      <c r="J48" s="33"/>
      <c r="K48" s="33"/>
      <c r="L48" s="158"/>
      <c r="M48" s="158"/>
      <c r="N48" s="147"/>
    </row>
    <row r="49" spans="1:14" s="3" customFormat="1" ht="15.6" x14ac:dyDescent="0.25">
      <c r="A49" s="38" t="s">
        <v>456</v>
      </c>
      <c r="B49" s="44">
        <v>1523.6148900000001</v>
      </c>
      <c r="C49" s="284">
        <v>0</v>
      </c>
      <c r="D49" s="252">
        <f>IF(B49=0, "    ---- ", IF(ABS(ROUND(100/B49*C49-100,1))&lt;999,ROUND(100/B49*C49-100,1),IF(ROUND(100/B49*C49-100,1)&gt;999,999,-999)))</f>
        <v>-100</v>
      </c>
      <c r="E49" s="27">
        <f>IFERROR(100/'Skjema total MA'!C49*C49,0)</f>
        <v>0</v>
      </c>
      <c r="F49" s="144"/>
      <c r="G49" s="33"/>
      <c r="H49" s="144"/>
      <c r="I49" s="144"/>
      <c r="J49" s="37"/>
      <c r="K49" s="37"/>
      <c r="L49" s="158"/>
      <c r="M49" s="158"/>
      <c r="N49" s="147"/>
    </row>
    <row r="50" spans="1:14" s="3" customFormat="1" x14ac:dyDescent="0.25">
      <c r="A50" s="293" t="s">
        <v>6</v>
      </c>
      <c r="B50" s="287">
        <v>1523.6148900000001</v>
      </c>
      <c r="C50" s="288">
        <v>0</v>
      </c>
      <c r="D50" s="252">
        <f>IF(B50=0, "    ---- ", IF(ABS(ROUND(100/B50*C50-100,1))&lt;999,ROUND(100/B50*C50-100,1),IF(ROUND(100/B50*C50-100,1)&gt;999,999,-999)))</f>
        <v>-100</v>
      </c>
      <c r="E50" s="27">
        <f>IFERROR(100/'Skjema total MA'!C50*C50,0)</f>
        <v>0</v>
      </c>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v>34174716.911899999</v>
      </c>
      <c r="C134" s="306">
        <v>50026045.50818</v>
      </c>
      <c r="D134" s="345">
        <f>IF(B134=0, "    ---- ", IF(ABS(ROUND(100/B134*C134-100,1))&lt;999,ROUND(100/B134*C134-100,1),IF(ROUND(100/B134*C134-100,1)&gt;999,999,-999)))</f>
        <v>46.4</v>
      </c>
      <c r="E134" s="11">
        <f>IFERROR(100/'Skjema total MA'!C134*C134,0)</f>
        <v>85.71872285645459</v>
      </c>
      <c r="F134" s="313">
        <v>74308.707999999999</v>
      </c>
      <c r="G134" s="314">
        <v>135009.071</v>
      </c>
      <c r="H134" s="425">
        <f>IF(F134=0, "    ---- ", IF(ABS(ROUND(100/F134*G134-100,1))&lt;999,ROUND(100/F134*G134-100,1),IF(ROUND(100/F134*G134-100,1)&gt;999,999,-999)))</f>
        <v>81.7</v>
      </c>
      <c r="I134" s="24">
        <f>IFERROR(100/'Skjema total MA'!F134*G134,0)</f>
        <v>100</v>
      </c>
      <c r="J134" s="315">
        <f t="shared" ref="J134:K137" si="1">SUM(B134,F134)</f>
        <v>34249025.619899996</v>
      </c>
      <c r="K134" s="315">
        <f t="shared" si="1"/>
        <v>50161054.579180002</v>
      </c>
      <c r="L134" s="421">
        <f>IF(J134=0, "    ---- ", IF(ABS(ROUND(100/J134*K134-100,1))&lt;999,ROUND(100/J134*K134-100,1),IF(ROUND(100/J134*K134-100,1)&gt;999,999,-999)))</f>
        <v>46.5</v>
      </c>
      <c r="M134" s="11">
        <f>IFERROR(100/'Skjema total MA'!I134*K134,0)</f>
        <v>85.751684282786755</v>
      </c>
      <c r="N134" s="147"/>
    </row>
    <row r="135" spans="1:14" s="3" customFormat="1" ht="15.6" x14ac:dyDescent="0.25">
      <c r="A135" s="13" t="s">
        <v>471</v>
      </c>
      <c r="B135" s="234">
        <v>537548840.24074996</v>
      </c>
      <c r="C135" s="306">
        <v>574122994.44806004</v>
      </c>
      <c r="D135" s="170">
        <f>IF(B135=0, "    ---- ", IF(ABS(ROUND(100/B135*C135-100,1))&lt;999,ROUND(100/B135*C135-100,1),IF(ROUND(100/B135*C135-100,1)&gt;999,999,-999)))</f>
        <v>6.8</v>
      </c>
      <c r="E135" s="11">
        <f>IFERROR(100/'Skjema total MA'!C135*C135,0)</f>
        <v>83.421250721870365</v>
      </c>
      <c r="F135" s="234">
        <v>2013752.24184</v>
      </c>
      <c r="G135" s="306">
        <v>2234333.4679299998</v>
      </c>
      <c r="H135" s="426">
        <f>IF(F135=0, "    ---- ", IF(ABS(ROUND(100/F135*G135-100,1))&lt;999,ROUND(100/F135*G135-100,1),IF(ROUND(100/F135*G135-100,1)&gt;999,999,-999)))</f>
        <v>11</v>
      </c>
      <c r="I135" s="24">
        <f>IFERROR(100/'Skjema total MA'!F135*G135,0)</f>
        <v>100</v>
      </c>
      <c r="J135" s="305">
        <f t="shared" si="1"/>
        <v>539562592.48258996</v>
      </c>
      <c r="K135" s="305">
        <f t="shared" si="1"/>
        <v>576357327.91599</v>
      </c>
      <c r="L135" s="422">
        <f>IF(J135=0, "    ---- ", IF(ABS(ROUND(100/J135*K135-100,1))&lt;999,ROUND(100/J135*K135-100,1),IF(ROUND(100/J135*K135-100,1)&gt;999,999,-999)))</f>
        <v>6.8</v>
      </c>
      <c r="M135" s="11">
        <f>IFERROR(100/'Skjema total MA'!I135*K135,0)</f>
        <v>83.474899995059388</v>
      </c>
      <c r="N135" s="147"/>
    </row>
    <row r="136" spans="1:14" s="3" customFormat="1" ht="15.6" x14ac:dyDescent="0.25">
      <c r="A136" s="13" t="s">
        <v>468</v>
      </c>
      <c r="B136" s="234">
        <v>3357566.0550000002</v>
      </c>
      <c r="C136" s="306">
        <v>0</v>
      </c>
      <c r="D136" s="170">
        <f>IF(B136=0, "    ---- ", IF(ABS(ROUND(100/B136*C136-100,1))&lt;999,ROUND(100/B136*C136-100,1),IF(ROUND(100/B136*C136-100,1)&gt;999,999,-999)))</f>
        <v>-100</v>
      </c>
      <c r="E136" s="11">
        <f>IFERROR(100/'Skjema total MA'!C136*C136,0)</f>
        <v>0</v>
      </c>
      <c r="F136" s="234">
        <v>-507465.17200000002</v>
      </c>
      <c r="G136" s="306">
        <v>0</v>
      </c>
      <c r="H136" s="426">
        <f>IF(F136=0, "    ---- ", IF(ABS(ROUND(100/F136*G136-100,1))&lt;999,ROUND(100/F136*G136-100,1),IF(ROUND(100/F136*G136-100,1)&gt;999,999,-999)))</f>
        <v>-100</v>
      </c>
      <c r="I136" s="24">
        <f>IFERROR(100/'Skjema total MA'!F136*G136,0)</f>
        <v>0</v>
      </c>
      <c r="J136" s="305">
        <f t="shared" si="1"/>
        <v>2850100.8830000004</v>
      </c>
      <c r="K136" s="305">
        <f t="shared" si="1"/>
        <v>0</v>
      </c>
      <c r="L136" s="422">
        <f>IF(J136=0, "    ---- ", IF(ABS(ROUND(100/J136*K136-100,1))&lt;999,ROUND(100/J136*K136-100,1),IF(ROUND(100/J136*K136-100,1)&gt;999,999,-999)))</f>
        <v>-100</v>
      </c>
      <c r="M136" s="11">
        <f>IFERROR(100/'Skjema total MA'!I136*K136,0)</f>
        <v>0</v>
      </c>
      <c r="N136" s="147"/>
    </row>
    <row r="137" spans="1:14" s="3" customFormat="1" ht="15.6" x14ac:dyDescent="0.25">
      <c r="A137" s="41" t="s">
        <v>469</v>
      </c>
      <c r="B137" s="273">
        <v>7656038.8039999995</v>
      </c>
      <c r="C137" s="312">
        <v>8346122.3590000002</v>
      </c>
      <c r="D137" s="168">
        <f>IF(B137=0, "    ---- ", IF(ABS(ROUND(100/B137*C137-100,1))&lt;999,ROUND(100/B137*C137-100,1),IF(ROUND(100/B137*C137-100,1)&gt;999,999,-999)))</f>
        <v>9</v>
      </c>
      <c r="E137" s="9">
        <f>IFERROR(100/'Skjema total MA'!C137*C137,0)</f>
        <v>100</v>
      </c>
      <c r="F137" s="273"/>
      <c r="G137" s="312"/>
      <c r="H137" s="427"/>
      <c r="I137" s="36"/>
      <c r="J137" s="311">
        <f t="shared" si="1"/>
        <v>7656038.8039999995</v>
      </c>
      <c r="K137" s="311">
        <f t="shared" si="1"/>
        <v>8346122.3590000002</v>
      </c>
      <c r="L137" s="423">
        <f>IF(J137=0, "    ---- ", IF(ABS(ROUND(100/J137*K137-100,1))&lt;999,ROUND(100/J137*K137-100,1),IF(ROUND(100/J137*K137-100,1)&gt;999,999,-999)))</f>
        <v>9</v>
      </c>
      <c r="M137" s="36">
        <f>IFERROR(100/'Skjema total MA'!I137*K137,0)</f>
        <v>100</v>
      </c>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663" priority="132">
      <formula>kvartal &lt; 4</formula>
    </cfRule>
  </conditionalFormatting>
  <conditionalFormatting sqref="B69">
    <cfRule type="expression" dxfId="1662" priority="100">
      <formula>kvartal &lt; 4</formula>
    </cfRule>
  </conditionalFormatting>
  <conditionalFormatting sqref="C69">
    <cfRule type="expression" dxfId="1661" priority="99">
      <formula>kvartal &lt; 4</formula>
    </cfRule>
  </conditionalFormatting>
  <conditionalFormatting sqref="B72">
    <cfRule type="expression" dxfId="1660" priority="98">
      <formula>kvartal &lt; 4</formula>
    </cfRule>
  </conditionalFormatting>
  <conditionalFormatting sqref="C72">
    <cfRule type="expression" dxfId="1659" priority="97">
      <formula>kvartal &lt; 4</formula>
    </cfRule>
  </conditionalFormatting>
  <conditionalFormatting sqref="B80">
    <cfRule type="expression" dxfId="1658" priority="96">
      <formula>kvartal &lt; 4</formula>
    </cfRule>
  </conditionalFormatting>
  <conditionalFormatting sqref="C80">
    <cfRule type="expression" dxfId="1657" priority="95">
      <formula>kvartal &lt; 4</formula>
    </cfRule>
  </conditionalFormatting>
  <conditionalFormatting sqref="B83">
    <cfRule type="expression" dxfId="1656" priority="94">
      <formula>kvartal &lt; 4</formula>
    </cfRule>
  </conditionalFormatting>
  <conditionalFormatting sqref="C83">
    <cfRule type="expression" dxfId="1655" priority="93">
      <formula>kvartal &lt; 4</formula>
    </cfRule>
  </conditionalFormatting>
  <conditionalFormatting sqref="B90">
    <cfRule type="expression" dxfId="1654" priority="84">
      <formula>kvartal &lt; 4</formula>
    </cfRule>
  </conditionalFormatting>
  <conditionalFormatting sqref="C90">
    <cfRule type="expression" dxfId="1653" priority="83">
      <formula>kvartal &lt; 4</formula>
    </cfRule>
  </conditionalFormatting>
  <conditionalFormatting sqref="B93">
    <cfRule type="expression" dxfId="1652" priority="82">
      <formula>kvartal &lt; 4</formula>
    </cfRule>
  </conditionalFormatting>
  <conditionalFormatting sqref="C93">
    <cfRule type="expression" dxfId="1651" priority="81">
      <formula>kvartal &lt; 4</formula>
    </cfRule>
  </conditionalFormatting>
  <conditionalFormatting sqref="B101">
    <cfRule type="expression" dxfId="1650" priority="80">
      <formula>kvartal &lt; 4</formula>
    </cfRule>
  </conditionalFormatting>
  <conditionalFormatting sqref="C101">
    <cfRule type="expression" dxfId="1649" priority="79">
      <formula>kvartal &lt; 4</formula>
    </cfRule>
  </conditionalFormatting>
  <conditionalFormatting sqref="B104">
    <cfRule type="expression" dxfId="1648" priority="78">
      <formula>kvartal &lt; 4</formula>
    </cfRule>
  </conditionalFormatting>
  <conditionalFormatting sqref="C104">
    <cfRule type="expression" dxfId="1647" priority="77">
      <formula>kvartal &lt; 4</formula>
    </cfRule>
  </conditionalFormatting>
  <conditionalFormatting sqref="B115">
    <cfRule type="expression" dxfId="1646" priority="76">
      <formula>kvartal &lt; 4</formula>
    </cfRule>
  </conditionalFormatting>
  <conditionalFormatting sqref="C115">
    <cfRule type="expression" dxfId="1645" priority="75">
      <formula>kvartal &lt; 4</formula>
    </cfRule>
  </conditionalFormatting>
  <conditionalFormatting sqref="B123">
    <cfRule type="expression" dxfId="1644" priority="74">
      <formula>kvartal &lt; 4</formula>
    </cfRule>
  </conditionalFormatting>
  <conditionalFormatting sqref="C123">
    <cfRule type="expression" dxfId="1643" priority="73">
      <formula>kvartal &lt; 4</formula>
    </cfRule>
  </conditionalFormatting>
  <conditionalFormatting sqref="F70">
    <cfRule type="expression" dxfId="1642" priority="72">
      <formula>kvartal &lt; 4</formula>
    </cfRule>
  </conditionalFormatting>
  <conditionalFormatting sqref="G70">
    <cfRule type="expression" dxfId="1641" priority="71">
      <formula>kvartal &lt; 4</formula>
    </cfRule>
  </conditionalFormatting>
  <conditionalFormatting sqref="F71:G71">
    <cfRule type="expression" dxfId="1640" priority="70">
      <formula>kvartal &lt; 4</formula>
    </cfRule>
  </conditionalFormatting>
  <conditionalFormatting sqref="F73:G74">
    <cfRule type="expression" dxfId="1639" priority="69">
      <formula>kvartal &lt; 4</formula>
    </cfRule>
  </conditionalFormatting>
  <conditionalFormatting sqref="F81:G82">
    <cfRule type="expression" dxfId="1638" priority="68">
      <formula>kvartal &lt; 4</formula>
    </cfRule>
  </conditionalFormatting>
  <conditionalFormatting sqref="F84:G85">
    <cfRule type="expression" dxfId="1637" priority="67">
      <formula>kvartal &lt; 4</formula>
    </cfRule>
  </conditionalFormatting>
  <conditionalFormatting sqref="F91:G92">
    <cfRule type="expression" dxfId="1636" priority="62">
      <formula>kvartal &lt; 4</formula>
    </cfRule>
  </conditionalFormatting>
  <conditionalFormatting sqref="F94:G95">
    <cfRule type="expression" dxfId="1635" priority="61">
      <formula>kvartal &lt; 4</formula>
    </cfRule>
  </conditionalFormatting>
  <conditionalFormatting sqref="F102:G103">
    <cfRule type="expression" dxfId="1634" priority="60">
      <formula>kvartal &lt; 4</formula>
    </cfRule>
  </conditionalFormatting>
  <conditionalFormatting sqref="F105:G106">
    <cfRule type="expression" dxfId="1633" priority="59">
      <formula>kvartal &lt; 4</formula>
    </cfRule>
  </conditionalFormatting>
  <conditionalFormatting sqref="F115">
    <cfRule type="expression" dxfId="1632" priority="58">
      <formula>kvartal &lt; 4</formula>
    </cfRule>
  </conditionalFormatting>
  <conditionalFormatting sqref="G115">
    <cfRule type="expression" dxfId="1631" priority="57">
      <formula>kvartal &lt; 4</formula>
    </cfRule>
  </conditionalFormatting>
  <conditionalFormatting sqref="F123:G123">
    <cfRule type="expression" dxfId="1630" priority="56">
      <formula>kvartal &lt; 4</formula>
    </cfRule>
  </conditionalFormatting>
  <conditionalFormatting sqref="F69:G69">
    <cfRule type="expression" dxfId="1629" priority="55">
      <formula>kvartal &lt; 4</formula>
    </cfRule>
  </conditionalFormatting>
  <conditionalFormatting sqref="F72:G72">
    <cfRule type="expression" dxfId="1628" priority="54">
      <formula>kvartal &lt; 4</formula>
    </cfRule>
  </conditionalFormatting>
  <conditionalFormatting sqref="F80:G80">
    <cfRule type="expression" dxfId="1627" priority="53">
      <formula>kvartal &lt; 4</formula>
    </cfRule>
  </conditionalFormatting>
  <conditionalFormatting sqref="F83:G83">
    <cfRule type="expression" dxfId="1626" priority="52">
      <formula>kvartal &lt; 4</formula>
    </cfRule>
  </conditionalFormatting>
  <conditionalFormatting sqref="F90:G90">
    <cfRule type="expression" dxfId="1625" priority="46">
      <formula>kvartal &lt; 4</formula>
    </cfRule>
  </conditionalFormatting>
  <conditionalFormatting sqref="F93">
    <cfRule type="expression" dxfId="1624" priority="45">
      <formula>kvartal &lt; 4</formula>
    </cfRule>
  </conditionalFormatting>
  <conditionalFormatting sqref="G93">
    <cfRule type="expression" dxfId="1623" priority="44">
      <formula>kvartal &lt; 4</formula>
    </cfRule>
  </conditionalFormatting>
  <conditionalFormatting sqref="F101">
    <cfRule type="expression" dxfId="1622" priority="43">
      <formula>kvartal &lt; 4</formula>
    </cfRule>
  </conditionalFormatting>
  <conditionalFormatting sqref="G101">
    <cfRule type="expression" dxfId="1621" priority="42">
      <formula>kvartal &lt; 4</formula>
    </cfRule>
  </conditionalFormatting>
  <conditionalFormatting sqref="G104">
    <cfRule type="expression" dxfId="1620" priority="41">
      <formula>kvartal &lt; 4</formula>
    </cfRule>
  </conditionalFormatting>
  <conditionalFormatting sqref="F104">
    <cfRule type="expression" dxfId="1619" priority="40">
      <formula>kvartal &lt; 4</formula>
    </cfRule>
  </conditionalFormatting>
  <conditionalFormatting sqref="J69:K73">
    <cfRule type="expression" dxfId="1618" priority="39">
      <formula>kvartal &lt; 4</formula>
    </cfRule>
  </conditionalFormatting>
  <conditionalFormatting sqref="J74:K74">
    <cfRule type="expression" dxfId="1617" priority="38">
      <formula>kvartal &lt; 4</formula>
    </cfRule>
  </conditionalFormatting>
  <conditionalFormatting sqref="J80:K85">
    <cfRule type="expression" dxfId="1616" priority="37">
      <formula>kvartal &lt; 4</formula>
    </cfRule>
  </conditionalFormatting>
  <conditionalFormatting sqref="J90:K95">
    <cfRule type="expression" dxfId="1615" priority="34">
      <formula>kvartal &lt; 4</formula>
    </cfRule>
  </conditionalFormatting>
  <conditionalFormatting sqref="J101:K106">
    <cfRule type="expression" dxfId="1614" priority="33">
      <formula>kvartal &lt; 4</formula>
    </cfRule>
  </conditionalFormatting>
  <conditionalFormatting sqref="J115:K115">
    <cfRule type="expression" dxfId="1613" priority="32">
      <formula>kvartal &lt; 4</formula>
    </cfRule>
  </conditionalFormatting>
  <conditionalFormatting sqref="J123:K123">
    <cfRule type="expression" dxfId="1612" priority="31">
      <formula>kvartal &lt; 4</formula>
    </cfRule>
  </conditionalFormatting>
  <conditionalFormatting sqref="A50:A52">
    <cfRule type="expression" dxfId="1611" priority="12">
      <formula>kvartal &lt; 4</formula>
    </cfRule>
  </conditionalFormatting>
  <conditionalFormatting sqref="A69:A74">
    <cfRule type="expression" dxfId="1610" priority="10">
      <formula>kvartal &lt; 4</formula>
    </cfRule>
  </conditionalFormatting>
  <conditionalFormatting sqref="A80:A85">
    <cfRule type="expression" dxfId="1609" priority="9">
      <formula>kvartal &lt; 4</formula>
    </cfRule>
  </conditionalFormatting>
  <conditionalFormatting sqref="A90:A95">
    <cfRule type="expression" dxfId="1608" priority="6">
      <formula>kvartal &lt; 4</formula>
    </cfRule>
  </conditionalFormatting>
  <conditionalFormatting sqref="A101:A106">
    <cfRule type="expression" dxfId="1607" priority="5">
      <formula>kvartal &lt; 4</formula>
    </cfRule>
  </conditionalFormatting>
  <conditionalFormatting sqref="A115">
    <cfRule type="expression" dxfId="1606" priority="4">
      <formula>kvartal &lt; 4</formula>
    </cfRule>
  </conditionalFormatting>
  <conditionalFormatting sqref="A123">
    <cfRule type="expression" dxfId="1605"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135</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13455</v>
      </c>
      <c r="C7" s="304">
        <v>22656.884999999998</v>
      </c>
      <c r="D7" s="345">
        <f t="shared" ref="D7:D10" si="0">IF(B7=0, "    ---- ", IF(ABS(ROUND(100/B7*C7-100,1))&lt;999,ROUND(100/B7*C7-100,1),IF(ROUND(100/B7*C7-100,1)&gt;999,999,-999)))</f>
        <v>68.400000000000006</v>
      </c>
      <c r="E7" s="11">
        <f>IFERROR(100/'Skjema total MA'!C7*C7,0)</f>
        <v>0.46037482687013798</v>
      </c>
      <c r="F7" s="303"/>
      <c r="G7" s="304"/>
      <c r="H7" s="345"/>
      <c r="I7" s="159"/>
      <c r="J7" s="305">
        <f t="shared" ref="J7:K10" si="1">SUM(B7,F7)</f>
        <v>13455</v>
      </c>
      <c r="K7" s="306">
        <f t="shared" si="1"/>
        <v>22656.884999999998</v>
      </c>
      <c r="L7" s="421">
        <f t="shared" ref="L7:L10" si="2">IF(J7=0, "    ---- ", IF(ABS(ROUND(100/J7*K7-100,1))&lt;999,ROUND(100/J7*K7-100,1),IF(ROUND(100/J7*K7-100,1)&gt;999,999,-999)))</f>
        <v>68.400000000000006</v>
      </c>
      <c r="M7" s="11">
        <f>IFERROR(100/'Skjema total MA'!I7*K7,0)</f>
        <v>0.11525000965737719</v>
      </c>
    </row>
    <row r="8" spans="1:14" ht="15.6" x14ac:dyDescent="0.25">
      <c r="A8" s="21" t="s">
        <v>25</v>
      </c>
      <c r="B8" s="278">
        <v>12705</v>
      </c>
      <c r="C8" s="279">
        <v>21500.223999999998</v>
      </c>
      <c r="D8" s="165">
        <f t="shared" si="0"/>
        <v>69.2</v>
      </c>
      <c r="E8" s="27">
        <f>IFERROR(100/'Skjema total MA'!C8*C8,0)</f>
        <v>0.66378525027757962</v>
      </c>
      <c r="F8" s="282"/>
      <c r="G8" s="283"/>
      <c r="H8" s="165"/>
      <c r="I8" s="174"/>
      <c r="J8" s="232">
        <f t="shared" si="1"/>
        <v>12705</v>
      </c>
      <c r="K8" s="284">
        <f t="shared" si="1"/>
        <v>21500.223999999998</v>
      </c>
      <c r="L8" s="165">
        <f t="shared" si="2"/>
        <v>69.2</v>
      </c>
      <c r="M8" s="27">
        <f>IFERROR(100/'Skjema total MA'!I8*K8,0)</f>
        <v>0.66378525027757962</v>
      </c>
    </row>
    <row r="9" spans="1:14" ht="15.6" x14ac:dyDescent="0.25">
      <c r="A9" s="21" t="s">
        <v>24</v>
      </c>
      <c r="B9" s="278">
        <v>750</v>
      </c>
      <c r="C9" s="279">
        <v>1156.6610000000001</v>
      </c>
      <c r="D9" s="165">
        <f t="shared" si="0"/>
        <v>54.2</v>
      </c>
      <c r="E9" s="27">
        <f>IFERROR(100/'Skjema total MA'!C9*C9,0)</f>
        <v>0.11600555227194688</v>
      </c>
      <c r="F9" s="282"/>
      <c r="G9" s="283"/>
      <c r="H9" s="165"/>
      <c r="I9" s="174"/>
      <c r="J9" s="232">
        <f t="shared" si="1"/>
        <v>750</v>
      </c>
      <c r="K9" s="284">
        <f t="shared" si="1"/>
        <v>1156.6610000000001</v>
      </c>
      <c r="L9" s="165">
        <f t="shared" si="2"/>
        <v>54.2</v>
      </c>
      <c r="M9" s="27">
        <f>IFERROR(100/'Skjema total MA'!I9*K9,0)</f>
        <v>0.11600555227194688</v>
      </c>
    </row>
    <row r="10" spans="1:14" ht="15.6" x14ac:dyDescent="0.25">
      <c r="A10" s="13" t="s">
        <v>444</v>
      </c>
      <c r="B10" s="307">
        <v>13198</v>
      </c>
      <c r="C10" s="308">
        <v>14918.69</v>
      </c>
      <c r="D10" s="170">
        <f t="shared" si="0"/>
        <v>13</v>
      </c>
      <c r="E10" s="11">
        <f>IFERROR(100/'Skjema total MA'!C10*C10,0)</f>
        <v>7.9090893432462533E-2</v>
      </c>
      <c r="F10" s="307"/>
      <c r="G10" s="308"/>
      <c r="H10" s="170"/>
      <c r="I10" s="159"/>
      <c r="J10" s="305">
        <f t="shared" si="1"/>
        <v>13198</v>
      </c>
      <c r="K10" s="306">
        <f t="shared" si="1"/>
        <v>14918.69</v>
      </c>
      <c r="L10" s="422">
        <f t="shared" si="2"/>
        <v>13</v>
      </c>
      <c r="M10" s="11">
        <f>IFERROR(100/'Skjema total MA'!I10*K10,0)</f>
        <v>1.5510064857188754E-2</v>
      </c>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14755</v>
      </c>
      <c r="C22" s="307">
        <v>21183.113000000001</v>
      </c>
      <c r="D22" s="345">
        <f t="shared" ref="D22:D29" si="3">IF(B22=0, "    ---- ", IF(ABS(ROUND(100/B22*C22-100,1))&lt;999,ROUND(100/B22*C22-100,1),IF(ROUND(100/B22*C22-100,1)&gt;999,999,-999)))</f>
        <v>43.6</v>
      </c>
      <c r="E22" s="11">
        <f>IFERROR(100/'Skjema total MA'!C22*C22,0)</f>
        <v>1.0967574235427082</v>
      </c>
      <c r="F22" s="315"/>
      <c r="G22" s="315"/>
      <c r="H22" s="345"/>
      <c r="I22" s="11"/>
      <c r="J22" s="313">
        <f t="shared" ref="J22:J29" si="4">SUM(B22,F22)</f>
        <v>14755</v>
      </c>
      <c r="K22" s="313">
        <f t="shared" ref="K22:K29" si="5">SUM(C22,G22)</f>
        <v>21183.113000000001</v>
      </c>
      <c r="L22" s="421">
        <f t="shared" ref="L22:L29" si="6">IF(J22=0, "    ---- ", IF(ABS(ROUND(100/J22*K22-100,1))&lt;999,ROUND(100/J22*K22-100,1),IF(ROUND(100/J22*K22-100,1)&gt;999,999,-999)))</f>
        <v>43.6</v>
      </c>
      <c r="M22" s="24">
        <f>IFERROR(100/'Skjema total MA'!I22*K22,0)</f>
        <v>0.58078649010350336</v>
      </c>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14755</v>
      </c>
      <c r="C28" s="284">
        <v>21183.113000000001</v>
      </c>
      <c r="D28" s="165">
        <f t="shared" si="3"/>
        <v>43.6</v>
      </c>
      <c r="E28" s="11">
        <f>IFERROR(100/'Skjema total MA'!C28*C28,0)</f>
        <v>0.97164339511519593</v>
      </c>
      <c r="F28" s="232"/>
      <c r="G28" s="284"/>
      <c r="H28" s="165"/>
      <c r="I28" s="27"/>
      <c r="J28" s="44">
        <f t="shared" si="4"/>
        <v>14755</v>
      </c>
      <c r="K28" s="44">
        <f t="shared" si="5"/>
        <v>21183.113000000001</v>
      </c>
      <c r="L28" s="252">
        <f t="shared" si="6"/>
        <v>43.6</v>
      </c>
      <c r="M28" s="23">
        <f>IFERROR(100/'Skjema total MA'!I28*K28,0)</f>
        <v>0.97164339511519593</v>
      </c>
    </row>
    <row r="29" spans="1:14" s="3" customFormat="1" ht="15.6" x14ac:dyDescent="0.25">
      <c r="A29" s="13" t="s">
        <v>444</v>
      </c>
      <c r="B29" s="234">
        <v>39798</v>
      </c>
      <c r="C29" s="234">
        <v>57168.627</v>
      </c>
      <c r="D29" s="170">
        <f t="shared" si="3"/>
        <v>43.6</v>
      </c>
      <c r="E29" s="11">
        <f>IFERROR(100/'Skjema total MA'!C29*C29,0)</f>
        <v>0.12615207466954553</v>
      </c>
      <c r="F29" s="305"/>
      <c r="G29" s="305"/>
      <c r="H29" s="170"/>
      <c r="I29" s="11"/>
      <c r="J29" s="234">
        <f t="shared" si="4"/>
        <v>39798</v>
      </c>
      <c r="K29" s="234">
        <f t="shared" si="5"/>
        <v>57168.627</v>
      </c>
      <c r="L29" s="422">
        <f t="shared" si="6"/>
        <v>43.6</v>
      </c>
      <c r="M29" s="24">
        <f>IFERROR(100/'Skjema total MA'!I29*K29,0)</f>
        <v>7.9342758006715669E-2</v>
      </c>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166508</v>
      </c>
      <c r="C47" s="308">
        <v>209936.88</v>
      </c>
      <c r="D47" s="421">
        <f t="shared" ref="D47:D48" si="7">IF(B47=0, "    ---- ", IF(ABS(ROUND(100/B47*C47-100,1))&lt;999,ROUND(100/B47*C47-100,1),IF(ROUND(100/B47*C47-100,1)&gt;999,999,-999)))</f>
        <v>26.1</v>
      </c>
      <c r="E47" s="11">
        <f>IFERROR(100/'Skjema total MA'!C47*C47,0)</f>
        <v>4.1212542122814897</v>
      </c>
      <c r="F47" s="144"/>
      <c r="G47" s="33"/>
      <c r="H47" s="158"/>
      <c r="I47" s="158"/>
      <c r="J47" s="37"/>
      <c r="K47" s="37"/>
      <c r="L47" s="158"/>
      <c r="M47" s="158"/>
      <c r="N47" s="147"/>
    </row>
    <row r="48" spans="1:14" s="3" customFormat="1" ht="15.6" x14ac:dyDescent="0.25">
      <c r="A48" s="38" t="s">
        <v>455</v>
      </c>
      <c r="B48" s="278">
        <v>166508</v>
      </c>
      <c r="C48" s="279">
        <v>209936.88</v>
      </c>
      <c r="D48" s="252">
        <f t="shared" si="7"/>
        <v>26.1</v>
      </c>
      <c r="E48" s="27">
        <f>IFERROR(100/'Skjema total MA'!C48*C48,0)</f>
        <v>7.412424153157736</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604" priority="132">
      <formula>kvartal &lt; 4</formula>
    </cfRule>
  </conditionalFormatting>
  <conditionalFormatting sqref="B69">
    <cfRule type="expression" dxfId="1603" priority="100">
      <formula>kvartal &lt; 4</formula>
    </cfRule>
  </conditionalFormatting>
  <conditionalFormatting sqref="C69">
    <cfRule type="expression" dxfId="1602" priority="99">
      <formula>kvartal &lt; 4</formula>
    </cfRule>
  </conditionalFormatting>
  <conditionalFormatting sqref="B72">
    <cfRule type="expression" dxfId="1601" priority="98">
      <formula>kvartal &lt; 4</formula>
    </cfRule>
  </conditionalFormatting>
  <conditionalFormatting sqref="C72">
    <cfRule type="expression" dxfId="1600" priority="97">
      <formula>kvartal &lt; 4</formula>
    </cfRule>
  </conditionalFormatting>
  <conditionalFormatting sqref="B80">
    <cfRule type="expression" dxfId="1599" priority="96">
      <formula>kvartal &lt; 4</formula>
    </cfRule>
  </conditionalFormatting>
  <conditionalFormatting sqref="C80">
    <cfRule type="expression" dxfId="1598" priority="95">
      <formula>kvartal &lt; 4</formula>
    </cfRule>
  </conditionalFormatting>
  <conditionalFormatting sqref="B83">
    <cfRule type="expression" dxfId="1597" priority="94">
      <formula>kvartal &lt; 4</formula>
    </cfRule>
  </conditionalFormatting>
  <conditionalFormatting sqref="C83">
    <cfRule type="expression" dxfId="1596" priority="93">
      <formula>kvartal &lt; 4</formula>
    </cfRule>
  </conditionalFormatting>
  <conditionalFormatting sqref="B90">
    <cfRule type="expression" dxfId="1595" priority="84">
      <formula>kvartal &lt; 4</formula>
    </cfRule>
  </conditionalFormatting>
  <conditionalFormatting sqref="C90">
    <cfRule type="expression" dxfId="1594" priority="83">
      <formula>kvartal &lt; 4</formula>
    </cfRule>
  </conditionalFormatting>
  <conditionalFormatting sqref="B93">
    <cfRule type="expression" dxfId="1593" priority="82">
      <formula>kvartal &lt; 4</formula>
    </cfRule>
  </conditionalFormatting>
  <conditionalFormatting sqref="C93">
    <cfRule type="expression" dxfId="1592" priority="81">
      <formula>kvartal &lt; 4</formula>
    </cfRule>
  </conditionalFormatting>
  <conditionalFormatting sqref="B101">
    <cfRule type="expression" dxfId="1591" priority="80">
      <formula>kvartal &lt; 4</formula>
    </cfRule>
  </conditionalFormatting>
  <conditionalFormatting sqref="C101">
    <cfRule type="expression" dxfId="1590" priority="79">
      <formula>kvartal &lt; 4</formula>
    </cfRule>
  </conditionalFormatting>
  <conditionalFormatting sqref="B104">
    <cfRule type="expression" dxfId="1589" priority="78">
      <formula>kvartal &lt; 4</formula>
    </cfRule>
  </conditionalFormatting>
  <conditionalFormatting sqref="C104">
    <cfRule type="expression" dxfId="1588" priority="77">
      <formula>kvartal &lt; 4</formula>
    </cfRule>
  </conditionalFormatting>
  <conditionalFormatting sqref="B115">
    <cfRule type="expression" dxfId="1587" priority="76">
      <formula>kvartal &lt; 4</formula>
    </cfRule>
  </conditionalFormatting>
  <conditionalFormatting sqref="C115">
    <cfRule type="expression" dxfId="1586" priority="75">
      <formula>kvartal &lt; 4</formula>
    </cfRule>
  </conditionalFormatting>
  <conditionalFormatting sqref="B123">
    <cfRule type="expression" dxfId="1585" priority="74">
      <formula>kvartal &lt; 4</formula>
    </cfRule>
  </conditionalFormatting>
  <conditionalFormatting sqref="C123">
    <cfRule type="expression" dxfId="1584" priority="73">
      <formula>kvartal &lt; 4</formula>
    </cfRule>
  </conditionalFormatting>
  <conditionalFormatting sqref="F70">
    <cfRule type="expression" dxfId="1583" priority="72">
      <formula>kvartal &lt; 4</formula>
    </cfRule>
  </conditionalFormatting>
  <conditionalFormatting sqref="G70">
    <cfRule type="expression" dxfId="1582" priority="71">
      <formula>kvartal &lt; 4</formula>
    </cfRule>
  </conditionalFormatting>
  <conditionalFormatting sqref="F71:G71">
    <cfRule type="expression" dxfId="1581" priority="70">
      <formula>kvartal &lt; 4</formula>
    </cfRule>
  </conditionalFormatting>
  <conditionalFormatting sqref="F73:G74">
    <cfRule type="expression" dxfId="1580" priority="69">
      <formula>kvartal &lt; 4</formula>
    </cfRule>
  </conditionalFormatting>
  <conditionalFormatting sqref="F81:G82">
    <cfRule type="expression" dxfId="1579" priority="68">
      <formula>kvartal &lt; 4</formula>
    </cfRule>
  </conditionalFormatting>
  <conditionalFormatting sqref="F84:G85">
    <cfRule type="expression" dxfId="1578" priority="67">
      <formula>kvartal &lt; 4</formula>
    </cfRule>
  </conditionalFormatting>
  <conditionalFormatting sqref="F91:G92">
    <cfRule type="expression" dxfId="1577" priority="62">
      <formula>kvartal &lt; 4</formula>
    </cfRule>
  </conditionalFormatting>
  <conditionalFormatting sqref="F94:G95">
    <cfRule type="expression" dxfId="1576" priority="61">
      <formula>kvartal &lt; 4</formula>
    </cfRule>
  </conditionalFormatting>
  <conditionalFormatting sqref="F102:G103">
    <cfRule type="expression" dxfId="1575" priority="60">
      <formula>kvartal &lt; 4</formula>
    </cfRule>
  </conditionalFormatting>
  <conditionalFormatting sqref="F105:G106">
    <cfRule type="expression" dxfId="1574" priority="59">
      <formula>kvartal &lt; 4</formula>
    </cfRule>
  </conditionalFormatting>
  <conditionalFormatting sqref="F115">
    <cfRule type="expression" dxfId="1573" priority="58">
      <formula>kvartal &lt; 4</formula>
    </cfRule>
  </conditionalFormatting>
  <conditionalFormatting sqref="G115">
    <cfRule type="expression" dxfId="1572" priority="57">
      <formula>kvartal &lt; 4</formula>
    </cfRule>
  </conditionalFormatting>
  <conditionalFormatting sqref="F123:G123">
    <cfRule type="expression" dxfId="1571" priority="56">
      <formula>kvartal &lt; 4</formula>
    </cfRule>
  </conditionalFormatting>
  <conditionalFormatting sqref="F69:G69">
    <cfRule type="expression" dxfId="1570" priority="55">
      <formula>kvartal &lt; 4</formula>
    </cfRule>
  </conditionalFormatting>
  <conditionalFormatting sqref="F72:G72">
    <cfRule type="expression" dxfId="1569" priority="54">
      <formula>kvartal &lt; 4</formula>
    </cfRule>
  </conditionalFormatting>
  <conditionalFormatting sqref="F80:G80">
    <cfRule type="expression" dxfId="1568" priority="53">
      <formula>kvartal &lt; 4</formula>
    </cfRule>
  </conditionalFormatting>
  <conditionalFormatting sqref="F83:G83">
    <cfRule type="expression" dxfId="1567" priority="52">
      <formula>kvartal &lt; 4</formula>
    </cfRule>
  </conditionalFormatting>
  <conditionalFormatting sqref="F90:G90">
    <cfRule type="expression" dxfId="1566" priority="46">
      <formula>kvartal &lt; 4</formula>
    </cfRule>
  </conditionalFormatting>
  <conditionalFormatting sqref="F93">
    <cfRule type="expression" dxfId="1565" priority="45">
      <formula>kvartal &lt; 4</formula>
    </cfRule>
  </conditionalFormatting>
  <conditionalFormatting sqref="G93">
    <cfRule type="expression" dxfId="1564" priority="44">
      <formula>kvartal &lt; 4</formula>
    </cfRule>
  </conditionalFormatting>
  <conditionalFormatting sqref="F101">
    <cfRule type="expression" dxfId="1563" priority="43">
      <formula>kvartal &lt; 4</formula>
    </cfRule>
  </conditionalFormatting>
  <conditionalFormatting sqref="G101">
    <cfRule type="expression" dxfId="1562" priority="42">
      <formula>kvartal &lt; 4</formula>
    </cfRule>
  </conditionalFormatting>
  <conditionalFormatting sqref="G104">
    <cfRule type="expression" dxfId="1561" priority="41">
      <formula>kvartal &lt; 4</formula>
    </cfRule>
  </conditionalFormatting>
  <conditionalFormatting sqref="F104">
    <cfRule type="expression" dxfId="1560" priority="40">
      <formula>kvartal &lt; 4</formula>
    </cfRule>
  </conditionalFormatting>
  <conditionalFormatting sqref="J69:K73">
    <cfRule type="expression" dxfId="1559" priority="39">
      <formula>kvartal &lt; 4</formula>
    </cfRule>
  </conditionalFormatting>
  <conditionalFormatting sqref="J74:K74">
    <cfRule type="expression" dxfId="1558" priority="38">
      <formula>kvartal &lt; 4</formula>
    </cfRule>
  </conditionalFormatting>
  <conditionalFormatting sqref="J80:K85">
    <cfRule type="expression" dxfId="1557" priority="37">
      <formula>kvartal &lt; 4</formula>
    </cfRule>
  </conditionalFormatting>
  <conditionalFormatting sqref="J90:K95">
    <cfRule type="expression" dxfId="1556" priority="34">
      <formula>kvartal &lt; 4</formula>
    </cfRule>
  </conditionalFormatting>
  <conditionalFormatting sqref="J101:K106">
    <cfRule type="expression" dxfId="1555" priority="33">
      <formula>kvartal &lt; 4</formula>
    </cfRule>
  </conditionalFormatting>
  <conditionalFormatting sqref="J115:K115">
    <cfRule type="expression" dxfId="1554" priority="32">
      <formula>kvartal &lt; 4</formula>
    </cfRule>
  </conditionalFormatting>
  <conditionalFormatting sqref="J123:K123">
    <cfRule type="expression" dxfId="1553" priority="31">
      <formula>kvartal &lt; 4</formula>
    </cfRule>
  </conditionalFormatting>
  <conditionalFormatting sqref="A50:A52">
    <cfRule type="expression" dxfId="1552" priority="12">
      <formula>kvartal &lt; 4</formula>
    </cfRule>
  </conditionalFormatting>
  <conditionalFormatting sqref="A69:A74">
    <cfRule type="expression" dxfId="1551" priority="10">
      <formula>kvartal &lt; 4</formula>
    </cfRule>
  </conditionalFormatting>
  <conditionalFormatting sqref="A80:A85">
    <cfRule type="expression" dxfId="1550" priority="9">
      <formula>kvartal &lt; 4</formula>
    </cfRule>
  </conditionalFormatting>
  <conditionalFormatting sqref="A90:A95">
    <cfRule type="expression" dxfId="1549" priority="6">
      <formula>kvartal &lt; 4</formula>
    </cfRule>
  </conditionalFormatting>
  <conditionalFormatting sqref="A101:A106">
    <cfRule type="expression" dxfId="1548" priority="5">
      <formula>kvartal &lt; 4</formula>
    </cfRule>
  </conditionalFormatting>
  <conditionalFormatting sqref="A115">
    <cfRule type="expression" dxfId="1547" priority="4">
      <formula>kvartal &lt; 4</formula>
    </cfRule>
  </conditionalFormatting>
  <conditionalFormatting sqref="A123">
    <cfRule type="expression" dxfId="1546" priority="3">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486</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98068</v>
      </c>
      <c r="C47" s="308">
        <v>112320</v>
      </c>
      <c r="D47" s="421">
        <f t="shared" ref="D47:D57" si="0">IF(B47=0, "    ---- ", IF(ABS(ROUND(100/B47*C47-100,1))&lt;999,ROUND(100/B47*C47-100,1),IF(ROUND(100/B47*C47-100,1)&gt;999,999,-999)))</f>
        <v>14.5</v>
      </c>
      <c r="E47" s="11">
        <f>IFERROR(100/'Skjema total MA'!C47*C47,0)</f>
        <v>2.2049449964363426</v>
      </c>
      <c r="F47" s="144"/>
      <c r="G47" s="33"/>
      <c r="H47" s="158"/>
      <c r="I47" s="158"/>
      <c r="J47" s="37"/>
      <c r="K47" s="37"/>
      <c r="L47" s="158"/>
      <c r="M47" s="158"/>
      <c r="N47" s="147"/>
    </row>
    <row r="48" spans="1:14" s="3" customFormat="1" ht="15.6" x14ac:dyDescent="0.25">
      <c r="A48" s="38" t="s">
        <v>455</v>
      </c>
      <c r="B48" s="278">
        <v>98068</v>
      </c>
      <c r="C48" s="279">
        <v>112320</v>
      </c>
      <c r="D48" s="252">
        <f t="shared" si="0"/>
        <v>14.5</v>
      </c>
      <c r="E48" s="27">
        <f>IFERROR(100/'Skjema total MA'!C48*C48,0)</f>
        <v>3.965780004364535</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v>9488</v>
      </c>
      <c r="C53" s="308">
        <v>3414</v>
      </c>
      <c r="D53" s="422">
        <f t="shared" si="0"/>
        <v>-64</v>
      </c>
      <c r="E53" s="11">
        <f>IFERROR(100/'Skjema total MA'!C53*C53,0)</f>
        <v>1.2483815336945328</v>
      </c>
      <c r="F53" s="144"/>
      <c r="G53" s="33"/>
      <c r="H53" s="144"/>
      <c r="I53" s="144"/>
      <c r="J53" s="33"/>
      <c r="K53" s="33"/>
      <c r="L53" s="158"/>
      <c r="M53" s="158"/>
      <c r="N53" s="147"/>
    </row>
    <row r="54" spans="1:14" s="3" customFormat="1" ht="15.6" x14ac:dyDescent="0.25">
      <c r="A54" s="38" t="s">
        <v>455</v>
      </c>
      <c r="B54" s="278">
        <v>9488</v>
      </c>
      <c r="C54" s="279">
        <v>3414</v>
      </c>
      <c r="D54" s="252">
        <f t="shared" si="0"/>
        <v>-64</v>
      </c>
      <c r="E54" s="27">
        <f>IFERROR(100/'Skjema total MA'!C54*C54,0)</f>
        <v>1.2769835914951717</v>
      </c>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v>366</v>
      </c>
      <c r="C56" s="308">
        <v>1038</v>
      </c>
      <c r="D56" s="422">
        <f t="shared" si="0"/>
        <v>183.6</v>
      </c>
      <c r="E56" s="11">
        <f>IFERROR(100/'Skjema total MA'!C56*C56,0)</f>
        <v>0.29065234342372048</v>
      </c>
      <c r="F56" s="144"/>
      <c r="G56" s="33"/>
      <c r="H56" s="144"/>
      <c r="I56" s="144"/>
      <c r="J56" s="33"/>
      <c r="K56" s="33"/>
      <c r="L56" s="158"/>
      <c r="M56" s="158"/>
      <c r="N56" s="147"/>
    </row>
    <row r="57" spans="1:14" s="3" customFormat="1" ht="15.6" x14ac:dyDescent="0.25">
      <c r="A57" s="38" t="s">
        <v>455</v>
      </c>
      <c r="B57" s="278">
        <v>366</v>
      </c>
      <c r="C57" s="279">
        <v>1038</v>
      </c>
      <c r="D57" s="252">
        <f t="shared" si="0"/>
        <v>183.6</v>
      </c>
      <c r="E57" s="27">
        <f>IFERROR(100/'Skjema total MA'!C57*C57,0)</f>
        <v>0.29065234342372048</v>
      </c>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545" priority="132">
      <formula>kvartal &lt; 4</formula>
    </cfRule>
  </conditionalFormatting>
  <conditionalFormatting sqref="B69">
    <cfRule type="expression" dxfId="1544" priority="100">
      <formula>kvartal &lt; 4</formula>
    </cfRule>
  </conditionalFormatting>
  <conditionalFormatting sqref="C69">
    <cfRule type="expression" dxfId="1543" priority="99">
      <formula>kvartal &lt; 4</formula>
    </cfRule>
  </conditionalFormatting>
  <conditionalFormatting sqref="B72">
    <cfRule type="expression" dxfId="1542" priority="98">
      <formula>kvartal &lt; 4</formula>
    </cfRule>
  </conditionalFormatting>
  <conditionalFormatting sqref="C72">
    <cfRule type="expression" dxfId="1541" priority="97">
      <formula>kvartal &lt; 4</formula>
    </cfRule>
  </conditionalFormatting>
  <conditionalFormatting sqref="B80">
    <cfRule type="expression" dxfId="1540" priority="96">
      <formula>kvartal &lt; 4</formula>
    </cfRule>
  </conditionalFormatting>
  <conditionalFormatting sqref="C80">
    <cfRule type="expression" dxfId="1539" priority="95">
      <formula>kvartal &lt; 4</formula>
    </cfRule>
  </conditionalFormatting>
  <conditionalFormatting sqref="B83">
    <cfRule type="expression" dxfId="1538" priority="94">
      <formula>kvartal &lt; 4</formula>
    </cfRule>
  </conditionalFormatting>
  <conditionalFormatting sqref="C83">
    <cfRule type="expression" dxfId="1537" priority="93">
      <formula>kvartal &lt; 4</formula>
    </cfRule>
  </conditionalFormatting>
  <conditionalFormatting sqref="B90">
    <cfRule type="expression" dxfId="1536" priority="84">
      <formula>kvartal &lt; 4</formula>
    </cfRule>
  </conditionalFormatting>
  <conditionalFormatting sqref="C90">
    <cfRule type="expression" dxfId="1535" priority="83">
      <formula>kvartal &lt; 4</formula>
    </cfRule>
  </conditionalFormatting>
  <conditionalFormatting sqref="B93">
    <cfRule type="expression" dxfId="1534" priority="82">
      <formula>kvartal &lt; 4</formula>
    </cfRule>
  </conditionalFormatting>
  <conditionalFormatting sqref="C93">
    <cfRule type="expression" dxfId="1533" priority="81">
      <formula>kvartal &lt; 4</formula>
    </cfRule>
  </conditionalFormatting>
  <conditionalFormatting sqref="B101">
    <cfRule type="expression" dxfId="1532" priority="80">
      <formula>kvartal &lt; 4</formula>
    </cfRule>
  </conditionalFormatting>
  <conditionalFormatting sqref="C101">
    <cfRule type="expression" dxfId="1531" priority="79">
      <formula>kvartal &lt; 4</formula>
    </cfRule>
  </conditionalFormatting>
  <conditionalFormatting sqref="B104">
    <cfRule type="expression" dxfId="1530" priority="78">
      <formula>kvartal &lt; 4</formula>
    </cfRule>
  </conditionalFormatting>
  <conditionalFormatting sqref="C104">
    <cfRule type="expression" dxfId="1529" priority="77">
      <formula>kvartal &lt; 4</formula>
    </cfRule>
  </conditionalFormatting>
  <conditionalFormatting sqref="B115">
    <cfRule type="expression" dxfId="1528" priority="76">
      <formula>kvartal &lt; 4</formula>
    </cfRule>
  </conditionalFormatting>
  <conditionalFormatting sqref="C115">
    <cfRule type="expression" dxfId="1527" priority="75">
      <formula>kvartal &lt; 4</formula>
    </cfRule>
  </conditionalFormatting>
  <conditionalFormatting sqref="B123">
    <cfRule type="expression" dxfId="1526" priority="74">
      <formula>kvartal &lt; 4</formula>
    </cfRule>
  </conditionalFormatting>
  <conditionalFormatting sqref="C123">
    <cfRule type="expression" dxfId="1525" priority="73">
      <formula>kvartal &lt; 4</formula>
    </cfRule>
  </conditionalFormatting>
  <conditionalFormatting sqref="F70">
    <cfRule type="expression" dxfId="1524" priority="72">
      <formula>kvartal &lt; 4</formula>
    </cfRule>
  </conditionalFormatting>
  <conditionalFormatting sqref="G70">
    <cfRule type="expression" dxfId="1523" priority="71">
      <formula>kvartal &lt; 4</formula>
    </cfRule>
  </conditionalFormatting>
  <conditionalFormatting sqref="F71:G71">
    <cfRule type="expression" dxfId="1522" priority="70">
      <formula>kvartal &lt; 4</formula>
    </cfRule>
  </conditionalFormatting>
  <conditionalFormatting sqref="F73:G74">
    <cfRule type="expression" dxfId="1521" priority="69">
      <formula>kvartal &lt; 4</formula>
    </cfRule>
  </conditionalFormatting>
  <conditionalFormatting sqref="F81:G82">
    <cfRule type="expression" dxfId="1520" priority="68">
      <formula>kvartal &lt; 4</formula>
    </cfRule>
  </conditionalFormatting>
  <conditionalFormatting sqref="F84:G85">
    <cfRule type="expression" dxfId="1519" priority="67">
      <formula>kvartal &lt; 4</formula>
    </cfRule>
  </conditionalFormatting>
  <conditionalFormatting sqref="F91:G92">
    <cfRule type="expression" dxfId="1518" priority="62">
      <formula>kvartal &lt; 4</formula>
    </cfRule>
  </conditionalFormatting>
  <conditionalFormatting sqref="F94:G95">
    <cfRule type="expression" dxfId="1517" priority="61">
      <formula>kvartal &lt; 4</formula>
    </cfRule>
  </conditionalFormatting>
  <conditionalFormatting sqref="F102:G103">
    <cfRule type="expression" dxfId="1516" priority="60">
      <formula>kvartal &lt; 4</formula>
    </cfRule>
  </conditionalFormatting>
  <conditionalFormatting sqref="F105:G106">
    <cfRule type="expression" dxfId="1515" priority="59">
      <formula>kvartal &lt; 4</formula>
    </cfRule>
  </conditionalFormatting>
  <conditionalFormatting sqref="F115">
    <cfRule type="expression" dxfId="1514" priority="58">
      <formula>kvartal &lt; 4</formula>
    </cfRule>
  </conditionalFormatting>
  <conditionalFormatting sqref="G115">
    <cfRule type="expression" dxfId="1513" priority="57">
      <formula>kvartal &lt; 4</formula>
    </cfRule>
  </conditionalFormatting>
  <conditionalFormatting sqref="F123:G123">
    <cfRule type="expression" dxfId="1512" priority="56">
      <formula>kvartal &lt; 4</formula>
    </cfRule>
  </conditionalFormatting>
  <conditionalFormatting sqref="F69:G69">
    <cfRule type="expression" dxfId="1511" priority="55">
      <formula>kvartal &lt; 4</formula>
    </cfRule>
  </conditionalFormatting>
  <conditionalFormatting sqref="F72:G72">
    <cfRule type="expression" dxfId="1510" priority="54">
      <formula>kvartal &lt; 4</formula>
    </cfRule>
  </conditionalFormatting>
  <conditionalFormatting sqref="F80:G80">
    <cfRule type="expression" dxfId="1509" priority="53">
      <formula>kvartal &lt; 4</formula>
    </cfRule>
  </conditionalFormatting>
  <conditionalFormatting sqref="F83:G83">
    <cfRule type="expression" dxfId="1508" priority="52">
      <formula>kvartal &lt; 4</formula>
    </cfRule>
  </conditionalFormatting>
  <conditionalFormatting sqref="F90:G90">
    <cfRule type="expression" dxfId="1507" priority="46">
      <formula>kvartal &lt; 4</formula>
    </cfRule>
  </conditionalFormatting>
  <conditionalFormatting sqref="F93">
    <cfRule type="expression" dxfId="1506" priority="45">
      <formula>kvartal &lt; 4</formula>
    </cfRule>
  </conditionalFormatting>
  <conditionalFormatting sqref="G93">
    <cfRule type="expression" dxfId="1505" priority="44">
      <formula>kvartal &lt; 4</formula>
    </cfRule>
  </conditionalFormatting>
  <conditionalFormatting sqref="F101">
    <cfRule type="expression" dxfId="1504" priority="43">
      <formula>kvartal &lt; 4</formula>
    </cfRule>
  </conditionalFormatting>
  <conditionalFormatting sqref="G101">
    <cfRule type="expression" dxfId="1503" priority="42">
      <formula>kvartal &lt; 4</formula>
    </cfRule>
  </conditionalFormatting>
  <conditionalFormatting sqref="G104">
    <cfRule type="expression" dxfId="1502" priority="41">
      <formula>kvartal &lt; 4</formula>
    </cfRule>
  </conditionalFormatting>
  <conditionalFormatting sqref="F104">
    <cfRule type="expression" dxfId="1501" priority="40">
      <formula>kvartal &lt; 4</formula>
    </cfRule>
  </conditionalFormatting>
  <conditionalFormatting sqref="J69:K73">
    <cfRule type="expression" dxfId="1500" priority="39">
      <formula>kvartal &lt; 4</formula>
    </cfRule>
  </conditionalFormatting>
  <conditionalFormatting sqref="J74:K74">
    <cfRule type="expression" dxfId="1499" priority="38">
      <formula>kvartal &lt; 4</formula>
    </cfRule>
  </conditionalFormatting>
  <conditionalFormatting sqref="J80:K85">
    <cfRule type="expression" dxfId="1498" priority="37">
      <formula>kvartal &lt; 4</formula>
    </cfRule>
  </conditionalFormatting>
  <conditionalFormatting sqref="J90:K95">
    <cfRule type="expression" dxfId="1497" priority="34">
      <formula>kvartal &lt; 4</formula>
    </cfRule>
  </conditionalFormatting>
  <conditionalFormatting sqref="J101:K106">
    <cfRule type="expression" dxfId="1496" priority="33">
      <formula>kvartal &lt; 4</formula>
    </cfRule>
  </conditionalFormatting>
  <conditionalFormatting sqref="J115:K115">
    <cfRule type="expression" dxfId="1495" priority="32">
      <formula>kvartal &lt; 4</formula>
    </cfRule>
  </conditionalFormatting>
  <conditionalFormatting sqref="J123:K123">
    <cfRule type="expression" dxfId="1494" priority="31">
      <formula>kvartal &lt; 4</formula>
    </cfRule>
  </conditionalFormatting>
  <conditionalFormatting sqref="A50:A52">
    <cfRule type="expression" dxfId="1493" priority="12">
      <formula>kvartal &lt; 4</formula>
    </cfRule>
  </conditionalFormatting>
  <conditionalFormatting sqref="A69:A74">
    <cfRule type="expression" dxfId="1492" priority="10">
      <formula>kvartal &lt; 4</formula>
    </cfRule>
  </conditionalFormatting>
  <conditionalFormatting sqref="A80:A85">
    <cfRule type="expression" dxfId="1491" priority="9">
      <formula>kvartal &lt; 4</formula>
    </cfRule>
  </conditionalFormatting>
  <conditionalFormatting sqref="A90:A95">
    <cfRule type="expression" dxfId="1490" priority="6">
      <formula>kvartal &lt; 4</formula>
    </cfRule>
  </conditionalFormatting>
  <conditionalFormatting sqref="A101:A106">
    <cfRule type="expression" dxfId="1489" priority="5">
      <formula>kvartal &lt; 4</formula>
    </cfRule>
  </conditionalFormatting>
  <conditionalFormatting sqref="A115">
    <cfRule type="expression" dxfId="1488" priority="4">
      <formula>kvartal &lt; 4</formula>
    </cfRule>
  </conditionalFormatting>
  <conditionalFormatting sqref="A123">
    <cfRule type="expression" dxfId="1487" priority="3">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131</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494524.56</v>
      </c>
      <c r="C7" s="304">
        <v>515684</v>
      </c>
      <c r="D7" s="345">
        <f t="shared" ref="D7:D10" si="0">IF(B7=0, "    ---- ", IF(ABS(ROUND(100/B7*C7-100,1))&lt;999,ROUND(100/B7*C7-100,1),IF(ROUND(100/B7*C7-100,1)&gt;999,999,-999)))</f>
        <v>4.3</v>
      </c>
      <c r="E7" s="11">
        <f>IFERROR(100/'Skjema total MA'!C7*C7,0)</f>
        <v>10.478401255057801</v>
      </c>
      <c r="F7" s="303">
        <v>7275835</v>
      </c>
      <c r="G7" s="304">
        <v>11287843</v>
      </c>
      <c r="H7" s="345">
        <f t="shared" ref="H7:H12" si="1">IF(F7=0, "    ---- ", IF(ABS(ROUND(100/F7*G7-100,1))&lt;999,ROUND(100/F7*G7-100,1),IF(ROUND(100/F7*G7-100,1)&gt;999,999,-999)))</f>
        <v>55.1</v>
      </c>
      <c r="I7" s="159">
        <f>IFERROR(100/'Skjema total MA'!F7*G7,0)</f>
        <v>76.592652392756904</v>
      </c>
      <c r="J7" s="305">
        <f t="shared" ref="J7:K12" si="2">SUM(B7,F7)</f>
        <v>7770359.5599999996</v>
      </c>
      <c r="K7" s="306">
        <f t="shared" si="2"/>
        <v>11803527</v>
      </c>
      <c r="L7" s="421">
        <f t="shared" ref="L7:L12" si="3">IF(J7=0, "    ---- ", IF(ABS(ROUND(100/J7*K7-100,1))&lt;999,ROUND(100/J7*K7-100,1),IF(ROUND(100/J7*K7-100,1)&gt;999,999,-999)))</f>
        <v>51.9</v>
      </c>
      <c r="M7" s="11">
        <f>IFERROR(100/'Skjema total MA'!I7*K7,0)</f>
        <v>60.041643003489341</v>
      </c>
    </row>
    <row r="8" spans="1:14" ht="15.6" x14ac:dyDescent="0.25">
      <c r="A8" s="21" t="s">
        <v>25</v>
      </c>
      <c r="B8" s="278">
        <v>413429</v>
      </c>
      <c r="C8" s="279">
        <v>437081</v>
      </c>
      <c r="D8" s="165">
        <f t="shared" si="0"/>
        <v>5.7</v>
      </c>
      <c r="E8" s="27">
        <f>IFERROR(100/'Skjema total MA'!C8*C8,0)</f>
        <v>13.494181315346983</v>
      </c>
      <c r="F8" s="282"/>
      <c r="G8" s="283"/>
      <c r="H8" s="165"/>
      <c r="I8" s="174"/>
      <c r="J8" s="232">
        <f t="shared" si="2"/>
        <v>413429</v>
      </c>
      <c r="K8" s="284">
        <f t="shared" si="2"/>
        <v>437081</v>
      </c>
      <c r="L8" s="165">
        <f t="shared" si="3"/>
        <v>5.7</v>
      </c>
      <c r="M8" s="27">
        <f>IFERROR(100/'Skjema total MA'!I8*K8,0)</f>
        <v>13.494181315346983</v>
      </c>
    </row>
    <row r="9" spans="1:14" ht="15.6" x14ac:dyDescent="0.25">
      <c r="A9" s="21" t="s">
        <v>24</v>
      </c>
      <c r="B9" s="278">
        <v>74081.83</v>
      </c>
      <c r="C9" s="279">
        <v>72042</v>
      </c>
      <c r="D9" s="165">
        <f t="shared" si="0"/>
        <v>-2.8</v>
      </c>
      <c r="E9" s="27">
        <f>IFERROR(100/'Skjema total MA'!C9*C9,0)</f>
        <v>7.2253425997553276</v>
      </c>
      <c r="F9" s="282"/>
      <c r="G9" s="283"/>
      <c r="H9" s="165"/>
      <c r="I9" s="174"/>
      <c r="J9" s="232">
        <f t="shared" si="2"/>
        <v>74081.83</v>
      </c>
      <c r="K9" s="284">
        <f t="shared" si="2"/>
        <v>72042</v>
      </c>
      <c r="L9" s="165">
        <f t="shared" si="3"/>
        <v>-2.8</v>
      </c>
      <c r="M9" s="27">
        <f>IFERROR(100/'Skjema total MA'!I9*K9,0)</f>
        <v>7.2253425997553276</v>
      </c>
    </row>
    <row r="10" spans="1:14" ht="15.6" x14ac:dyDescent="0.25">
      <c r="A10" s="13" t="s">
        <v>444</v>
      </c>
      <c r="B10" s="307">
        <v>707001</v>
      </c>
      <c r="C10" s="308">
        <v>741719</v>
      </c>
      <c r="D10" s="170">
        <f t="shared" si="0"/>
        <v>4.9000000000000004</v>
      </c>
      <c r="E10" s="11">
        <f>IFERROR(100/'Skjema total MA'!C10*C10,0)</f>
        <v>3.9321963514110609</v>
      </c>
      <c r="F10" s="307">
        <v>36728300</v>
      </c>
      <c r="G10" s="308">
        <v>48700622</v>
      </c>
      <c r="H10" s="170">
        <f t="shared" si="1"/>
        <v>32.6</v>
      </c>
      <c r="I10" s="159">
        <f>IFERROR(100/'Skjema total MA'!F10*G10,0)</f>
        <v>62.982186034269546</v>
      </c>
      <c r="J10" s="305">
        <f t="shared" si="2"/>
        <v>37435301</v>
      </c>
      <c r="K10" s="306">
        <f t="shared" si="2"/>
        <v>49442341</v>
      </c>
      <c r="L10" s="422">
        <f t="shared" si="3"/>
        <v>32.1</v>
      </c>
      <c r="M10" s="11">
        <f>IFERROR(100/'Skjema total MA'!I10*K10,0)</f>
        <v>51.402228721237769</v>
      </c>
    </row>
    <row r="11" spans="1:14" s="43" customFormat="1" ht="15.6" x14ac:dyDescent="0.25">
      <c r="A11" s="13" t="s">
        <v>445</v>
      </c>
      <c r="B11" s="307"/>
      <c r="C11" s="308"/>
      <c r="D11" s="170"/>
      <c r="E11" s="11"/>
      <c r="F11" s="307">
        <v>199543.67999999999</v>
      </c>
      <c r="G11" s="308">
        <v>546636</v>
      </c>
      <c r="H11" s="170">
        <f t="shared" si="1"/>
        <v>173.9</v>
      </c>
      <c r="I11" s="159">
        <f>IFERROR(100/'Skjema total MA'!F11*G11,0)</f>
        <v>81.60291712323199</v>
      </c>
      <c r="J11" s="305">
        <f t="shared" si="2"/>
        <v>199543.67999999999</v>
      </c>
      <c r="K11" s="306">
        <f t="shared" si="2"/>
        <v>546636</v>
      </c>
      <c r="L11" s="422">
        <f t="shared" si="3"/>
        <v>173.9</v>
      </c>
      <c r="M11" s="11">
        <f>IFERROR(100/'Skjema total MA'!I11*K11,0)</f>
        <v>71.547471159255466</v>
      </c>
      <c r="N11" s="142"/>
    </row>
    <row r="12" spans="1:14" s="43" customFormat="1" ht="15.6" x14ac:dyDescent="0.25">
      <c r="A12" s="41" t="s">
        <v>446</v>
      </c>
      <c r="B12" s="309"/>
      <c r="C12" s="310"/>
      <c r="D12" s="168"/>
      <c r="E12" s="36"/>
      <c r="F12" s="309">
        <v>60124</v>
      </c>
      <c r="G12" s="310">
        <v>49002</v>
      </c>
      <c r="H12" s="168">
        <f t="shared" si="1"/>
        <v>-18.5</v>
      </c>
      <c r="I12" s="168">
        <f>IFERROR(100/'Skjema total MA'!F12*G12,0)</f>
        <v>27.399270359275512</v>
      </c>
      <c r="J12" s="311">
        <f t="shared" si="2"/>
        <v>60124</v>
      </c>
      <c r="K12" s="312">
        <f t="shared" si="2"/>
        <v>49002</v>
      </c>
      <c r="L12" s="423">
        <f t="shared" si="3"/>
        <v>-18.5</v>
      </c>
      <c r="M12" s="36">
        <f>IFERROR(100/'Skjema total MA'!I12*K12,0)</f>
        <v>26.343294805568135</v>
      </c>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170424.52</v>
      </c>
      <c r="C22" s="307">
        <v>190093</v>
      </c>
      <c r="D22" s="345">
        <f t="shared" ref="D22:D34" si="4">IF(B22=0, "    ---- ", IF(ABS(ROUND(100/B22*C22-100,1))&lt;999,ROUND(100/B22*C22-100,1),IF(ROUND(100/B22*C22-100,1)&gt;999,999,-999)))</f>
        <v>11.5</v>
      </c>
      <c r="E22" s="11">
        <f>IFERROR(100/'Skjema total MA'!C22*C22,0)</f>
        <v>9.8420807609110152</v>
      </c>
      <c r="F22" s="315">
        <v>341060</v>
      </c>
      <c r="G22" s="315">
        <v>393244</v>
      </c>
      <c r="H22" s="345">
        <f t="shared" ref="H22:H35" si="5">IF(F22=0, "    ---- ", IF(ABS(ROUND(100/F22*G22-100,1))&lt;999,ROUND(100/F22*G22-100,1),IF(ROUND(100/F22*G22-100,1)&gt;999,999,-999)))</f>
        <v>15.3</v>
      </c>
      <c r="I22" s="11">
        <f>IFERROR(100/'Skjema total MA'!F22*G22,0)</f>
        <v>22.917865871801858</v>
      </c>
      <c r="J22" s="313">
        <f t="shared" ref="J22:J35" si="6">SUM(B22,F22)</f>
        <v>511484.52</v>
      </c>
      <c r="K22" s="313">
        <f t="shared" ref="K22:K35" si="7">SUM(C22,G22)</f>
        <v>583337</v>
      </c>
      <c r="L22" s="421">
        <f t="shared" ref="L22:L35" si="8">IF(J22=0, "    ---- ", IF(ABS(ROUND(100/J22*K22-100,1))&lt;999,ROUND(100/J22*K22-100,1),IF(ROUND(100/J22*K22-100,1)&gt;999,999,-999)))</f>
        <v>14</v>
      </c>
      <c r="M22" s="24">
        <f>IFERROR(100/'Skjema total MA'!I22*K22,0)</f>
        <v>15.993600599567557</v>
      </c>
    </row>
    <row r="23" spans="1:14" ht="15.6" x14ac:dyDescent="0.25">
      <c r="A23" s="782" t="s">
        <v>447</v>
      </c>
      <c r="B23" s="278">
        <v>169903.32</v>
      </c>
      <c r="C23" s="278">
        <v>189441</v>
      </c>
      <c r="D23" s="165">
        <f t="shared" si="4"/>
        <v>11.5</v>
      </c>
      <c r="E23" s="11">
        <f>IFERROR(100/'Skjema total MA'!C23*C23,0)</f>
        <v>17.078572097947077</v>
      </c>
      <c r="F23" s="287">
        <v>3536</v>
      </c>
      <c r="G23" s="287">
        <v>3152</v>
      </c>
      <c r="H23" s="165">
        <f t="shared" si="5"/>
        <v>-10.9</v>
      </c>
      <c r="I23" s="411">
        <f>IFERROR(100/'Skjema total MA'!F23*G23,0)</f>
        <v>1.5350027042362271</v>
      </c>
      <c r="J23" s="287">
        <f t="shared" si="6"/>
        <v>173439.32</v>
      </c>
      <c r="K23" s="287">
        <f t="shared" si="7"/>
        <v>192593</v>
      </c>
      <c r="L23" s="165">
        <f t="shared" si="8"/>
        <v>11</v>
      </c>
      <c r="M23" s="23">
        <f>IFERROR(100/'Skjema total MA'!I23*K23,0)</f>
        <v>14.650604595732192</v>
      </c>
    </row>
    <row r="24" spans="1:14" ht="15.6" x14ac:dyDescent="0.25">
      <c r="A24" s="782" t="s">
        <v>448</v>
      </c>
      <c r="B24" s="278">
        <v>518.70000000000005</v>
      </c>
      <c r="C24" s="278">
        <v>525</v>
      </c>
      <c r="D24" s="165">
        <f t="shared" si="4"/>
        <v>1.2</v>
      </c>
      <c r="E24" s="11">
        <f>IFERROR(100/'Skjema total MA'!C24*C24,0)</f>
        <v>2.1774238278931661</v>
      </c>
      <c r="F24" s="278"/>
      <c r="G24" s="278"/>
      <c r="H24" s="165"/>
      <c r="I24" s="411"/>
      <c r="J24" s="287">
        <f t="shared" si="6"/>
        <v>518.70000000000005</v>
      </c>
      <c r="K24" s="287">
        <f t="shared" si="7"/>
        <v>525</v>
      </c>
      <c r="L24" s="165">
        <f t="shared" si="8"/>
        <v>1.2</v>
      </c>
      <c r="M24" s="23">
        <f>IFERROR(100/'Skjema total MA'!I24*K24,0)</f>
        <v>2.1659626216204346</v>
      </c>
    </row>
    <row r="25" spans="1:14" ht="15.6" x14ac:dyDescent="0.25">
      <c r="A25" s="782" t="s">
        <v>449</v>
      </c>
      <c r="B25" s="278">
        <v>2.5</v>
      </c>
      <c r="C25" s="278">
        <v>127</v>
      </c>
      <c r="D25" s="165">
        <f t="shared" si="4"/>
        <v>999</v>
      </c>
      <c r="E25" s="11">
        <f>IFERROR(100/'Skjema total MA'!C25*C25,0)</f>
        <v>0.42573180466360849</v>
      </c>
      <c r="F25" s="287">
        <v>1606</v>
      </c>
      <c r="G25" s="287">
        <v>1292</v>
      </c>
      <c r="H25" s="165">
        <f t="shared" si="5"/>
        <v>-19.600000000000001</v>
      </c>
      <c r="I25" s="411">
        <f>IFERROR(100/'Skjema total MA'!F25*G25,0)</f>
        <v>6.9686627536873784</v>
      </c>
      <c r="J25" s="287">
        <f t="shared" si="6"/>
        <v>1608.5</v>
      </c>
      <c r="K25" s="287">
        <f t="shared" si="7"/>
        <v>1419</v>
      </c>
      <c r="L25" s="165">
        <f t="shared" si="8"/>
        <v>-11.8</v>
      </c>
      <c r="M25" s="23">
        <f>IFERROR(100/'Skjema total MA'!I25*K25,0)</f>
        <v>2.9335680434298403</v>
      </c>
    </row>
    <row r="26" spans="1:14" ht="15.6" x14ac:dyDescent="0.25">
      <c r="A26" s="782" t="s">
        <v>450</v>
      </c>
      <c r="B26" s="278"/>
      <c r="C26" s="278"/>
      <c r="D26" s="165"/>
      <c r="E26" s="11"/>
      <c r="F26" s="287">
        <v>335918</v>
      </c>
      <c r="G26" s="287">
        <v>388800</v>
      </c>
      <c r="H26" s="165">
        <f t="shared" si="5"/>
        <v>15.7</v>
      </c>
      <c r="I26" s="411">
        <f>IFERROR(100/'Skjema total MA'!F26*G26,0)</f>
        <v>26.061170865920527</v>
      </c>
      <c r="J26" s="287">
        <f t="shared" si="6"/>
        <v>335918</v>
      </c>
      <c r="K26" s="287">
        <f t="shared" si="7"/>
        <v>388800</v>
      </c>
      <c r="L26" s="165">
        <f t="shared" si="8"/>
        <v>15.7</v>
      </c>
      <c r="M26" s="23">
        <f>IFERROR(100/'Skjema total MA'!I26*K26,0)</f>
        <v>26.061170865920527</v>
      </c>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175542.39999999999</v>
      </c>
      <c r="C28" s="284">
        <v>195953</v>
      </c>
      <c r="D28" s="165">
        <f t="shared" si="4"/>
        <v>11.6</v>
      </c>
      <c r="E28" s="11">
        <f>IFERROR(100/'Skjema total MA'!C28*C28,0)</f>
        <v>8.9881236154010029</v>
      </c>
      <c r="F28" s="232"/>
      <c r="G28" s="284"/>
      <c r="H28" s="165"/>
      <c r="I28" s="27"/>
      <c r="J28" s="44">
        <f t="shared" si="6"/>
        <v>175542.39999999999</v>
      </c>
      <c r="K28" s="44">
        <f t="shared" si="7"/>
        <v>195953</v>
      </c>
      <c r="L28" s="252">
        <f t="shared" si="8"/>
        <v>11.6</v>
      </c>
      <c r="M28" s="23">
        <f>IFERROR(100/'Skjema total MA'!I28*K28,0)</f>
        <v>8.9881236154010029</v>
      </c>
    </row>
    <row r="29" spans="1:14" s="3" customFormat="1" ht="15.6" x14ac:dyDescent="0.25">
      <c r="A29" s="13" t="s">
        <v>444</v>
      </c>
      <c r="B29" s="234">
        <v>3896255</v>
      </c>
      <c r="C29" s="234">
        <v>4064692</v>
      </c>
      <c r="D29" s="170">
        <f t="shared" si="4"/>
        <v>4.3</v>
      </c>
      <c r="E29" s="11">
        <f>IFERROR(100/'Skjema total MA'!C29*C29,0)</f>
        <v>8.9694182911320297</v>
      </c>
      <c r="F29" s="305">
        <v>4941135</v>
      </c>
      <c r="G29" s="305">
        <v>5684703</v>
      </c>
      <c r="H29" s="170">
        <f t="shared" si="5"/>
        <v>15</v>
      </c>
      <c r="I29" s="11">
        <f>IFERROR(100/'Skjema total MA'!F29*G29,0)</f>
        <v>21.262748703163641</v>
      </c>
      <c r="J29" s="234">
        <f t="shared" si="6"/>
        <v>8837390</v>
      </c>
      <c r="K29" s="234">
        <f t="shared" si="7"/>
        <v>9749395</v>
      </c>
      <c r="L29" s="422">
        <f t="shared" si="8"/>
        <v>10.3</v>
      </c>
      <c r="M29" s="24">
        <f>IFERROR(100/'Skjema total MA'!I29*K29,0)</f>
        <v>13.530915972442083</v>
      </c>
      <c r="N29" s="147"/>
    </row>
    <row r="30" spans="1:14" s="3" customFormat="1" ht="15.6" x14ac:dyDescent="0.25">
      <c r="A30" s="782" t="s">
        <v>447</v>
      </c>
      <c r="B30" s="278">
        <v>642365</v>
      </c>
      <c r="C30" s="278">
        <v>602121</v>
      </c>
      <c r="D30" s="165">
        <f t="shared" si="4"/>
        <v>-6.3</v>
      </c>
      <c r="E30" s="11">
        <f>IFERROR(100/'Skjema total MA'!C30*C30,0)</f>
        <v>3.772255892445564</v>
      </c>
      <c r="F30" s="287">
        <v>480100</v>
      </c>
      <c r="G30" s="287">
        <v>467323</v>
      </c>
      <c r="H30" s="165">
        <f t="shared" si="5"/>
        <v>-2.7</v>
      </c>
      <c r="I30" s="411">
        <f>IFERROR(100/'Skjema total MA'!F30*G30,0)</f>
        <v>11.259310596668715</v>
      </c>
      <c r="J30" s="287">
        <f t="shared" si="6"/>
        <v>1122465</v>
      </c>
      <c r="K30" s="287">
        <f t="shared" si="7"/>
        <v>1069444</v>
      </c>
      <c r="L30" s="165">
        <f t="shared" si="8"/>
        <v>-4.7</v>
      </c>
      <c r="M30" s="23">
        <f>IFERROR(100/'Skjema total MA'!I30*K30,0)</f>
        <v>5.3173431076885498</v>
      </c>
      <c r="N30" s="147"/>
    </row>
    <row r="31" spans="1:14" s="3" customFormat="1" ht="15.6" x14ac:dyDescent="0.25">
      <c r="A31" s="782" t="s">
        <v>448</v>
      </c>
      <c r="B31" s="278">
        <v>2732337</v>
      </c>
      <c r="C31" s="278">
        <v>2824103</v>
      </c>
      <c r="D31" s="165">
        <f t="shared" si="4"/>
        <v>3.4</v>
      </c>
      <c r="E31" s="11">
        <f>IFERROR(100/'Skjema total MA'!C31*C31,0)</f>
        <v>12.547967692123263</v>
      </c>
      <c r="F31" s="287">
        <v>829271</v>
      </c>
      <c r="G31" s="287">
        <v>827263</v>
      </c>
      <c r="H31" s="165">
        <f t="shared" si="5"/>
        <v>-0.2</v>
      </c>
      <c r="I31" s="411">
        <f>IFERROR(100/'Skjema total MA'!F31*G31,0)</f>
        <v>8.8132269921935364</v>
      </c>
      <c r="J31" s="287">
        <f t="shared" si="6"/>
        <v>3561608</v>
      </c>
      <c r="K31" s="287">
        <f t="shared" si="7"/>
        <v>3651366</v>
      </c>
      <c r="L31" s="165">
        <f t="shared" si="8"/>
        <v>2.5</v>
      </c>
      <c r="M31" s="23">
        <f>IFERROR(100/'Skjema total MA'!I31*K31,0)</f>
        <v>11.448777494202821</v>
      </c>
      <c r="N31" s="147"/>
    </row>
    <row r="32" spans="1:14" ht="15.6" x14ac:dyDescent="0.25">
      <c r="A32" s="782" t="s">
        <v>449</v>
      </c>
      <c r="B32" s="278">
        <v>521553</v>
      </c>
      <c r="C32" s="278">
        <v>638468</v>
      </c>
      <c r="D32" s="165">
        <f t="shared" si="4"/>
        <v>22.4</v>
      </c>
      <c r="E32" s="11">
        <f>IFERROR(100/'Skjema total MA'!C32*C32,0)</f>
        <v>21.497596888188792</v>
      </c>
      <c r="F32" s="287">
        <v>2291223</v>
      </c>
      <c r="G32" s="287">
        <v>2496243</v>
      </c>
      <c r="H32" s="165">
        <f t="shared" si="5"/>
        <v>8.9</v>
      </c>
      <c r="I32" s="411">
        <f>IFERROR(100/'Skjema total MA'!F32*G32,0)</f>
        <v>42.365467753891515</v>
      </c>
      <c r="J32" s="287">
        <f t="shared" si="6"/>
        <v>2812776</v>
      </c>
      <c r="K32" s="287">
        <f t="shared" si="7"/>
        <v>3134711</v>
      </c>
      <c r="L32" s="165">
        <f t="shared" si="8"/>
        <v>11.4</v>
      </c>
      <c r="M32" s="23">
        <f>IFERROR(100/'Skjema total MA'!I32*K32,0)</f>
        <v>35.372041777834745</v>
      </c>
    </row>
    <row r="33" spans="1:14" ht="15.6" x14ac:dyDescent="0.25">
      <c r="A33" s="782" t="s">
        <v>450</v>
      </c>
      <c r="B33" s="278"/>
      <c r="C33" s="278"/>
      <c r="D33" s="165"/>
      <c r="E33" s="11"/>
      <c r="F33" s="287">
        <v>1340541</v>
      </c>
      <c r="G33" s="287">
        <v>1893874</v>
      </c>
      <c r="H33" s="165">
        <f t="shared" si="5"/>
        <v>41.3</v>
      </c>
      <c r="I33" s="411">
        <f>IFERROR(100/'Skjema total MA'!F33*G33,0)</f>
        <v>25.921516899349669</v>
      </c>
      <c r="J33" s="287">
        <f t="shared" si="6"/>
        <v>1340541</v>
      </c>
      <c r="K33" s="287">
        <f t="shared" si="7"/>
        <v>1893874</v>
      </c>
      <c r="L33" s="165">
        <f t="shared" si="8"/>
        <v>41.3</v>
      </c>
      <c r="M33" s="23">
        <f>IFERROR(100/'Skjema total MA'!I33*K33,0)</f>
        <v>25.921516899349669</v>
      </c>
    </row>
    <row r="34" spans="1:14" ht="15.6" x14ac:dyDescent="0.25">
      <c r="A34" s="13" t="s">
        <v>445</v>
      </c>
      <c r="B34" s="234">
        <v>164</v>
      </c>
      <c r="C34" s="306">
        <v>1831</v>
      </c>
      <c r="D34" s="170">
        <f t="shared" si="4"/>
        <v>999</v>
      </c>
      <c r="E34" s="11">
        <f>IFERROR(100/'Skjema total MA'!C34*C34,0)</f>
        <v>8.7199095821098105</v>
      </c>
      <c r="F34" s="305">
        <v>185229.61</v>
      </c>
      <c r="G34" s="306">
        <v>12875</v>
      </c>
      <c r="H34" s="170">
        <f t="shared" si="5"/>
        <v>-93</v>
      </c>
      <c r="I34" s="11">
        <f>IFERROR(100/'Skjema total MA'!F34*G34,0)</f>
        <v>50.738706122930971</v>
      </c>
      <c r="J34" s="234">
        <f t="shared" si="6"/>
        <v>185393.61</v>
      </c>
      <c r="K34" s="234">
        <f t="shared" si="7"/>
        <v>14706</v>
      </c>
      <c r="L34" s="422">
        <f t="shared" si="8"/>
        <v>-92.1</v>
      </c>
      <c r="M34" s="24">
        <f>IFERROR(100/'Skjema total MA'!I34*K34,0)</f>
        <v>31.71239886851092</v>
      </c>
    </row>
    <row r="35" spans="1:14" ht="15.6" x14ac:dyDescent="0.25">
      <c r="A35" s="13" t="s">
        <v>446</v>
      </c>
      <c r="B35" s="234"/>
      <c r="C35" s="306"/>
      <c r="D35" s="170"/>
      <c r="E35" s="11"/>
      <c r="F35" s="305">
        <v>26984</v>
      </c>
      <c r="G35" s="306">
        <v>34525</v>
      </c>
      <c r="H35" s="170">
        <f t="shared" si="5"/>
        <v>27.9</v>
      </c>
      <c r="I35" s="11">
        <f>IFERROR(100/'Skjema total MA'!F35*G35,0)</f>
        <v>20.823962746123296</v>
      </c>
      <c r="J35" s="234">
        <f t="shared" si="6"/>
        <v>26984</v>
      </c>
      <c r="K35" s="234">
        <f t="shared" si="7"/>
        <v>34525</v>
      </c>
      <c r="L35" s="422">
        <f t="shared" si="8"/>
        <v>27.9</v>
      </c>
      <c r="M35" s="24">
        <f>IFERROR(100/'Skjema total MA'!I35*K35,0)</f>
        <v>41.560701418776944</v>
      </c>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c r="D47" s="421"/>
      <c r="E47" s="11"/>
      <c r="F47" s="144"/>
      <c r="G47" s="33"/>
      <c r="H47" s="158"/>
      <c r="I47" s="158"/>
      <c r="J47" s="37"/>
      <c r="K47" s="37"/>
      <c r="L47" s="158"/>
      <c r="M47" s="158"/>
      <c r="N47" s="147"/>
    </row>
    <row r="48" spans="1:14" s="3" customFormat="1" ht="15.6" x14ac:dyDescent="0.25">
      <c r="A48" s="38" t="s">
        <v>455</v>
      </c>
      <c r="B48" s="278"/>
      <c r="C48" s="279"/>
      <c r="D48" s="252"/>
      <c r="E48" s="27"/>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799061</v>
      </c>
      <c r="C66" s="348">
        <v>846838</v>
      </c>
      <c r="D66" s="345">
        <f>IF(B66=0, "    ---- ", IF(ABS(ROUND(100/B66*C66-100,1))&lt;999,ROUND(100/B66*C66-100,1),IF(ROUND(100/B66*C66-100,1)&gt;999,999,-999)))</f>
        <v>6</v>
      </c>
      <c r="E66" s="11">
        <f>IFERROR(100/'Skjema total MA'!C66*C66,0)</f>
        <v>11.140814736099211</v>
      </c>
      <c r="F66" s="347">
        <v>5051338</v>
      </c>
      <c r="G66" s="347">
        <v>6184727</v>
      </c>
      <c r="H66" s="345">
        <f>IF(F66=0, "    ---- ", IF(ABS(ROUND(100/F66*G66-100,1))&lt;999,ROUND(100/F66*G66-100,1),IF(ROUND(100/F66*G66-100,1)&gt;999,999,-999)))</f>
        <v>22.4</v>
      </c>
      <c r="I66" s="11">
        <f>IFERROR(100/'Skjema total MA'!F66*G66,0)</f>
        <v>16.199604799863007</v>
      </c>
      <c r="J66" s="306">
        <f t="shared" ref="J66:K68" si="9">SUM(B66,F66)</f>
        <v>5850399</v>
      </c>
      <c r="K66" s="313">
        <f t="shared" si="9"/>
        <v>7031565</v>
      </c>
      <c r="L66" s="422">
        <f>IF(J66=0, "    ---- ", IF(ABS(ROUND(100/J66*K66-100,1))&lt;999,ROUND(100/J66*K66-100,1),IF(ROUND(100/J66*K66-100,1)&gt;999,999,-999)))</f>
        <v>20.2</v>
      </c>
      <c r="M66" s="11">
        <f>IFERROR(100/'Skjema total MA'!I66*K66,0)</f>
        <v>15.359643673410877</v>
      </c>
    </row>
    <row r="67" spans="1:14" x14ac:dyDescent="0.25">
      <c r="A67" s="413" t="s">
        <v>9</v>
      </c>
      <c r="B67" s="44">
        <v>589193.87</v>
      </c>
      <c r="C67" s="144">
        <v>623833.54799999995</v>
      </c>
      <c r="D67" s="165">
        <f>IF(B67=0, "    ---- ", IF(ABS(ROUND(100/B67*C67-100,1))&lt;999,ROUND(100/B67*C67-100,1),IF(ROUND(100/B67*C67-100,1)&gt;999,999,-999)))</f>
        <v>5.9</v>
      </c>
      <c r="E67" s="27">
        <f>IFERROR(100/'Skjema total MA'!C67*C67,0)</f>
        <v>12.054967724018429</v>
      </c>
      <c r="F67" s="232"/>
      <c r="G67" s="144"/>
      <c r="H67" s="165"/>
      <c r="I67" s="27"/>
      <c r="J67" s="284">
        <f t="shared" si="9"/>
        <v>589193.87</v>
      </c>
      <c r="K67" s="44">
        <f t="shared" si="9"/>
        <v>623833.54799999995</v>
      </c>
      <c r="L67" s="252">
        <f>IF(J67=0, "    ---- ", IF(ABS(ROUND(100/J67*K67-100,1))&lt;999,ROUND(100/J67*K67-100,1),IF(ROUND(100/J67*K67-100,1)&gt;999,999,-999)))</f>
        <v>5.9</v>
      </c>
      <c r="M67" s="27">
        <f>IFERROR(100/'Skjema total MA'!I67*K67,0)</f>
        <v>12.054967724018429</v>
      </c>
    </row>
    <row r="68" spans="1:14" x14ac:dyDescent="0.25">
      <c r="A68" s="21" t="s">
        <v>10</v>
      </c>
      <c r="B68" s="289">
        <v>13792</v>
      </c>
      <c r="C68" s="290">
        <v>10844</v>
      </c>
      <c r="D68" s="165">
        <f>IF(B68=0, "    ---- ", IF(ABS(ROUND(100/B68*C68-100,1))&lt;999,ROUND(100/B68*C68-100,1),IF(ROUND(100/B68*C68-100,1)&gt;999,999,-999)))</f>
        <v>-21.4</v>
      </c>
      <c r="E68" s="27">
        <f>IFERROR(100/'Skjema total MA'!C68*C68,0)</f>
        <v>23.728318161753624</v>
      </c>
      <c r="F68" s="289">
        <v>5051338</v>
      </c>
      <c r="G68" s="290">
        <v>6184727</v>
      </c>
      <c r="H68" s="165">
        <f>IF(F68=0, "    ---- ", IF(ABS(ROUND(100/F68*G68-100,1))&lt;999,ROUND(100/F68*G68-100,1),IF(ROUND(100/F68*G68-100,1)&gt;999,999,-999)))</f>
        <v>22.4</v>
      </c>
      <c r="I68" s="27">
        <f>IFERROR(100/'Skjema total MA'!F68*G68,0)</f>
        <v>16.869462572503657</v>
      </c>
      <c r="J68" s="284">
        <f t="shared" si="9"/>
        <v>5065130</v>
      </c>
      <c r="K68" s="44">
        <f t="shared" si="9"/>
        <v>6195571</v>
      </c>
      <c r="L68" s="252">
        <f>IF(J68=0, "    ---- ", IF(ABS(ROUND(100/J68*K68-100,1))&lt;999,ROUND(100/J68*K68-100,1),IF(ROUND(100/J68*K68-100,1)&gt;999,999,-999)))</f>
        <v>22.3</v>
      </c>
      <c r="M68" s="27">
        <f>IFERROR(100/'Skjema total MA'!I68*K68,0)</f>
        <v>16.878001707888732</v>
      </c>
    </row>
    <row r="69" spans="1:14" ht="15.6" x14ac:dyDescent="0.25">
      <c r="A69" s="293" t="s">
        <v>459</v>
      </c>
      <c r="B69" s="278">
        <v>10552</v>
      </c>
      <c r="C69" s="278">
        <v>7541</v>
      </c>
      <c r="D69" s="165">
        <f>IF(B69=0, "    ---- ", IF(ABS(ROUND(100/B69*C69-100,1))&lt;999,ROUND(100/B69*C69-100,1),IF(ROUND(100/B69*C69-100,1)&gt;999,999,-999)))</f>
        <v>-28.5</v>
      </c>
      <c r="E69" s="27">
        <f>IFERROR(100/'Skjema total MA'!C69*C69,0)</f>
        <v>100</v>
      </c>
      <c r="F69" s="278">
        <v>2496</v>
      </c>
      <c r="G69" s="278">
        <v>2145</v>
      </c>
      <c r="H69" s="165">
        <f t="shared" ref="H69:H74" si="10">IF(F69=0, "    ---- ", IF(ABS(ROUND(100/F69*G69-100,1))&lt;999,ROUND(100/F69*G69-100,1),IF(ROUND(100/F69*G69-100,1)&gt;999,999,-999)))</f>
        <v>-14.1</v>
      </c>
      <c r="I69" s="27">
        <f>IFERROR(100/'Skjema total MA'!F69*G69,0)</f>
        <v>100.00000000000001</v>
      </c>
      <c r="J69" s="284">
        <f t="shared" ref="J69:J74" si="11">SUM(B69,F69)</f>
        <v>13048</v>
      </c>
      <c r="K69" s="44">
        <f t="shared" ref="K69:K74" si="12">SUM(C69,G69)</f>
        <v>9686</v>
      </c>
      <c r="L69" s="252">
        <f t="shared" ref="L69:L74" si="13">IF(J69=0, "    ---- ", IF(ABS(ROUND(100/J69*K69-100,1))&lt;999,ROUND(100/J69*K69-100,1),IF(ROUND(100/J69*K69-100,1)&gt;999,999,-999)))</f>
        <v>-25.8</v>
      </c>
      <c r="M69" s="23">
        <f>IFERROR(100/'Skjema total MA'!I69*K69,0)</f>
        <v>100</v>
      </c>
    </row>
    <row r="70" spans="1:14" x14ac:dyDescent="0.25">
      <c r="A70" s="293" t="s">
        <v>12</v>
      </c>
      <c r="B70" s="291"/>
      <c r="C70" s="292"/>
      <c r="D70" s="165"/>
      <c r="E70" s="411"/>
      <c r="F70" s="278">
        <v>1</v>
      </c>
      <c r="G70" s="278">
        <v>0</v>
      </c>
      <c r="H70" s="165">
        <f t="shared" si="10"/>
        <v>-100</v>
      </c>
      <c r="I70" s="27">
        <f>IFERROR(100/'Skjema total MA'!F70*G70,0)</f>
        <v>0</v>
      </c>
      <c r="J70" s="284">
        <f t="shared" si="11"/>
        <v>1</v>
      </c>
      <c r="K70" s="44">
        <f t="shared" si="12"/>
        <v>0</v>
      </c>
      <c r="L70" s="252">
        <f t="shared" si="13"/>
        <v>-100</v>
      </c>
      <c r="M70" s="23">
        <f>IFERROR(100/'Skjema total MA'!I70*K70,0)</f>
        <v>0</v>
      </c>
    </row>
    <row r="71" spans="1:14" x14ac:dyDescent="0.25">
      <c r="A71" s="293" t="s">
        <v>13</v>
      </c>
      <c r="B71" s="233"/>
      <c r="C71" s="286"/>
      <c r="D71" s="165"/>
      <c r="E71" s="411"/>
      <c r="F71" s="278">
        <v>2495</v>
      </c>
      <c r="G71" s="278">
        <v>2145</v>
      </c>
      <c r="H71" s="165">
        <f t="shared" si="10"/>
        <v>-14</v>
      </c>
      <c r="I71" s="27">
        <f>IFERROR(100/'Skjema total MA'!F71*G71,0)</f>
        <v>100.00000000000001</v>
      </c>
      <c r="J71" s="284">
        <f t="shared" si="11"/>
        <v>2495</v>
      </c>
      <c r="K71" s="44">
        <f t="shared" si="12"/>
        <v>2145</v>
      </c>
      <c r="L71" s="252">
        <f t="shared" si="13"/>
        <v>-14</v>
      </c>
      <c r="M71" s="23">
        <f>IFERROR(100/'Skjema total MA'!I71*K71,0)</f>
        <v>100.00000000000001</v>
      </c>
    </row>
    <row r="72" spans="1:14" ht="15.6" x14ac:dyDescent="0.25">
      <c r="A72" s="293" t="s">
        <v>460</v>
      </c>
      <c r="B72" s="278">
        <v>3240</v>
      </c>
      <c r="C72" s="278">
        <v>3303</v>
      </c>
      <c r="D72" s="165">
        <f>IF(B72=0, "    ---- ", IF(ABS(ROUND(100/B72*C72-100,1))&lt;999,ROUND(100/B72*C72-100,1),IF(ROUND(100/B72*C72-100,1)&gt;999,999,-999)))</f>
        <v>1.9</v>
      </c>
      <c r="E72" s="27">
        <f>IFERROR(100/'Skjema total MA'!C72*C72,0)</f>
        <v>8.6557355933417899</v>
      </c>
      <c r="F72" s="278">
        <v>5048842</v>
      </c>
      <c r="G72" s="278">
        <v>6182582</v>
      </c>
      <c r="H72" s="165">
        <f t="shared" si="10"/>
        <v>22.5</v>
      </c>
      <c r="I72" s="27">
        <f>IFERROR(100/'Skjema total MA'!F72*G72,0)</f>
        <v>16.864598567561238</v>
      </c>
      <c r="J72" s="284">
        <f t="shared" si="11"/>
        <v>5052082</v>
      </c>
      <c r="K72" s="44">
        <f t="shared" si="12"/>
        <v>6185885</v>
      </c>
      <c r="L72" s="252">
        <f t="shared" si="13"/>
        <v>22.4</v>
      </c>
      <c r="M72" s="23">
        <f>IFERROR(100/'Skjema total MA'!I72*K72,0)</f>
        <v>16.856062813418774</v>
      </c>
    </row>
    <row r="73" spans="1:14" x14ac:dyDescent="0.25">
      <c r="A73" s="293" t="s">
        <v>12</v>
      </c>
      <c r="B73" s="233"/>
      <c r="C73" s="286"/>
      <c r="D73" s="165"/>
      <c r="E73" s="411"/>
      <c r="F73" s="278">
        <v>1017</v>
      </c>
      <c r="G73" s="278">
        <v>8</v>
      </c>
      <c r="H73" s="165">
        <f t="shared" si="10"/>
        <v>-99.2</v>
      </c>
      <c r="I73" s="27">
        <f>IFERROR(100/'Skjema total MA'!F73*G73,0)</f>
        <v>100</v>
      </c>
      <c r="J73" s="284">
        <f t="shared" si="11"/>
        <v>1017</v>
      </c>
      <c r="K73" s="44">
        <f t="shared" si="12"/>
        <v>8</v>
      </c>
      <c r="L73" s="252">
        <f t="shared" si="13"/>
        <v>-99.2</v>
      </c>
      <c r="M73" s="23">
        <f>IFERROR(100/'Skjema total MA'!I73*K73,0)</f>
        <v>100</v>
      </c>
    </row>
    <row r="74" spans="1:14" s="3" customFormat="1" x14ac:dyDescent="0.25">
      <c r="A74" s="293" t="s">
        <v>13</v>
      </c>
      <c r="B74" s="233"/>
      <c r="C74" s="286"/>
      <c r="D74" s="165"/>
      <c r="E74" s="411"/>
      <c r="F74" s="278">
        <v>5047825</v>
      </c>
      <c r="G74" s="278">
        <v>6182574</v>
      </c>
      <c r="H74" s="165">
        <f t="shared" si="10"/>
        <v>22.5</v>
      </c>
      <c r="I74" s="27">
        <f>IFERROR(100/'Skjema total MA'!F74*G74,0)</f>
        <v>16.864580425684878</v>
      </c>
      <c r="J74" s="284">
        <f t="shared" si="11"/>
        <v>5047825</v>
      </c>
      <c r="K74" s="44">
        <f t="shared" si="12"/>
        <v>6182574</v>
      </c>
      <c r="L74" s="252">
        <f t="shared" si="13"/>
        <v>22.5</v>
      </c>
      <c r="M74" s="23">
        <f>IFERROR(100/'Skjema total MA'!I74*K74,0)</f>
        <v>16.864580425684878</v>
      </c>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v>196075.13</v>
      </c>
      <c r="C76" s="144">
        <v>212160.45199999999</v>
      </c>
      <c r="D76" s="165">
        <f>IF(B76=0, "    ---- ", IF(ABS(ROUND(100/B76*C76-100,1))&lt;999,ROUND(100/B76*C76-100,1),IF(ROUND(100/B76*C76-100,1)&gt;999,999,-999)))</f>
        <v>8.1999999999999993</v>
      </c>
      <c r="E76" s="27">
        <f>IFERROR(100/'Skjema total MA'!C77*C76,0)</f>
        <v>4.1405554594127274</v>
      </c>
      <c r="F76" s="232"/>
      <c r="G76" s="144"/>
      <c r="H76" s="165"/>
      <c r="I76" s="27"/>
      <c r="J76" s="284">
        <f t="shared" ref="J76:K79" si="14">SUM(B76,F76)</f>
        <v>196075.13</v>
      </c>
      <c r="K76" s="44">
        <f t="shared" si="14"/>
        <v>212160.45199999999</v>
      </c>
      <c r="L76" s="252">
        <f>IF(J76=0, "    ---- ", IF(ABS(ROUND(100/J76*K76-100,1))&lt;999,ROUND(100/J76*K76-100,1),IF(ROUND(100/J76*K76-100,1)&gt;999,999,-999)))</f>
        <v>8.1999999999999993</v>
      </c>
      <c r="M76" s="27">
        <f>IFERROR(100/'Skjema total MA'!I77*K76,0)</f>
        <v>0.50787475189083242</v>
      </c>
      <c r="N76" s="147"/>
    </row>
    <row r="77" spans="1:14" ht="15.6" x14ac:dyDescent="0.25">
      <c r="A77" s="21" t="s">
        <v>461</v>
      </c>
      <c r="B77" s="232">
        <v>593966.34</v>
      </c>
      <c r="C77" s="232">
        <v>626049.93999999994</v>
      </c>
      <c r="D77" s="165">
        <f>IF(B77=0, "    ---- ", IF(ABS(ROUND(100/B77*C77-100,1))&lt;999,ROUND(100/B77*C77-100,1),IF(ROUND(100/B77*C77-100,1)&gt;999,999,-999)))</f>
        <v>5.4</v>
      </c>
      <c r="E77" s="27">
        <f>IFERROR(100/'Skjema total MA'!C77*C77,0)</f>
        <v>12.218085286375665</v>
      </c>
      <c r="F77" s="232">
        <v>5048842</v>
      </c>
      <c r="G77" s="144">
        <v>6182582</v>
      </c>
      <c r="H77" s="165">
        <f>IF(F77=0, "    ---- ", IF(ABS(ROUND(100/F77*G77-100,1))&lt;999,ROUND(100/F77*G77-100,1),IF(ROUND(100/F77*G77-100,1)&gt;999,999,-999)))</f>
        <v>22.5</v>
      </c>
      <c r="I77" s="27">
        <f>IFERROR(100/'Skjema total MA'!F77*G77,0)</f>
        <v>16.869159902662844</v>
      </c>
      <c r="J77" s="284">
        <f t="shared" si="14"/>
        <v>5642808.3399999999</v>
      </c>
      <c r="K77" s="44">
        <f t="shared" si="14"/>
        <v>6808631.9399999995</v>
      </c>
      <c r="L77" s="252">
        <f>IF(J77=0, "    ---- ", IF(ABS(ROUND(100/J77*K77-100,1))&lt;999,ROUND(100/J77*K77-100,1),IF(ROUND(100/J77*K77-100,1)&gt;999,999,-999)))</f>
        <v>20.7</v>
      </c>
      <c r="M77" s="27">
        <f>IFERROR(100/'Skjema total MA'!I77*K77,0)</f>
        <v>16.298665583741766</v>
      </c>
    </row>
    <row r="78" spans="1:14" x14ac:dyDescent="0.25">
      <c r="A78" s="21" t="s">
        <v>9</v>
      </c>
      <c r="B78" s="232">
        <v>582677.6</v>
      </c>
      <c r="C78" s="144">
        <v>617357.93999999994</v>
      </c>
      <c r="D78" s="165">
        <f>IF(B78=0, "    ---- ", IF(ABS(ROUND(100/B78*C78-100,1))&lt;999,ROUND(100/B78*C78-100,1),IF(ROUND(100/B78*C78-100,1)&gt;999,999,-999)))</f>
        <v>6</v>
      </c>
      <c r="E78" s="27">
        <f>IFERROR(100/'Skjema total MA'!C78*C78,0)</f>
        <v>12.151728733946145</v>
      </c>
      <c r="F78" s="232"/>
      <c r="G78" s="144"/>
      <c r="H78" s="165"/>
      <c r="I78" s="27"/>
      <c r="J78" s="284">
        <f t="shared" si="14"/>
        <v>582677.6</v>
      </c>
      <c r="K78" s="44">
        <f t="shared" si="14"/>
        <v>617357.93999999994</v>
      </c>
      <c r="L78" s="252">
        <f>IF(J78=0, "    ---- ", IF(ABS(ROUND(100/J78*K78-100,1))&lt;999,ROUND(100/J78*K78-100,1),IF(ROUND(100/J78*K78-100,1)&gt;999,999,-999)))</f>
        <v>6</v>
      </c>
      <c r="M78" s="27">
        <f>IFERROR(100/'Skjema total MA'!I78*K78,0)</f>
        <v>12.151728733946145</v>
      </c>
    </row>
    <row r="79" spans="1:14" x14ac:dyDescent="0.25">
      <c r="A79" s="38" t="s">
        <v>495</v>
      </c>
      <c r="B79" s="289">
        <v>11288.74</v>
      </c>
      <c r="C79" s="290">
        <v>8692</v>
      </c>
      <c r="D79" s="165">
        <f>IF(B79=0, "    ---- ", IF(ABS(ROUND(100/B79*C79-100,1))&lt;999,ROUND(100/B79*C79-100,1),IF(ROUND(100/B79*C79-100,1)&gt;999,999,-999)))</f>
        <v>-23</v>
      </c>
      <c r="E79" s="27">
        <f>IFERROR(100/'Skjema total MA'!C79*C79,0)</f>
        <v>19.959278479339222</v>
      </c>
      <c r="F79" s="289">
        <v>5048842</v>
      </c>
      <c r="G79" s="290">
        <v>6182582</v>
      </c>
      <c r="H79" s="165">
        <f>IF(F79=0, "    ---- ", IF(ABS(ROUND(100/F79*G79-100,1))&lt;999,ROUND(100/F79*G79-100,1),IF(ROUND(100/F79*G79-100,1)&gt;999,999,-999)))</f>
        <v>22.5</v>
      </c>
      <c r="I79" s="27">
        <f>IFERROR(100/'Skjema total MA'!F79*G79,0)</f>
        <v>16.869159902662844</v>
      </c>
      <c r="J79" s="284">
        <f t="shared" si="14"/>
        <v>5060130.74</v>
      </c>
      <c r="K79" s="44">
        <f t="shared" si="14"/>
        <v>6191274</v>
      </c>
      <c r="L79" s="252">
        <f>IF(J79=0, "    ---- ", IF(ABS(ROUND(100/J79*K79-100,1))&lt;999,ROUND(100/J79*K79-100,1),IF(ROUND(100/J79*K79-100,1)&gt;999,999,-999)))</f>
        <v>22.4</v>
      </c>
      <c r="M79" s="27">
        <f>IFERROR(100/'Skjema total MA'!I79*K79,0)</f>
        <v>16.872827299125042</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v>11288.74</v>
      </c>
      <c r="C83" s="278">
        <v>8692</v>
      </c>
      <c r="D83" s="165">
        <f>IF(B83=0, "    ---- ", IF(ABS(ROUND(100/B83*C83-100,1))&lt;999,ROUND(100/B83*C83-100,1),IF(ROUND(100/B83*C83-100,1)&gt;999,999,-999)))</f>
        <v>-23</v>
      </c>
      <c r="E83" s="27">
        <f>IFERROR(100/'Skjema total MA'!C83*C83,0)</f>
        <v>19.959278479339222</v>
      </c>
      <c r="F83" s="278">
        <v>5048842</v>
      </c>
      <c r="G83" s="278">
        <v>6182582</v>
      </c>
      <c r="H83" s="165">
        <f t="shared" ref="H83:H85" si="15">IF(F83=0, "    ---- ", IF(ABS(ROUND(100/F83*G83-100,1))&lt;999,ROUND(100/F83*G83-100,1),IF(ROUND(100/F83*G83-100,1)&gt;999,999,-999)))</f>
        <v>22.5</v>
      </c>
      <c r="I83" s="27">
        <f>IFERROR(100/'Skjema total MA'!F83*G83,0)</f>
        <v>16.869159902662844</v>
      </c>
      <c r="J83" s="284">
        <f t="shared" ref="J83:J85" si="16">SUM(B83,F83)</f>
        <v>5060130.74</v>
      </c>
      <c r="K83" s="44">
        <f t="shared" ref="K83:K85" si="17">SUM(C83,G83)</f>
        <v>6191274</v>
      </c>
      <c r="L83" s="252">
        <f t="shared" ref="L83:L85" si="18">IF(J83=0, "    ---- ", IF(ABS(ROUND(100/J83*K83-100,1))&lt;999,ROUND(100/J83*K83-100,1),IF(ROUND(100/J83*K83-100,1)&gt;999,999,-999)))</f>
        <v>22.4</v>
      </c>
      <c r="M83" s="23">
        <f>IFERROR(100/'Skjema total MA'!I83*K83,0)</f>
        <v>16.872827299125042</v>
      </c>
    </row>
    <row r="84" spans="1:13" x14ac:dyDescent="0.25">
      <c r="A84" s="293" t="s">
        <v>12</v>
      </c>
      <c r="B84" s="233"/>
      <c r="C84" s="286"/>
      <c r="D84" s="165"/>
      <c r="E84" s="411"/>
      <c r="F84" s="278">
        <v>1017</v>
      </c>
      <c r="G84" s="278">
        <v>8</v>
      </c>
      <c r="H84" s="165">
        <f t="shared" si="15"/>
        <v>-99.2</v>
      </c>
      <c r="I84" s="27">
        <f>IFERROR(100/'Skjema total MA'!F84*G84,0)</f>
        <v>100</v>
      </c>
      <c r="J84" s="284">
        <f t="shared" si="16"/>
        <v>1017</v>
      </c>
      <c r="K84" s="44">
        <f t="shared" si="17"/>
        <v>8</v>
      </c>
      <c r="L84" s="252">
        <f t="shared" si="18"/>
        <v>-99.2</v>
      </c>
      <c r="M84" s="23">
        <f>IFERROR(100/'Skjema total MA'!I84*K84,0)</f>
        <v>100</v>
      </c>
    </row>
    <row r="85" spans="1:13" x14ac:dyDescent="0.25">
      <c r="A85" s="293" t="s">
        <v>13</v>
      </c>
      <c r="B85" s="233"/>
      <c r="C85" s="286"/>
      <c r="D85" s="165"/>
      <c r="E85" s="411"/>
      <c r="F85" s="278">
        <v>5047825</v>
      </c>
      <c r="G85" s="278">
        <v>6182574</v>
      </c>
      <c r="H85" s="165">
        <f t="shared" si="15"/>
        <v>22.5</v>
      </c>
      <c r="I85" s="27">
        <f>IFERROR(100/'Skjema total MA'!F85*G85,0)</f>
        <v>16.869141756875333</v>
      </c>
      <c r="J85" s="284">
        <f t="shared" si="16"/>
        <v>5047825</v>
      </c>
      <c r="K85" s="44">
        <f t="shared" si="17"/>
        <v>6182574</v>
      </c>
      <c r="L85" s="252">
        <f t="shared" si="18"/>
        <v>22.5</v>
      </c>
      <c r="M85" s="23">
        <f>IFERROR(100/'Skjema total MA'!I85*K85,0)</f>
        <v>16.869141756875333</v>
      </c>
    </row>
    <row r="86" spans="1:13" ht="15.6" x14ac:dyDescent="0.25">
      <c r="A86" s="21" t="s">
        <v>462</v>
      </c>
      <c r="B86" s="232">
        <v>9019.5300000000007</v>
      </c>
      <c r="C86" s="144">
        <v>8627.26</v>
      </c>
      <c r="D86" s="165">
        <f>IF(B86=0, "    ---- ", IF(ABS(ROUND(100/B86*C86-100,1))&lt;999,ROUND(100/B86*C86-100,1),IF(ROUND(100/B86*C86-100,1)&gt;999,999,-999)))</f>
        <v>-4.3</v>
      </c>
      <c r="E86" s="27">
        <f>IFERROR(100/'Skjema total MA'!C86*C86,0)</f>
        <v>8.9265044586789148</v>
      </c>
      <c r="F86" s="232">
        <v>2496</v>
      </c>
      <c r="G86" s="144">
        <v>2145</v>
      </c>
      <c r="H86" s="165">
        <f>IF(F86=0, "    ---- ", IF(ABS(ROUND(100/F86*G86-100,1))&lt;999,ROUND(100/F86*G86-100,1),IF(ROUND(100/F86*G86-100,1)&gt;999,999,-999)))</f>
        <v>-14.1</v>
      </c>
      <c r="I86" s="27">
        <f>IFERROR(100/'Skjema total MA'!F86*G86,0)</f>
        <v>17.789447566918223</v>
      </c>
      <c r="J86" s="284">
        <f t="shared" ref="J86:K90" si="19">SUM(B86,F86)</f>
        <v>11515.53</v>
      </c>
      <c r="K86" s="44">
        <f t="shared" si="19"/>
        <v>10772.26</v>
      </c>
      <c r="L86" s="252">
        <f>IF(J86=0, "    ---- ", IF(ABS(ROUND(100/J86*K86-100,1))&lt;999,ROUND(100/J86*K86-100,1),IF(ROUND(100/J86*K86-100,1)&gt;999,999,-999)))</f>
        <v>-6.5</v>
      </c>
      <c r="M86" s="27">
        <f>IFERROR(100/'Skjema total MA'!I86*K86,0)</f>
        <v>9.9095908716518917</v>
      </c>
    </row>
    <row r="87" spans="1:13" ht="15.6" x14ac:dyDescent="0.25">
      <c r="A87" s="13" t="s">
        <v>444</v>
      </c>
      <c r="B87" s="348">
        <v>48423524</v>
      </c>
      <c r="C87" s="348">
        <v>51002451</v>
      </c>
      <c r="D87" s="170">
        <f>IF(B87=0, "    ---- ", IF(ABS(ROUND(100/B87*C87-100,1))&lt;999,ROUND(100/B87*C87-100,1),IF(ROUND(100/B87*C87-100,1)&gt;999,999,-999)))</f>
        <v>5.3</v>
      </c>
      <c r="E87" s="11">
        <f>IFERROR(100/'Skjema total MA'!C87*C87,0)</f>
        <v>12.610712952577067</v>
      </c>
      <c r="F87" s="347">
        <v>57193255</v>
      </c>
      <c r="G87" s="347">
        <v>71019883.519999996</v>
      </c>
      <c r="H87" s="170">
        <f>IF(F87=0, "    ---- ", IF(ABS(ROUND(100/F87*G87-100,1))&lt;999,ROUND(100/F87*G87-100,1),IF(ROUND(100/F87*G87-100,1)&gt;999,999,-999)))</f>
        <v>24.2</v>
      </c>
      <c r="I87" s="11">
        <f>IFERROR(100/'Skjema total MA'!F87*G87,0)</f>
        <v>15.786320546607403</v>
      </c>
      <c r="J87" s="306">
        <f t="shared" si="19"/>
        <v>105616779</v>
      </c>
      <c r="K87" s="234">
        <f t="shared" si="19"/>
        <v>122022334.52</v>
      </c>
      <c r="L87" s="422">
        <f>IF(J87=0, "    ---- ", IF(ABS(ROUND(100/J87*K87-100,1))&lt;999,ROUND(100/J87*K87-100,1),IF(ROUND(100/J87*K87-100,1)&gt;999,999,-999)))</f>
        <v>15.5</v>
      </c>
      <c r="M87" s="11">
        <f>IFERROR(100/'Skjema total MA'!I87*K87,0)</f>
        <v>14.282978852879921</v>
      </c>
    </row>
    <row r="88" spans="1:13" x14ac:dyDescent="0.25">
      <c r="A88" s="21" t="s">
        <v>9</v>
      </c>
      <c r="B88" s="232">
        <v>46893215</v>
      </c>
      <c r="C88" s="144">
        <v>49433043</v>
      </c>
      <c r="D88" s="165">
        <f>IF(B88=0, "    ---- ", IF(ABS(ROUND(100/B88*C88-100,1))&lt;999,ROUND(100/B88*C88-100,1),IF(ROUND(100/B88*C88-100,1)&gt;999,999,-999)))</f>
        <v>5.4</v>
      </c>
      <c r="E88" s="27">
        <f>IFERROR(100/'Skjema total MA'!C88*C88,0)</f>
        <v>12.657867012493607</v>
      </c>
      <c r="F88" s="232"/>
      <c r="G88" s="144"/>
      <c r="H88" s="165"/>
      <c r="I88" s="27"/>
      <c r="J88" s="284">
        <f t="shared" si="19"/>
        <v>46893215</v>
      </c>
      <c r="K88" s="44">
        <f t="shared" si="19"/>
        <v>49433043</v>
      </c>
      <c r="L88" s="252">
        <f>IF(J88=0, "    ---- ", IF(ABS(ROUND(100/J88*K88-100,1))&lt;999,ROUND(100/J88*K88-100,1),IF(ROUND(100/J88*K88-100,1)&gt;999,999,-999)))</f>
        <v>5.4</v>
      </c>
      <c r="M88" s="27">
        <f>IFERROR(100/'Skjema total MA'!I88*K88,0)</f>
        <v>12.657867012493607</v>
      </c>
    </row>
    <row r="89" spans="1:13" x14ac:dyDescent="0.25">
      <c r="A89" s="21" t="s">
        <v>10</v>
      </c>
      <c r="B89" s="232">
        <v>1276325</v>
      </c>
      <c r="C89" s="144">
        <v>1268514</v>
      </c>
      <c r="D89" s="165">
        <f>IF(B89=0, "    ---- ", IF(ABS(ROUND(100/B89*C89-100,1))&lt;999,ROUND(100/B89*C89-100,1),IF(ROUND(100/B89*C89-100,1)&gt;999,999,-999)))</f>
        <v>-0.6</v>
      </c>
      <c r="E89" s="27">
        <f>IFERROR(100/'Skjema total MA'!C89*C89,0)</f>
        <v>40.034746199255714</v>
      </c>
      <c r="F89" s="232">
        <v>57193255</v>
      </c>
      <c r="G89" s="144">
        <v>71019883.519999996</v>
      </c>
      <c r="H89" s="165">
        <f>IF(F89=0, "    ---- ", IF(ABS(ROUND(100/F89*G89-100,1))&lt;999,ROUND(100/F89*G89-100,1),IF(ROUND(100/F89*G89-100,1)&gt;999,999,-999)))</f>
        <v>24.2</v>
      </c>
      <c r="I89" s="27">
        <f>IFERROR(100/'Skjema total MA'!F89*G89,0)</f>
        <v>15.95827834843365</v>
      </c>
      <c r="J89" s="284">
        <f t="shared" si="19"/>
        <v>58469580</v>
      </c>
      <c r="K89" s="44">
        <f t="shared" si="19"/>
        <v>72288397.519999996</v>
      </c>
      <c r="L89" s="252">
        <f>IF(J89=0, "    ---- ", IF(ABS(ROUND(100/J89*K89-100,1))&lt;999,ROUND(100/J89*K89-100,1),IF(ROUND(100/J89*K89-100,1)&gt;999,999,-999)))</f>
        <v>23.6</v>
      </c>
      <c r="M89" s="27">
        <f>IFERROR(100/'Skjema total MA'!I89*K89,0)</f>
        <v>16.128484765545448</v>
      </c>
    </row>
    <row r="90" spans="1:13" ht="15.6" x14ac:dyDescent="0.25">
      <c r="A90" s="293" t="s">
        <v>459</v>
      </c>
      <c r="B90" s="278"/>
      <c r="C90" s="278"/>
      <c r="D90" s="165"/>
      <c r="E90" s="411"/>
      <c r="F90" s="278">
        <v>14601</v>
      </c>
      <c r="G90" s="278">
        <v>13766</v>
      </c>
      <c r="H90" s="165">
        <f>IF(F90=0, "    ---- ", IF(ABS(ROUND(100/F90*G90-100,1))&lt;999,ROUND(100/F90*G90-100,1),IF(ROUND(100/F90*G90-100,1)&gt;999,999,-999)))</f>
        <v>-5.7</v>
      </c>
      <c r="I90" s="27">
        <f>IFERROR(100/'Skjema total MA'!F90*G90,0)</f>
        <v>11.942706932599965</v>
      </c>
      <c r="J90" s="284">
        <f t="shared" si="19"/>
        <v>14601</v>
      </c>
      <c r="K90" s="44">
        <f t="shared" si="19"/>
        <v>13766</v>
      </c>
      <c r="L90" s="252">
        <f>IF(J90=0, "    ---- ", IF(ABS(ROUND(100/J90*K90-100,1))&lt;999,ROUND(100/J90*K90-100,1),IF(ROUND(100/J90*K90-100,1)&gt;999,999,-999)))</f>
        <v>-5.7</v>
      </c>
      <c r="M90" s="23">
        <f>IFERROR(100/'Skjema total MA'!I90*K90,0)</f>
        <v>11.942706932599965</v>
      </c>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v>14601</v>
      </c>
      <c r="G92" s="278">
        <v>13766</v>
      </c>
      <c r="H92" s="165">
        <f t="shared" ref="H92:H95" si="20">IF(F92=0, "    ---- ", IF(ABS(ROUND(100/F92*G92-100,1))&lt;999,ROUND(100/F92*G92-100,1),IF(ROUND(100/F92*G92-100,1)&gt;999,999,-999)))</f>
        <v>-5.7</v>
      </c>
      <c r="I92" s="27">
        <f>IFERROR(100/'Skjema total MA'!F92*G92,0)</f>
        <v>100</v>
      </c>
      <c r="J92" s="284">
        <f t="shared" ref="J92:J95" si="21">SUM(B92,F92)</f>
        <v>14601</v>
      </c>
      <c r="K92" s="44">
        <f t="shared" ref="K92:K95" si="22">SUM(C92,G92)</f>
        <v>13766</v>
      </c>
      <c r="L92" s="252">
        <f t="shared" ref="L92:L95" si="23">IF(J92=0, "    ---- ", IF(ABS(ROUND(100/J92*K92-100,1))&lt;999,ROUND(100/J92*K92-100,1),IF(ROUND(100/J92*K92-100,1)&gt;999,999,-999)))</f>
        <v>-5.7</v>
      </c>
      <c r="M92" s="23">
        <f>IFERROR(100/'Skjema total MA'!I92*K92,0)</f>
        <v>100</v>
      </c>
    </row>
    <row r="93" spans="1:13" ht="15.6" x14ac:dyDescent="0.25">
      <c r="A93" s="293" t="s">
        <v>460</v>
      </c>
      <c r="B93" s="278">
        <v>1276325</v>
      </c>
      <c r="C93" s="278">
        <v>1268514</v>
      </c>
      <c r="D93" s="165">
        <f>IF(B93=0, "    ---- ", IF(ABS(ROUND(100/B93*C93-100,1))&lt;999,ROUND(100/B93*C93-100,1),IF(ROUND(100/B93*C93-100,1)&gt;999,999,-999)))</f>
        <v>-0.6</v>
      </c>
      <c r="E93" s="27">
        <f>IFERROR(100/'Skjema total MA'!C93*C93,0)</f>
        <v>40.034746199255714</v>
      </c>
      <c r="F93" s="278">
        <v>57178654</v>
      </c>
      <c r="G93" s="278">
        <v>71006117.519999996</v>
      </c>
      <c r="H93" s="165">
        <f t="shared" si="20"/>
        <v>24.2</v>
      </c>
      <c r="I93" s="27">
        <f>IFERROR(100/'Skjema total MA'!F93*G93,0)</f>
        <v>15.959318677958869</v>
      </c>
      <c r="J93" s="284">
        <f t="shared" si="21"/>
        <v>58454979</v>
      </c>
      <c r="K93" s="44">
        <f t="shared" si="22"/>
        <v>72274631.519999996</v>
      </c>
      <c r="L93" s="252">
        <f t="shared" si="23"/>
        <v>23.6</v>
      </c>
      <c r="M93" s="23">
        <f>IFERROR(100/'Skjema total MA'!I93*K93,0)</f>
        <v>16.129561522880834</v>
      </c>
    </row>
    <row r="94" spans="1:13" x14ac:dyDescent="0.25">
      <c r="A94" s="293" t="s">
        <v>12</v>
      </c>
      <c r="B94" s="233"/>
      <c r="C94" s="286"/>
      <c r="D94" s="165"/>
      <c r="E94" s="411"/>
      <c r="F94" s="278">
        <v>11517</v>
      </c>
      <c r="G94" s="278">
        <v>92.27</v>
      </c>
      <c r="H94" s="165">
        <f t="shared" si="20"/>
        <v>-99.2</v>
      </c>
      <c r="I94" s="27">
        <f>IFERROR(100/'Skjema total MA'!F94*G94,0)</f>
        <v>1.2129327402925218E-2</v>
      </c>
      <c r="J94" s="284">
        <f t="shared" si="21"/>
        <v>11517</v>
      </c>
      <c r="K94" s="44">
        <f t="shared" si="22"/>
        <v>92.27</v>
      </c>
      <c r="L94" s="252">
        <f t="shared" si="23"/>
        <v>-99.2</v>
      </c>
      <c r="M94" s="23">
        <f>IFERROR(100/'Skjema total MA'!I94*K94,0)</f>
        <v>1.2129327402925218E-2</v>
      </c>
    </row>
    <row r="95" spans="1:13" x14ac:dyDescent="0.25">
      <c r="A95" s="293" t="s">
        <v>13</v>
      </c>
      <c r="B95" s="233"/>
      <c r="C95" s="286"/>
      <c r="D95" s="165"/>
      <c r="E95" s="411"/>
      <c r="F95" s="278">
        <v>57167137</v>
      </c>
      <c r="G95" s="278">
        <v>71006025.25</v>
      </c>
      <c r="H95" s="165">
        <f t="shared" si="20"/>
        <v>24.2</v>
      </c>
      <c r="I95" s="27">
        <f>IFERROR(100/'Skjema total MA'!F95*G95,0)</f>
        <v>15.986631697769971</v>
      </c>
      <c r="J95" s="284">
        <f t="shared" si="21"/>
        <v>57167137</v>
      </c>
      <c r="K95" s="44">
        <f t="shared" si="22"/>
        <v>71006025.25</v>
      </c>
      <c r="L95" s="252">
        <f t="shared" si="23"/>
        <v>24.2</v>
      </c>
      <c r="M95" s="23">
        <f>IFERROR(100/'Skjema total MA'!I95*K95,0)</f>
        <v>15.986631697769971</v>
      </c>
    </row>
    <row r="96" spans="1:13" x14ac:dyDescent="0.25">
      <c r="A96" s="21" t="s">
        <v>346</v>
      </c>
      <c r="B96" s="232"/>
      <c r="C96" s="144"/>
      <c r="D96" s="165"/>
      <c r="E96" s="27"/>
      <c r="F96" s="232"/>
      <c r="G96" s="144"/>
      <c r="H96" s="165"/>
      <c r="I96" s="27"/>
      <c r="J96" s="284"/>
      <c r="K96" s="44"/>
      <c r="L96" s="252"/>
      <c r="M96" s="27"/>
    </row>
    <row r="97" spans="1:13" x14ac:dyDescent="0.25">
      <c r="A97" s="21" t="s">
        <v>345</v>
      </c>
      <c r="B97" s="232">
        <v>253984</v>
      </c>
      <c r="C97" s="144">
        <v>300894</v>
      </c>
      <c r="D97" s="165">
        <f>IF(B97=0, "    ---- ", IF(ABS(ROUND(100/B97*C97-100,1))&lt;999,ROUND(100/B97*C97-100,1),IF(ROUND(100/B97*C97-100,1)&gt;999,999,-999)))</f>
        <v>18.5</v>
      </c>
      <c r="E97" s="27">
        <f>IFERROR(100/'Skjema total MA'!C98*C97,0)</f>
        <v>7.7313999433284958E-2</v>
      </c>
      <c r="F97" s="232"/>
      <c r="G97" s="144"/>
      <c r="H97" s="165"/>
      <c r="I97" s="27"/>
      <c r="J97" s="284">
        <f t="shared" ref="J97:K100" si="24">SUM(B97,F97)</f>
        <v>253984</v>
      </c>
      <c r="K97" s="44">
        <f t="shared" si="24"/>
        <v>300894</v>
      </c>
      <c r="L97" s="252">
        <f>IF(J97=0, "    ---- ", IF(ABS(ROUND(100/J97*K97-100,1))&lt;999,ROUND(100/J97*K97-100,1),IF(ROUND(100/J97*K97-100,1)&gt;999,999,-999)))</f>
        <v>18.5</v>
      </c>
      <c r="M97" s="27">
        <f>IFERROR(100/'Skjema total MA'!I98*K97,0)</f>
        <v>3.6110576261387591E-2</v>
      </c>
    </row>
    <row r="98" spans="1:13" ht="15.6" x14ac:dyDescent="0.25">
      <c r="A98" s="21" t="s">
        <v>461</v>
      </c>
      <c r="B98" s="232">
        <v>48139128</v>
      </c>
      <c r="C98" s="232">
        <v>50666735</v>
      </c>
      <c r="D98" s="165">
        <f>IF(B98=0, "    ---- ", IF(ABS(ROUND(100/B98*C98-100,1))&lt;999,ROUND(100/B98*C98-100,1),IF(ROUND(100/B98*C98-100,1)&gt;999,999,-999)))</f>
        <v>5.3</v>
      </c>
      <c r="E98" s="27">
        <f>IFERROR(100/'Skjema total MA'!C98*C98,0)</f>
        <v>13.018697352145271</v>
      </c>
      <c r="F98" s="289">
        <v>57178654</v>
      </c>
      <c r="G98" s="289">
        <v>71006117.519999996</v>
      </c>
      <c r="H98" s="165">
        <f>IF(F98=0, "    ---- ", IF(ABS(ROUND(100/F98*G98-100,1))&lt;999,ROUND(100/F98*G98-100,1),IF(ROUND(100/F98*G98-100,1)&gt;999,999,-999)))</f>
        <v>24.2</v>
      </c>
      <c r="I98" s="27">
        <f>IFERROR(100/'Skjema total MA'!F98*G98,0)</f>
        <v>15.98974358565872</v>
      </c>
      <c r="J98" s="284">
        <f t="shared" si="24"/>
        <v>105317782</v>
      </c>
      <c r="K98" s="44">
        <f t="shared" si="24"/>
        <v>121672852.52</v>
      </c>
      <c r="L98" s="252">
        <f>IF(J98=0, "    ---- ", IF(ABS(ROUND(100/J98*K98-100,1))&lt;999,ROUND(100/J98*K98-100,1),IF(ROUND(100/J98*K98-100,1)&gt;999,999,-999)))</f>
        <v>15.5</v>
      </c>
      <c r="M98" s="27">
        <f>IFERROR(100/'Skjema total MA'!I98*K98,0)</f>
        <v>14.602075215404845</v>
      </c>
    </row>
    <row r="99" spans="1:13" x14ac:dyDescent="0.25">
      <c r="A99" s="21" t="s">
        <v>9</v>
      </c>
      <c r="B99" s="289">
        <v>46862803</v>
      </c>
      <c r="C99" s="290">
        <v>49398221</v>
      </c>
      <c r="D99" s="165">
        <f>IF(B99=0, "    ---- ", IF(ABS(ROUND(100/B99*C99-100,1))&lt;999,ROUND(100/B99*C99-100,1),IF(ROUND(100/B99*C99-100,1)&gt;999,999,-999)))</f>
        <v>5.4</v>
      </c>
      <c r="E99" s="27">
        <f>IFERROR(100/'Skjema total MA'!C99*C99,0)</f>
        <v>12.796941598340712</v>
      </c>
      <c r="F99" s="232"/>
      <c r="G99" s="144"/>
      <c r="H99" s="165"/>
      <c r="I99" s="27"/>
      <c r="J99" s="284">
        <f t="shared" si="24"/>
        <v>46862803</v>
      </c>
      <c r="K99" s="44">
        <f t="shared" si="24"/>
        <v>49398221</v>
      </c>
      <c r="L99" s="252">
        <f>IF(J99=0, "    ---- ", IF(ABS(ROUND(100/J99*K99-100,1))&lt;999,ROUND(100/J99*K99-100,1),IF(ROUND(100/J99*K99-100,1)&gt;999,999,-999)))</f>
        <v>5.4</v>
      </c>
      <c r="M99" s="27">
        <f>IFERROR(100/'Skjema total MA'!I99*K99,0)</f>
        <v>12.796941598340712</v>
      </c>
    </row>
    <row r="100" spans="1:13" x14ac:dyDescent="0.25">
      <c r="A100" s="38" t="s">
        <v>495</v>
      </c>
      <c r="B100" s="289">
        <v>1276325</v>
      </c>
      <c r="C100" s="290">
        <v>1268514</v>
      </c>
      <c r="D100" s="165">
        <f>IF(B100=0, "    ---- ", IF(ABS(ROUND(100/B100*C100-100,1))&lt;999,ROUND(100/B100*C100-100,1),IF(ROUND(100/B100*C100-100,1)&gt;999,999,-999)))</f>
        <v>-0.6</v>
      </c>
      <c r="E100" s="27">
        <f>IFERROR(100/'Skjema total MA'!C100*C100,0)</f>
        <v>40.034746199255714</v>
      </c>
      <c r="F100" s="232">
        <v>57178654</v>
      </c>
      <c r="G100" s="232">
        <v>71006117.519999996</v>
      </c>
      <c r="H100" s="165">
        <f>IF(F100=0, "    ---- ", IF(ABS(ROUND(100/F100*G100-100,1))&lt;999,ROUND(100/F100*G100-100,1),IF(ROUND(100/F100*G100-100,1)&gt;999,999,-999)))</f>
        <v>24.2</v>
      </c>
      <c r="I100" s="27">
        <f>IFERROR(100/'Skjema total MA'!F100*G100,0)</f>
        <v>15.98974358565872</v>
      </c>
      <c r="J100" s="284">
        <f t="shared" si="24"/>
        <v>58454979</v>
      </c>
      <c r="K100" s="44">
        <f t="shared" si="24"/>
        <v>72274631.519999996</v>
      </c>
      <c r="L100" s="252">
        <f>IF(J100=0, "    ---- ", IF(ABS(ROUND(100/J100*K100-100,1))&lt;999,ROUND(100/J100*K100-100,1),IF(ROUND(100/J100*K100-100,1)&gt;999,999,-999)))</f>
        <v>23.6</v>
      </c>
      <c r="M100" s="27">
        <f>IFERROR(100/'Skjema total MA'!I100*K100,0)</f>
        <v>16.16009313417511</v>
      </c>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v>1276325</v>
      </c>
      <c r="C104" s="278">
        <v>1268514</v>
      </c>
      <c r="D104" s="165">
        <f>IF(B104=0, "    ---- ", IF(ABS(ROUND(100/B104*C104-100,1))&lt;999,ROUND(100/B104*C104-100,1),IF(ROUND(100/B104*C104-100,1)&gt;999,999,-999)))</f>
        <v>-0.6</v>
      </c>
      <c r="E104" s="27">
        <f>IFERROR(100/'Skjema total MA'!C104*C104,0)</f>
        <v>40.034746199255714</v>
      </c>
      <c r="F104" s="278">
        <v>57178654</v>
      </c>
      <c r="G104" s="278">
        <v>71006117.519999996</v>
      </c>
      <c r="H104" s="165">
        <f t="shared" ref="H104:H106" si="25">IF(F104=0, "    ---- ", IF(ABS(ROUND(100/F104*G104-100,1))&lt;999,ROUND(100/F104*G104-100,1),IF(ROUND(100/F104*G104-100,1)&gt;999,999,-999)))</f>
        <v>24.2</v>
      </c>
      <c r="I104" s="27">
        <f>IFERROR(100/'Skjema total MA'!F104*G104,0)</f>
        <v>15.98974358565872</v>
      </c>
      <c r="J104" s="284">
        <f t="shared" ref="J104:J106" si="26">SUM(B104,F104)</f>
        <v>58454979</v>
      </c>
      <c r="K104" s="44">
        <f t="shared" ref="K104:K106" si="27">SUM(C104,G104)</f>
        <v>72274631.519999996</v>
      </c>
      <c r="L104" s="252">
        <f>IF(J104=0, "    ---- ", IF(ABS(ROUND(100/J104*K104-100,1))&lt;999,ROUND(100/J104*K104-100,1),IF(ROUND(100/J104*K104-100,1)&gt;999,999,-999)))</f>
        <v>23.6</v>
      </c>
      <c r="M104" s="23">
        <f>IFERROR(100/'Skjema total MA'!I104*K104,0)</f>
        <v>16.16009313417511</v>
      </c>
    </row>
    <row r="105" spans="1:13" x14ac:dyDescent="0.25">
      <c r="A105" s="293" t="s">
        <v>12</v>
      </c>
      <c r="B105" s="233"/>
      <c r="C105" s="286"/>
      <c r="D105" s="165"/>
      <c r="E105" s="411"/>
      <c r="F105" s="278">
        <v>11517</v>
      </c>
      <c r="G105" s="278">
        <v>92.27</v>
      </c>
      <c r="H105" s="165">
        <f t="shared" si="25"/>
        <v>-99.2</v>
      </c>
      <c r="I105" s="27">
        <f>IFERROR(100/'Skjema total MA'!F105*G105,0)</f>
        <v>100</v>
      </c>
      <c r="J105" s="284">
        <f t="shared" si="26"/>
        <v>11517</v>
      </c>
      <c r="K105" s="44">
        <f t="shared" si="27"/>
        <v>92.27</v>
      </c>
      <c r="L105" s="252">
        <f t="shared" ref="L105:L106" si="28">IF(J105=0, "    ---- ", IF(ABS(ROUND(100/J105*K105-100,1))&lt;999,ROUND(100/J105*K105-100,1),IF(ROUND(100/J105*K105-100,1)&gt;999,999,-999)))</f>
        <v>-99.2</v>
      </c>
      <c r="M105" s="23">
        <f>IFERROR(100/'Skjema total MA'!I105*K105,0)</f>
        <v>100</v>
      </c>
    </row>
    <row r="106" spans="1:13" x14ac:dyDescent="0.25">
      <c r="A106" s="293" t="s">
        <v>13</v>
      </c>
      <c r="B106" s="233"/>
      <c r="C106" s="286"/>
      <c r="D106" s="165"/>
      <c r="E106" s="411"/>
      <c r="F106" s="278">
        <v>57167137</v>
      </c>
      <c r="G106" s="278">
        <v>71006025.25</v>
      </c>
      <c r="H106" s="165">
        <f t="shared" si="25"/>
        <v>24.2</v>
      </c>
      <c r="I106" s="27">
        <f>IFERROR(100/'Skjema total MA'!F106*G106,0)</f>
        <v>15.989726129903085</v>
      </c>
      <c r="J106" s="284">
        <f t="shared" si="26"/>
        <v>57167137</v>
      </c>
      <c r="K106" s="44">
        <f t="shared" si="27"/>
        <v>71006025.25</v>
      </c>
      <c r="L106" s="252">
        <f t="shared" si="28"/>
        <v>24.2</v>
      </c>
      <c r="M106" s="23">
        <f>IFERROR(100/'Skjema total MA'!I106*K106,0)</f>
        <v>15.989726129903085</v>
      </c>
    </row>
    <row r="107" spans="1:13" ht="15.6" x14ac:dyDescent="0.25">
      <c r="A107" s="21" t="s">
        <v>462</v>
      </c>
      <c r="B107" s="232">
        <v>30412</v>
      </c>
      <c r="C107" s="144">
        <v>34822</v>
      </c>
      <c r="D107" s="165">
        <f>IF(B107=0, "    ---- ", IF(ABS(ROUND(100/B107*C107-100,1))&lt;999,ROUND(100/B107*C107-100,1),IF(ROUND(100/B107*C107-100,1)&gt;999,999,-999)))</f>
        <v>14.5</v>
      </c>
      <c r="E107" s="27">
        <f>IFERROR(100/'Skjema total MA'!C107*C107,0)</f>
        <v>0.77102314707848807</v>
      </c>
      <c r="F107" s="232">
        <v>14601</v>
      </c>
      <c r="G107" s="144">
        <v>13766</v>
      </c>
      <c r="H107" s="165">
        <f>IF(F107=0, "    ---- ", IF(ABS(ROUND(100/F107*G107-100,1))&lt;999,ROUND(100/F107*G107-100,1),IF(ROUND(100/F107*G107-100,1)&gt;999,999,-999)))</f>
        <v>-5.7</v>
      </c>
      <c r="I107" s="27">
        <f>IFERROR(100/'Skjema total MA'!F107*G107,0)</f>
        <v>1.4312013157050625</v>
      </c>
      <c r="J107" s="284">
        <f t="shared" ref="J107:K111" si="29">SUM(B107,F107)</f>
        <v>45013</v>
      </c>
      <c r="K107" s="44">
        <f t="shared" si="29"/>
        <v>48588</v>
      </c>
      <c r="L107" s="252">
        <f>IF(J107=0, "    ---- ", IF(ABS(ROUND(100/J107*K107-100,1))&lt;999,ROUND(100/J107*K107-100,1),IF(ROUND(100/J107*K107-100,1)&gt;999,999,-999)))</f>
        <v>7.9</v>
      </c>
      <c r="M107" s="27">
        <f>IFERROR(100/'Skjema total MA'!I107*K107,0)</f>
        <v>0.88693595762918409</v>
      </c>
    </row>
    <row r="108" spans="1:13" ht="15.6" x14ac:dyDescent="0.25">
      <c r="A108" s="21" t="s">
        <v>463</v>
      </c>
      <c r="B108" s="232">
        <v>37482073</v>
      </c>
      <c r="C108" s="232">
        <v>39000306</v>
      </c>
      <c r="D108" s="165">
        <f>IF(B108=0, "    ---- ", IF(ABS(ROUND(100/B108*C108-100,1))&lt;999,ROUND(100/B108*C108-100,1),IF(ROUND(100/B108*C108-100,1)&gt;999,999,-999)))</f>
        <v>4.0999999999999996</v>
      </c>
      <c r="E108" s="27">
        <f>IFERROR(100/'Skjema total MA'!C108*C108,0)</f>
        <v>11.593847426844233</v>
      </c>
      <c r="F108" s="232"/>
      <c r="G108" s="232"/>
      <c r="H108" s="165"/>
      <c r="I108" s="27"/>
      <c r="J108" s="284">
        <f t="shared" si="29"/>
        <v>37482073</v>
      </c>
      <c r="K108" s="44">
        <f t="shared" si="29"/>
        <v>39000306</v>
      </c>
      <c r="L108" s="252">
        <f>IF(J108=0, "    ---- ", IF(ABS(ROUND(100/J108*K108-100,1))&lt;999,ROUND(100/J108*K108-100,1),IF(ROUND(100/J108*K108-100,1)&gt;999,999,-999)))</f>
        <v>4.0999999999999996</v>
      </c>
      <c r="M108" s="27">
        <f>IFERROR(100/'Skjema total MA'!I108*K108,0)</f>
        <v>10.910940021107818</v>
      </c>
    </row>
    <row r="109" spans="1:13" ht="15.75" customHeight="1" x14ac:dyDescent="0.25">
      <c r="A109" s="21" t="s">
        <v>510</v>
      </c>
      <c r="B109" s="232">
        <v>630187</v>
      </c>
      <c r="C109" s="232">
        <v>761735</v>
      </c>
      <c r="D109" s="165">
        <f>IF(B109=0, "    ---- ", IF(ABS(ROUND(100/B109*C109-100,1))&lt;999,ROUND(100/B109*C109-100,1),IF(ROUND(100/B109*C109-100,1)&gt;999,999,-999)))</f>
        <v>20.9</v>
      </c>
      <c r="E109" s="27">
        <f>IFERROR(100/'Skjema total MA'!C109*C109,0)</f>
        <v>46.173918176356437</v>
      </c>
      <c r="F109" s="232">
        <v>22052098</v>
      </c>
      <c r="G109" s="232">
        <v>27725591</v>
      </c>
      <c r="H109" s="165">
        <f>IF(F109=0, "    ---- ", IF(ABS(ROUND(100/F109*G109-100,1))&lt;999,ROUND(100/F109*G109-100,1),IF(ROUND(100/F109*G109-100,1)&gt;999,999,-999)))</f>
        <v>25.7</v>
      </c>
      <c r="I109" s="27">
        <f>IFERROR(100/'Skjema total MA'!F109*G109,0)</f>
        <v>17.854633981159228</v>
      </c>
      <c r="J109" s="284">
        <f t="shared" si="29"/>
        <v>22682285</v>
      </c>
      <c r="K109" s="44">
        <f t="shared" si="29"/>
        <v>28487326</v>
      </c>
      <c r="L109" s="252">
        <f>IF(J109=0, "    ---- ", IF(ABS(ROUND(100/J109*K109-100,1))&lt;999,ROUND(100/J109*K109-100,1),IF(ROUND(100/J109*K109-100,1)&gt;999,999,-999)))</f>
        <v>25.6</v>
      </c>
      <c r="M109" s="27">
        <f>IFERROR(100/'Skjema total MA'!I109*K109,0)</f>
        <v>18.152327992674422</v>
      </c>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v>110850</v>
      </c>
      <c r="C111" s="158">
        <v>916</v>
      </c>
      <c r="D111" s="170">
        <f>IF(B111=0, "    ---- ", IF(ABS(ROUND(100/B111*C111-100,1))&lt;999,ROUND(100/B111*C111-100,1),IF(ROUND(100/B111*C111-100,1)&gt;999,999,-999)))</f>
        <v>-99.2</v>
      </c>
      <c r="E111" s="11">
        <f>IFERROR(100/'Skjema total MA'!C111*C111,0)</f>
        <v>0.16129751702020539</v>
      </c>
      <c r="F111" s="305">
        <v>9993684.8399999999</v>
      </c>
      <c r="G111" s="158">
        <v>13681950</v>
      </c>
      <c r="H111" s="170">
        <f>IF(F111=0, "    ---- ", IF(ABS(ROUND(100/F111*G111-100,1))&lt;999,ROUND(100/F111*G111-100,1),IF(ROUND(100/F111*G111-100,1)&gt;999,999,-999)))</f>
        <v>36.9</v>
      </c>
      <c r="I111" s="11">
        <f>IFERROR(100/'Skjema total MA'!F111*G111,0)</f>
        <v>16.248438586845413</v>
      </c>
      <c r="J111" s="306">
        <f t="shared" si="29"/>
        <v>10104534.84</v>
      </c>
      <c r="K111" s="234">
        <f t="shared" si="29"/>
        <v>13682866</v>
      </c>
      <c r="L111" s="422">
        <f>IF(J111=0, "    ---- ", IF(ABS(ROUND(100/J111*K111-100,1))&lt;999,ROUND(100/J111*K111-100,1),IF(ROUND(100/J111*K111-100,1)&gt;999,999,-999)))</f>
        <v>35.4</v>
      </c>
      <c r="M111" s="11">
        <f>IFERROR(100/'Skjema total MA'!I111*K111,0)</f>
        <v>16.140670256767443</v>
      </c>
    </row>
    <row r="112" spans="1:13" x14ac:dyDescent="0.25">
      <c r="A112" s="21" t="s">
        <v>9</v>
      </c>
      <c r="B112" s="232">
        <v>110850</v>
      </c>
      <c r="C112" s="144">
        <v>916</v>
      </c>
      <c r="D112" s="165">
        <f t="shared" ref="D112:D120" si="30">IF(B112=0, "    ---- ", IF(ABS(ROUND(100/B112*C112-100,1))&lt;999,ROUND(100/B112*C112-100,1),IF(ROUND(100/B112*C112-100,1)&gt;999,999,-999)))</f>
        <v>-99.2</v>
      </c>
      <c r="E112" s="27">
        <f>IFERROR(100/'Skjema total MA'!C112*C112,0)</f>
        <v>0.20726081499868929</v>
      </c>
      <c r="F112" s="232"/>
      <c r="G112" s="144"/>
      <c r="H112" s="165"/>
      <c r="I112" s="27"/>
      <c r="J112" s="284">
        <f t="shared" ref="J112:K125" si="31">SUM(B112,F112)</f>
        <v>110850</v>
      </c>
      <c r="K112" s="44">
        <f t="shared" si="31"/>
        <v>916</v>
      </c>
      <c r="L112" s="252">
        <f t="shared" ref="L112:L125" si="32">IF(J112=0, "    ---- ", IF(ABS(ROUND(100/J112*K112-100,1))&lt;999,ROUND(100/J112*K112-100,1),IF(ROUND(100/J112*K112-100,1)&gt;999,999,-999)))</f>
        <v>-99.2</v>
      </c>
      <c r="M112" s="27">
        <f>IFERROR(100/'Skjema total MA'!I112*K112,0)</f>
        <v>0.20203352058835258</v>
      </c>
    </row>
    <row r="113" spans="1:14" x14ac:dyDescent="0.25">
      <c r="A113" s="21" t="s">
        <v>495</v>
      </c>
      <c r="B113" s="232"/>
      <c r="C113" s="144"/>
      <c r="D113" s="165"/>
      <c r="E113" s="27"/>
      <c r="F113" s="232">
        <v>9993684.8399999999</v>
      </c>
      <c r="G113" s="144">
        <v>13681950</v>
      </c>
      <c r="H113" s="165">
        <f t="shared" ref="H113:H125" si="33">IF(F113=0, "    ---- ", IF(ABS(ROUND(100/F113*G113-100,1))&lt;999,ROUND(100/F113*G113-100,1),IF(ROUND(100/F113*G113-100,1)&gt;999,999,-999)))</f>
        <v>36.9</v>
      </c>
      <c r="I113" s="27">
        <f>IFERROR(100/'Skjema total MA'!F113*G113,0)</f>
        <v>16.250645402466386</v>
      </c>
      <c r="J113" s="284">
        <f t="shared" si="31"/>
        <v>9993684.8399999999</v>
      </c>
      <c r="K113" s="44">
        <f t="shared" si="31"/>
        <v>13681950</v>
      </c>
      <c r="L113" s="252">
        <f t="shared" si="32"/>
        <v>36.9</v>
      </c>
      <c r="M113" s="27">
        <f>IFERROR(100/'Skjema total MA'!I113*K113,0)</f>
        <v>16.250597270513477</v>
      </c>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v>2240731.0499999998</v>
      </c>
      <c r="G117" s="232">
        <v>10835354</v>
      </c>
      <c r="H117" s="165">
        <f t="shared" si="33"/>
        <v>383.6</v>
      </c>
      <c r="I117" s="27">
        <f>IFERROR(100/'Skjema total MA'!F117*G117,0)</f>
        <v>15.650225555984457</v>
      </c>
      <c r="J117" s="284">
        <f t="shared" si="31"/>
        <v>2240731.0499999998</v>
      </c>
      <c r="K117" s="44">
        <f t="shared" si="31"/>
        <v>10835354</v>
      </c>
      <c r="L117" s="252">
        <f t="shared" si="32"/>
        <v>383.6</v>
      </c>
      <c r="M117" s="27">
        <f>IFERROR(100/'Skjema total MA'!I117*K117,0)</f>
        <v>15.650225555984457</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v>48630</v>
      </c>
      <c r="C119" s="158">
        <v>834</v>
      </c>
      <c r="D119" s="170">
        <f t="shared" si="30"/>
        <v>-98.3</v>
      </c>
      <c r="E119" s="11">
        <f>IFERROR(100/'Skjema total MA'!C119*C119,0)</f>
        <v>0.15936415857685415</v>
      </c>
      <c r="F119" s="305">
        <v>2115262</v>
      </c>
      <c r="G119" s="158">
        <v>13519638</v>
      </c>
      <c r="H119" s="170">
        <f t="shared" si="33"/>
        <v>539.1</v>
      </c>
      <c r="I119" s="11">
        <f>IFERROR(100/'Skjema total MA'!F119*G119,0)</f>
        <v>14.816542984846938</v>
      </c>
      <c r="J119" s="306">
        <f t="shared" si="31"/>
        <v>2163892</v>
      </c>
      <c r="K119" s="234">
        <f t="shared" si="31"/>
        <v>13520472</v>
      </c>
      <c r="L119" s="422">
        <f t="shared" si="32"/>
        <v>524.79999999999995</v>
      </c>
      <c r="M119" s="11">
        <f>IFERROR(100/'Skjema total MA'!I119*K119,0)</f>
        <v>14.732958839611866</v>
      </c>
    </row>
    <row r="120" spans="1:14" x14ac:dyDescent="0.25">
      <c r="A120" s="21" t="s">
        <v>9</v>
      </c>
      <c r="B120" s="232">
        <v>48630</v>
      </c>
      <c r="C120" s="144">
        <v>834</v>
      </c>
      <c r="D120" s="165">
        <f t="shared" si="30"/>
        <v>-98.3</v>
      </c>
      <c r="E120" s="27">
        <f>IFERROR(100/'Skjema total MA'!C120*C120,0)</f>
        <v>0.23504009630407321</v>
      </c>
      <c r="F120" s="232"/>
      <c r="G120" s="144"/>
      <c r="H120" s="165"/>
      <c r="I120" s="27"/>
      <c r="J120" s="284">
        <f t="shared" si="31"/>
        <v>48630</v>
      </c>
      <c r="K120" s="44">
        <f t="shared" si="31"/>
        <v>834</v>
      </c>
      <c r="L120" s="252">
        <f t="shared" si="32"/>
        <v>-98.3</v>
      </c>
      <c r="M120" s="27">
        <f>IFERROR(100/'Skjema total MA'!I120*K120,0)</f>
        <v>0.23504009630407321</v>
      </c>
    </row>
    <row r="121" spans="1:14" x14ac:dyDescent="0.25">
      <c r="A121" s="21" t="s">
        <v>495</v>
      </c>
      <c r="B121" s="232"/>
      <c r="C121" s="144"/>
      <c r="D121" s="165"/>
      <c r="E121" s="27"/>
      <c r="F121" s="232">
        <v>2115262</v>
      </c>
      <c r="G121" s="144">
        <v>13519638</v>
      </c>
      <c r="H121" s="165">
        <f t="shared" si="33"/>
        <v>539.1</v>
      </c>
      <c r="I121" s="27">
        <f>IFERROR(100/'Skjema total MA'!F121*G121,0)</f>
        <v>14.816542984846938</v>
      </c>
      <c r="J121" s="284">
        <f t="shared" si="31"/>
        <v>2115262</v>
      </c>
      <c r="K121" s="44">
        <f t="shared" si="31"/>
        <v>13519638</v>
      </c>
      <c r="L121" s="252">
        <f t="shared" si="32"/>
        <v>539.1</v>
      </c>
      <c r="M121" s="27">
        <f>IFERROR(100/'Skjema total MA'!I121*K121,0)</f>
        <v>14.814401620741593</v>
      </c>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v>669107</v>
      </c>
      <c r="G125" s="232">
        <v>11210104</v>
      </c>
      <c r="H125" s="165">
        <f t="shared" si="33"/>
        <v>999</v>
      </c>
      <c r="I125" s="27">
        <f>IFERROR(100/'Skjema total MA'!F125*G125,0)</f>
        <v>15.537811694140858</v>
      </c>
      <c r="J125" s="284">
        <f t="shared" si="31"/>
        <v>669107</v>
      </c>
      <c r="K125" s="44">
        <f t="shared" si="31"/>
        <v>11210104</v>
      </c>
      <c r="L125" s="252">
        <f t="shared" si="32"/>
        <v>999</v>
      </c>
      <c r="M125" s="27">
        <f>IFERROR(100/'Skjema total MA'!I125*K125,0)</f>
        <v>15.537288576429962</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86" priority="132">
      <formula>kvartal &lt; 4</formula>
    </cfRule>
  </conditionalFormatting>
  <conditionalFormatting sqref="B69">
    <cfRule type="expression" dxfId="1485" priority="100">
      <formula>kvartal &lt; 4</formula>
    </cfRule>
  </conditionalFormatting>
  <conditionalFormatting sqref="C69">
    <cfRule type="expression" dxfId="1484" priority="99">
      <formula>kvartal &lt; 4</formula>
    </cfRule>
  </conditionalFormatting>
  <conditionalFormatting sqref="B72">
    <cfRule type="expression" dxfId="1483" priority="98">
      <formula>kvartal &lt; 4</formula>
    </cfRule>
  </conditionalFormatting>
  <conditionalFormatting sqref="C72">
    <cfRule type="expression" dxfId="1482" priority="97">
      <formula>kvartal &lt; 4</formula>
    </cfRule>
  </conditionalFormatting>
  <conditionalFormatting sqref="B80">
    <cfRule type="expression" dxfId="1481" priority="96">
      <formula>kvartal &lt; 4</formula>
    </cfRule>
  </conditionalFormatting>
  <conditionalFormatting sqref="C80">
    <cfRule type="expression" dxfId="1480" priority="95">
      <formula>kvartal &lt; 4</formula>
    </cfRule>
  </conditionalFormatting>
  <conditionalFormatting sqref="B83">
    <cfRule type="expression" dxfId="1479" priority="94">
      <formula>kvartal &lt; 4</formula>
    </cfRule>
  </conditionalFormatting>
  <conditionalFormatting sqref="C83">
    <cfRule type="expression" dxfId="1478" priority="93">
      <formula>kvartal &lt; 4</formula>
    </cfRule>
  </conditionalFormatting>
  <conditionalFormatting sqref="B90">
    <cfRule type="expression" dxfId="1477" priority="84">
      <formula>kvartal &lt; 4</formula>
    </cfRule>
  </conditionalFormatting>
  <conditionalFormatting sqref="C90">
    <cfRule type="expression" dxfId="1476" priority="83">
      <formula>kvartal &lt; 4</formula>
    </cfRule>
  </conditionalFormatting>
  <conditionalFormatting sqref="B93">
    <cfRule type="expression" dxfId="1475" priority="82">
      <formula>kvartal &lt; 4</formula>
    </cfRule>
  </conditionalFormatting>
  <conditionalFormatting sqref="C93">
    <cfRule type="expression" dxfId="1474" priority="81">
      <formula>kvartal &lt; 4</formula>
    </cfRule>
  </conditionalFormatting>
  <conditionalFormatting sqref="B101">
    <cfRule type="expression" dxfId="1473" priority="80">
      <formula>kvartal &lt; 4</formula>
    </cfRule>
  </conditionalFormatting>
  <conditionalFormatting sqref="C101">
    <cfRule type="expression" dxfId="1472" priority="79">
      <formula>kvartal &lt; 4</formula>
    </cfRule>
  </conditionalFormatting>
  <conditionalFormatting sqref="B104">
    <cfRule type="expression" dxfId="1471" priority="78">
      <formula>kvartal &lt; 4</formula>
    </cfRule>
  </conditionalFormatting>
  <conditionalFormatting sqref="C104">
    <cfRule type="expression" dxfId="1470" priority="77">
      <formula>kvartal &lt; 4</formula>
    </cfRule>
  </conditionalFormatting>
  <conditionalFormatting sqref="B115">
    <cfRule type="expression" dxfId="1469" priority="76">
      <formula>kvartal &lt; 4</formula>
    </cfRule>
  </conditionalFormatting>
  <conditionalFormatting sqref="C115">
    <cfRule type="expression" dxfId="1468" priority="75">
      <formula>kvartal &lt; 4</formula>
    </cfRule>
  </conditionalFormatting>
  <conditionalFormatting sqref="B123">
    <cfRule type="expression" dxfId="1467" priority="74">
      <formula>kvartal &lt; 4</formula>
    </cfRule>
  </conditionalFormatting>
  <conditionalFormatting sqref="C123">
    <cfRule type="expression" dxfId="1466" priority="73">
      <formula>kvartal &lt; 4</formula>
    </cfRule>
  </conditionalFormatting>
  <conditionalFormatting sqref="F70">
    <cfRule type="expression" dxfId="1465" priority="72">
      <formula>kvartal &lt; 4</formula>
    </cfRule>
  </conditionalFormatting>
  <conditionalFormatting sqref="G70">
    <cfRule type="expression" dxfId="1464" priority="71">
      <formula>kvartal &lt; 4</formula>
    </cfRule>
  </conditionalFormatting>
  <conditionalFormatting sqref="F71:G71">
    <cfRule type="expression" dxfId="1463" priority="70">
      <formula>kvartal &lt; 4</formula>
    </cfRule>
  </conditionalFormatting>
  <conditionalFormatting sqref="F73:G74">
    <cfRule type="expression" dxfId="1462" priority="69">
      <formula>kvartal &lt; 4</formula>
    </cfRule>
  </conditionalFormatting>
  <conditionalFormatting sqref="F81:G82">
    <cfRule type="expression" dxfId="1461" priority="68">
      <formula>kvartal &lt; 4</formula>
    </cfRule>
  </conditionalFormatting>
  <conditionalFormatting sqref="F84:G85">
    <cfRule type="expression" dxfId="1460" priority="67">
      <formula>kvartal &lt; 4</formula>
    </cfRule>
  </conditionalFormatting>
  <conditionalFormatting sqref="F91:G92">
    <cfRule type="expression" dxfId="1459" priority="62">
      <formula>kvartal &lt; 4</formula>
    </cfRule>
  </conditionalFormatting>
  <conditionalFormatting sqref="F94:G95">
    <cfRule type="expression" dxfId="1458" priority="61">
      <formula>kvartal &lt; 4</formula>
    </cfRule>
  </conditionalFormatting>
  <conditionalFormatting sqref="F102:G103">
    <cfRule type="expression" dxfId="1457" priority="60">
      <formula>kvartal &lt; 4</formula>
    </cfRule>
  </conditionalFormatting>
  <conditionalFormatting sqref="F105:G106">
    <cfRule type="expression" dxfId="1456" priority="59">
      <formula>kvartal &lt; 4</formula>
    </cfRule>
  </conditionalFormatting>
  <conditionalFormatting sqref="F115">
    <cfRule type="expression" dxfId="1455" priority="58">
      <formula>kvartal &lt; 4</formula>
    </cfRule>
  </conditionalFormatting>
  <conditionalFormatting sqref="G115">
    <cfRule type="expression" dxfId="1454" priority="57">
      <formula>kvartal &lt; 4</formula>
    </cfRule>
  </conditionalFormatting>
  <conditionalFormatting sqref="F123:G123">
    <cfRule type="expression" dxfId="1453" priority="56">
      <formula>kvartal &lt; 4</formula>
    </cfRule>
  </conditionalFormatting>
  <conditionalFormatting sqref="F69:G69">
    <cfRule type="expression" dxfId="1452" priority="55">
      <formula>kvartal &lt; 4</formula>
    </cfRule>
  </conditionalFormatting>
  <conditionalFormatting sqref="F72:G72">
    <cfRule type="expression" dxfId="1451" priority="54">
      <formula>kvartal &lt; 4</formula>
    </cfRule>
  </conditionalFormatting>
  <conditionalFormatting sqref="F80:G80">
    <cfRule type="expression" dxfId="1450" priority="53">
      <formula>kvartal &lt; 4</formula>
    </cfRule>
  </conditionalFormatting>
  <conditionalFormatting sqref="F83:G83">
    <cfRule type="expression" dxfId="1449" priority="52">
      <formula>kvartal &lt; 4</formula>
    </cfRule>
  </conditionalFormatting>
  <conditionalFormatting sqref="F90:G90">
    <cfRule type="expression" dxfId="1448" priority="46">
      <formula>kvartal &lt; 4</formula>
    </cfRule>
  </conditionalFormatting>
  <conditionalFormatting sqref="F93">
    <cfRule type="expression" dxfId="1447" priority="45">
      <formula>kvartal &lt; 4</formula>
    </cfRule>
  </conditionalFormatting>
  <conditionalFormatting sqref="G93">
    <cfRule type="expression" dxfId="1446" priority="44">
      <formula>kvartal &lt; 4</formula>
    </cfRule>
  </conditionalFormatting>
  <conditionalFormatting sqref="F101">
    <cfRule type="expression" dxfId="1445" priority="43">
      <formula>kvartal &lt; 4</formula>
    </cfRule>
  </conditionalFormatting>
  <conditionalFormatting sqref="G101">
    <cfRule type="expression" dxfId="1444" priority="42">
      <formula>kvartal &lt; 4</formula>
    </cfRule>
  </conditionalFormatting>
  <conditionalFormatting sqref="G104">
    <cfRule type="expression" dxfId="1443" priority="41">
      <formula>kvartal &lt; 4</formula>
    </cfRule>
  </conditionalFormatting>
  <conditionalFormatting sqref="F104">
    <cfRule type="expression" dxfId="1442" priority="40">
      <formula>kvartal &lt; 4</formula>
    </cfRule>
  </conditionalFormatting>
  <conditionalFormatting sqref="J80:K82">
    <cfRule type="expression" dxfId="1441" priority="37">
      <formula>kvartal &lt; 4</formula>
    </cfRule>
  </conditionalFormatting>
  <conditionalFormatting sqref="J91:K91">
    <cfRule type="expression" dxfId="1440" priority="34">
      <formula>kvartal &lt; 4</formula>
    </cfRule>
  </conditionalFormatting>
  <conditionalFormatting sqref="J101:K103">
    <cfRule type="expression" dxfId="1439" priority="33">
      <formula>kvartal &lt; 4</formula>
    </cfRule>
  </conditionalFormatting>
  <conditionalFormatting sqref="J115:K115">
    <cfRule type="expression" dxfId="1438" priority="32">
      <formula>kvartal &lt; 4</formula>
    </cfRule>
  </conditionalFormatting>
  <conditionalFormatting sqref="J123:K123">
    <cfRule type="expression" dxfId="1437" priority="31">
      <formula>kvartal &lt; 4</formula>
    </cfRule>
  </conditionalFormatting>
  <conditionalFormatting sqref="A50:A52">
    <cfRule type="expression" dxfId="1436" priority="12">
      <formula>kvartal &lt; 4</formula>
    </cfRule>
  </conditionalFormatting>
  <conditionalFormatting sqref="A69:A74">
    <cfRule type="expression" dxfId="1435" priority="10">
      <formula>kvartal &lt; 4</formula>
    </cfRule>
  </conditionalFormatting>
  <conditionalFormatting sqref="A80:A85">
    <cfRule type="expression" dxfId="1434" priority="9">
      <formula>kvartal &lt; 4</formula>
    </cfRule>
  </conditionalFormatting>
  <conditionalFormatting sqref="A90:A95">
    <cfRule type="expression" dxfId="1433" priority="6">
      <formula>kvartal &lt; 4</formula>
    </cfRule>
  </conditionalFormatting>
  <conditionalFormatting sqref="A101:A106">
    <cfRule type="expression" dxfId="1432" priority="5">
      <formula>kvartal &lt; 4</formula>
    </cfRule>
  </conditionalFormatting>
  <conditionalFormatting sqref="A115">
    <cfRule type="expression" dxfId="1431" priority="4">
      <formula>kvartal &lt; 4</formula>
    </cfRule>
  </conditionalFormatting>
  <conditionalFormatting sqref="A123">
    <cfRule type="expression" dxfId="1430" priority="3">
      <formula>kvartal &lt; 4</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95</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31780</v>
      </c>
      <c r="C47" s="308">
        <v>31310</v>
      </c>
      <c r="D47" s="421">
        <f t="shared" ref="D47:D48" si="0">IF(B47=0, "    ---- ", IF(ABS(ROUND(100/B47*C47-100,1))&lt;999,ROUND(100/B47*C47-100,1),IF(ROUND(100/B47*C47-100,1)&gt;999,999,-999)))</f>
        <v>-1.5</v>
      </c>
      <c r="E47" s="11">
        <f>IFERROR(100/'Skjema total MA'!C47*C47,0)</f>
        <v>0.61464412249307232</v>
      </c>
      <c r="F47" s="144"/>
      <c r="G47" s="33"/>
      <c r="H47" s="158"/>
      <c r="I47" s="158"/>
      <c r="J47" s="37"/>
      <c r="K47" s="37"/>
      <c r="L47" s="158"/>
      <c r="M47" s="158"/>
      <c r="N47" s="147"/>
    </row>
    <row r="48" spans="1:14" s="3" customFormat="1" ht="15.6" x14ac:dyDescent="0.25">
      <c r="A48" s="38" t="s">
        <v>455</v>
      </c>
      <c r="B48" s="278">
        <v>31780</v>
      </c>
      <c r="C48" s="279">
        <v>31310</v>
      </c>
      <c r="D48" s="252">
        <f t="shared" si="0"/>
        <v>-1.5</v>
      </c>
      <c r="E48" s="27">
        <f>IFERROR(100/'Skjema total MA'!C48*C48,0)</f>
        <v>1.1054894225129415</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v>3985220</v>
      </c>
      <c r="C134" s="306">
        <v>7445412</v>
      </c>
      <c r="D134" s="345">
        <f>IF(B134=0, "    ---- ", IF(ABS(ROUND(100/B134*C134-100,1))&lt;999,ROUND(100/B134*C134-100,1),IF(ROUND(100/B134*C134-100,1)&gt;999,999,-999)))</f>
        <v>86.8</v>
      </c>
      <c r="E134" s="11">
        <f>IFERROR(100/'Skjema total MA'!C134*C134,0)</f>
        <v>12.75757860324507</v>
      </c>
      <c r="F134" s="313"/>
      <c r="G134" s="314"/>
      <c r="H134" s="425"/>
      <c r="I134" s="24"/>
      <c r="J134" s="315">
        <f t="shared" ref="J134:K137" si="1">SUM(B134,F134)</f>
        <v>3985220</v>
      </c>
      <c r="K134" s="315">
        <f t="shared" si="1"/>
        <v>7445412</v>
      </c>
      <c r="L134" s="421">
        <f>IF(J134=0, "    ---- ", IF(ABS(ROUND(100/J134*K134-100,1))&lt;999,ROUND(100/J134*K134-100,1),IF(ROUND(100/J134*K134-100,1)&gt;999,999,-999)))</f>
        <v>86.8</v>
      </c>
      <c r="M134" s="11">
        <f>IFERROR(100/'Skjema total MA'!I134*K134,0)</f>
        <v>12.728133898609691</v>
      </c>
      <c r="N134" s="147"/>
    </row>
    <row r="135" spans="1:14" s="3" customFormat="1" ht="15.6" x14ac:dyDescent="0.25">
      <c r="A135" s="13" t="s">
        <v>471</v>
      </c>
      <c r="B135" s="234">
        <v>82047000</v>
      </c>
      <c r="C135" s="306">
        <v>102259830</v>
      </c>
      <c r="D135" s="170">
        <f>IF(B135=0, "    ---- ", IF(ABS(ROUND(100/B135*C135-100,1))&lt;999,ROUND(100/B135*C135-100,1),IF(ROUND(100/B135*C135-100,1)&gt;999,999,-999)))</f>
        <v>24.6</v>
      </c>
      <c r="E135" s="11">
        <f>IFERROR(100/'Skjema total MA'!C135*C135,0)</f>
        <v>14.858563408363178</v>
      </c>
      <c r="F135" s="234"/>
      <c r="G135" s="306"/>
      <c r="H135" s="426"/>
      <c r="I135" s="24"/>
      <c r="J135" s="305">
        <f t="shared" si="1"/>
        <v>82047000</v>
      </c>
      <c r="K135" s="305">
        <f t="shared" si="1"/>
        <v>102259830</v>
      </c>
      <c r="L135" s="422">
        <f>IF(J135=0, "    ---- ", IF(ABS(ROUND(100/J135*K135-100,1))&lt;999,ROUND(100/J135*K135-100,1),IF(ROUND(100/J135*K135-100,1)&gt;999,999,-999)))</f>
        <v>24.6</v>
      </c>
      <c r="M135" s="11">
        <f>IFERROR(100/'Skjema total MA'!I135*K135,0)</f>
        <v>14.810480702356928</v>
      </c>
      <c r="N135" s="147"/>
    </row>
    <row r="136" spans="1:14" s="3" customFormat="1" ht="15.6" x14ac:dyDescent="0.25">
      <c r="A136" s="13" t="s">
        <v>468</v>
      </c>
      <c r="B136" s="234">
        <v>0</v>
      </c>
      <c r="C136" s="306">
        <v>14496</v>
      </c>
      <c r="D136" s="170" t="str">
        <f>IF(B136=0, "    ---- ", IF(ABS(ROUND(100/B136*C136-100,1))&lt;999,ROUND(100/B136*C136-100,1),IF(ROUND(100/B136*C136-100,1)&gt;999,999,-999)))</f>
        <v xml:space="preserve">    ---- </v>
      </c>
      <c r="E136" s="11">
        <f>IFERROR(100/'Skjema total MA'!C136*C136,0)</f>
        <v>0.21170150207727323</v>
      </c>
      <c r="F136" s="234"/>
      <c r="G136" s="306"/>
      <c r="H136" s="426"/>
      <c r="I136" s="24"/>
      <c r="J136" s="305">
        <f t="shared" si="1"/>
        <v>0</v>
      </c>
      <c r="K136" s="305">
        <f t="shared" si="1"/>
        <v>14496</v>
      </c>
      <c r="L136" s="422" t="str">
        <f>IF(J136=0, "    ---- ", IF(ABS(ROUND(100/J136*K136-100,1))&lt;999,ROUND(100/J136*K136-100,1),IF(ROUND(100/J136*K136-100,1)&gt;999,999,-999)))</f>
        <v xml:space="preserve">    ---- </v>
      </c>
      <c r="M136" s="11">
        <f>IFERROR(100/'Skjema total MA'!I136*K136,0)</f>
        <v>0.21170150207727323</v>
      </c>
      <c r="N136" s="147"/>
    </row>
    <row r="137" spans="1:14" s="3" customFormat="1" ht="15.6" x14ac:dyDescent="0.25">
      <c r="A137" s="41" t="s">
        <v>469</v>
      </c>
      <c r="B137" s="273">
        <v>40555</v>
      </c>
      <c r="C137" s="312">
        <v>0</v>
      </c>
      <c r="D137" s="168">
        <f>IF(B137=0, "    ---- ", IF(ABS(ROUND(100/B137*C137-100,1))&lt;999,ROUND(100/B137*C137-100,1),IF(ROUND(100/B137*C137-100,1)&gt;999,999,-999)))</f>
        <v>-100</v>
      </c>
      <c r="E137" s="9">
        <f>IFERROR(100/'Skjema total MA'!C137*C137,0)</f>
        <v>0</v>
      </c>
      <c r="F137" s="273"/>
      <c r="G137" s="312"/>
      <c r="H137" s="427"/>
      <c r="I137" s="36"/>
      <c r="J137" s="311">
        <f t="shared" si="1"/>
        <v>40555</v>
      </c>
      <c r="K137" s="311">
        <f t="shared" si="1"/>
        <v>0</v>
      </c>
      <c r="L137" s="423">
        <f>IF(J137=0, "    ---- ", IF(ABS(ROUND(100/J137*K137-100,1))&lt;999,ROUND(100/J137*K137-100,1),IF(ROUND(100/J137*K137-100,1)&gt;999,999,-999)))</f>
        <v>-100</v>
      </c>
      <c r="M137" s="36">
        <f>IFERROR(100/'Skjema total MA'!I137*K137,0)</f>
        <v>0</v>
      </c>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29" priority="132">
      <formula>kvartal &lt; 4</formula>
    </cfRule>
  </conditionalFormatting>
  <conditionalFormatting sqref="B69">
    <cfRule type="expression" dxfId="1428" priority="100">
      <formula>kvartal &lt; 4</formula>
    </cfRule>
  </conditionalFormatting>
  <conditionalFormatting sqref="C69">
    <cfRule type="expression" dxfId="1427" priority="99">
      <formula>kvartal &lt; 4</formula>
    </cfRule>
  </conditionalFormatting>
  <conditionalFormatting sqref="B72">
    <cfRule type="expression" dxfId="1426" priority="98">
      <formula>kvartal &lt; 4</formula>
    </cfRule>
  </conditionalFormatting>
  <conditionalFormatting sqref="C72">
    <cfRule type="expression" dxfId="1425" priority="97">
      <formula>kvartal &lt; 4</formula>
    </cfRule>
  </conditionalFormatting>
  <conditionalFormatting sqref="B80">
    <cfRule type="expression" dxfId="1424" priority="96">
      <formula>kvartal &lt; 4</formula>
    </cfRule>
  </conditionalFormatting>
  <conditionalFormatting sqref="C80">
    <cfRule type="expression" dxfId="1423" priority="95">
      <formula>kvartal &lt; 4</formula>
    </cfRule>
  </conditionalFormatting>
  <conditionalFormatting sqref="B83">
    <cfRule type="expression" dxfId="1422" priority="94">
      <formula>kvartal &lt; 4</formula>
    </cfRule>
  </conditionalFormatting>
  <conditionalFormatting sqref="C83">
    <cfRule type="expression" dxfId="1421" priority="93">
      <formula>kvartal &lt; 4</formula>
    </cfRule>
  </conditionalFormatting>
  <conditionalFormatting sqref="B90">
    <cfRule type="expression" dxfId="1420" priority="84">
      <formula>kvartal &lt; 4</formula>
    </cfRule>
  </conditionalFormatting>
  <conditionalFormatting sqref="C90">
    <cfRule type="expression" dxfId="1419" priority="83">
      <formula>kvartal &lt; 4</formula>
    </cfRule>
  </conditionalFormatting>
  <conditionalFormatting sqref="B93">
    <cfRule type="expression" dxfId="1418" priority="82">
      <formula>kvartal &lt; 4</formula>
    </cfRule>
  </conditionalFormatting>
  <conditionalFormatting sqref="C93">
    <cfRule type="expression" dxfId="1417" priority="81">
      <formula>kvartal &lt; 4</formula>
    </cfRule>
  </conditionalFormatting>
  <conditionalFormatting sqref="B101">
    <cfRule type="expression" dxfId="1416" priority="80">
      <formula>kvartal &lt; 4</formula>
    </cfRule>
  </conditionalFormatting>
  <conditionalFormatting sqref="C101">
    <cfRule type="expression" dxfId="1415" priority="79">
      <formula>kvartal &lt; 4</formula>
    </cfRule>
  </conditionalFormatting>
  <conditionalFormatting sqref="B104">
    <cfRule type="expression" dxfId="1414" priority="78">
      <formula>kvartal &lt; 4</formula>
    </cfRule>
  </conditionalFormatting>
  <conditionalFormatting sqref="C104">
    <cfRule type="expression" dxfId="1413" priority="77">
      <formula>kvartal &lt; 4</formula>
    </cfRule>
  </conditionalFormatting>
  <conditionalFormatting sqref="B115">
    <cfRule type="expression" dxfId="1412" priority="76">
      <formula>kvartal &lt; 4</formula>
    </cfRule>
  </conditionalFormatting>
  <conditionalFormatting sqref="C115">
    <cfRule type="expression" dxfId="1411" priority="75">
      <formula>kvartal &lt; 4</formula>
    </cfRule>
  </conditionalFormatting>
  <conditionalFormatting sqref="B123">
    <cfRule type="expression" dxfId="1410" priority="74">
      <formula>kvartal &lt; 4</formula>
    </cfRule>
  </conditionalFormatting>
  <conditionalFormatting sqref="C123">
    <cfRule type="expression" dxfId="1409" priority="73">
      <formula>kvartal &lt; 4</formula>
    </cfRule>
  </conditionalFormatting>
  <conditionalFormatting sqref="F70">
    <cfRule type="expression" dxfId="1408" priority="72">
      <formula>kvartal &lt; 4</formula>
    </cfRule>
  </conditionalFormatting>
  <conditionalFormatting sqref="G70">
    <cfRule type="expression" dxfId="1407" priority="71">
      <formula>kvartal &lt; 4</formula>
    </cfRule>
  </conditionalFormatting>
  <conditionalFormatting sqref="F71:G71">
    <cfRule type="expression" dxfId="1406" priority="70">
      <formula>kvartal &lt; 4</formula>
    </cfRule>
  </conditionalFormatting>
  <conditionalFormatting sqref="F73:G74">
    <cfRule type="expression" dxfId="1405" priority="69">
      <formula>kvartal &lt; 4</formula>
    </cfRule>
  </conditionalFormatting>
  <conditionalFormatting sqref="F81:G82">
    <cfRule type="expression" dxfId="1404" priority="68">
      <formula>kvartal &lt; 4</formula>
    </cfRule>
  </conditionalFormatting>
  <conditionalFormatting sqref="F84:G85">
    <cfRule type="expression" dxfId="1403" priority="67">
      <formula>kvartal &lt; 4</formula>
    </cfRule>
  </conditionalFormatting>
  <conditionalFormatting sqref="F91:G92">
    <cfRule type="expression" dxfId="1402" priority="62">
      <formula>kvartal &lt; 4</formula>
    </cfRule>
  </conditionalFormatting>
  <conditionalFormatting sqref="F94:G95">
    <cfRule type="expression" dxfId="1401" priority="61">
      <formula>kvartal &lt; 4</formula>
    </cfRule>
  </conditionalFormatting>
  <conditionalFormatting sqref="F102:G103">
    <cfRule type="expression" dxfId="1400" priority="60">
      <formula>kvartal &lt; 4</formula>
    </cfRule>
  </conditionalFormatting>
  <conditionalFormatting sqref="F105:G106">
    <cfRule type="expression" dxfId="1399" priority="59">
      <formula>kvartal &lt; 4</formula>
    </cfRule>
  </conditionalFormatting>
  <conditionalFormatting sqref="F115">
    <cfRule type="expression" dxfId="1398" priority="58">
      <formula>kvartal &lt; 4</formula>
    </cfRule>
  </conditionalFormatting>
  <conditionalFormatting sqref="G115">
    <cfRule type="expression" dxfId="1397" priority="57">
      <formula>kvartal &lt; 4</formula>
    </cfRule>
  </conditionalFormatting>
  <conditionalFormatting sqref="F123:G123">
    <cfRule type="expression" dxfId="1396" priority="56">
      <formula>kvartal &lt; 4</formula>
    </cfRule>
  </conditionalFormatting>
  <conditionalFormatting sqref="F69:G69">
    <cfRule type="expression" dxfId="1395" priority="55">
      <formula>kvartal &lt; 4</formula>
    </cfRule>
  </conditionalFormatting>
  <conditionalFormatting sqref="F72:G72">
    <cfRule type="expression" dxfId="1394" priority="54">
      <formula>kvartal &lt; 4</formula>
    </cfRule>
  </conditionalFormatting>
  <conditionalFormatting sqref="F80:G80">
    <cfRule type="expression" dxfId="1393" priority="53">
      <formula>kvartal &lt; 4</formula>
    </cfRule>
  </conditionalFormatting>
  <conditionalFormatting sqref="F83:G83">
    <cfRule type="expression" dxfId="1392" priority="52">
      <formula>kvartal &lt; 4</formula>
    </cfRule>
  </conditionalFormatting>
  <conditionalFormatting sqref="F90:G90">
    <cfRule type="expression" dxfId="1391" priority="46">
      <formula>kvartal &lt; 4</formula>
    </cfRule>
  </conditionalFormatting>
  <conditionalFormatting sqref="F93">
    <cfRule type="expression" dxfId="1390" priority="45">
      <formula>kvartal &lt; 4</formula>
    </cfRule>
  </conditionalFormatting>
  <conditionalFormatting sqref="G93">
    <cfRule type="expression" dxfId="1389" priority="44">
      <formula>kvartal &lt; 4</formula>
    </cfRule>
  </conditionalFormatting>
  <conditionalFormatting sqref="F101">
    <cfRule type="expression" dxfId="1388" priority="43">
      <formula>kvartal &lt; 4</formula>
    </cfRule>
  </conditionalFormatting>
  <conditionalFormatting sqref="G101">
    <cfRule type="expression" dxfId="1387" priority="42">
      <formula>kvartal &lt; 4</formula>
    </cfRule>
  </conditionalFormatting>
  <conditionalFormatting sqref="G104">
    <cfRule type="expression" dxfId="1386" priority="41">
      <formula>kvartal &lt; 4</formula>
    </cfRule>
  </conditionalFormatting>
  <conditionalFormatting sqref="F104">
    <cfRule type="expression" dxfId="1385" priority="40">
      <formula>kvartal &lt; 4</formula>
    </cfRule>
  </conditionalFormatting>
  <conditionalFormatting sqref="J69:K73">
    <cfRule type="expression" dxfId="1384" priority="39">
      <formula>kvartal &lt; 4</formula>
    </cfRule>
  </conditionalFormatting>
  <conditionalFormatting sqref="J74:K74">
    <cfRule type="expression" dxfId="1383" priority="38">
      <formula>kvartal &lt; 4</formula>
    </cfRule>
  </conditionalFormatting>
  <conditionalFormatting sqref="J80:K85">
    <cfRule type="expression" dxfId="1382" priority="37">
      <formula>kvartal &lt; 4</formula>
    </cfRule>
  </conditionalFormatting>
  <conditionalFormatting sqref="J90:K95">
    <cfRule type="expression" dxfId="1381" priority="34">
      <formula>kvartal &lt; 4</formula>
    </cfRule>
  </conditionalFormatting>
  <conditionalFormatting sqref="J101:K106">
    <cfRule type="expression" dxfId="1380" priority="33">
      <formula>kvartal &lt; 4</formula>
    </cfRule>
  </conditionalFormatting>
  <conditionalFormatting sqref="J115:K115">
    <cfRule type="expression" dxfId="1379" priority="32">
      <formula>kvartal &lt; 4</formula>
    </cfRule>
  </conditionalFormatting>
  <conditionalFormatting sqref="J123:K123">
    <cfRule type="expression" dxfId="1378" priority="31">
      <formula>kvartal &lt; 4</formula>
    </cfRule>
  </conditionalFormatting>
  <conditionalFormatting sqref="A50:A52">
    <cfRule type="expression" dxfId="1377" priority="12">
      <formula>kvartal &lt; 4</formula>
    </cfRule>
  </conditionalFormatting>
  <conditionalFormatting sqref="A69:A74">
    <cfRule type="expression" dxfId="1376" priority="10">
      <formula>kvartal &lt; 4</formula>
    </cfRule>
  </conditionalFormatting>
  <conditionalFormatting sqref="A80:A85">
    <cfRule type="expression" dxfId="1375" priority="9">
      <formula>kvartal &lt; 4</formula>
    </cfRule>
  </conditionalFormatting>
  <conditionalFormatting sqref="A90:A95">
    <cfRule type="expression" dxfId="1374" priority="6">
      <formula>kvartal &lt; 4</formula>
    </cfRule>
  </conditionalFormatting>
  <conditionalFormatting sqref="A101:A106">
    <cfRule type="expression" dxfId="1373" priority="5">
      <formula>kvartal &lt; 4</formula>
    </cfRule>
  </conditionalFormatting>
  <conditionalFormatting sqref="A115">
    <cfRule type="expression" dxfId="1372" priority="4">
      <formula>kvartal &lt; 4</formula>
    </cfRule>
  </conditionalFormatting>
  <conditionalFormatting sqref="A123">
    <cfRule type="expression" dxfId="1371" priority="3">
      <formula>kvartal &lt; 4</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781" t="s">
        <v>443</v>
      </c>
      <c r="D1" s="26"/>
      <c r="E1" s="26"/>
      <c r="F1" s="26"/>
      <c r="G1" s="26"/>
      <c r="H1" s="26"/>
      <c r="I1" s="26"/>
      <c r="J1" s="26"/>
      <c r="K1" s="26"/>
      <c r="L1" s="26"/>
      <c r="M1" s="26"/>
    </row>
    <row r="2" spans="1:14" ht="15.6" x14ac:dyDescent="0.3">
      <c r="A2" s="164" t="s">
        <v>28</v>
      </c>
      <c r="B2" s="963"/>
      <c r="C2" s="963"/>
      <c r="D2" s="963"/>
      <c r="E2" s="778"/>
      <c r="F2" s="963"/>
      <c r="G2" s="963"/>
      <c r="H2" s="963"/>
      <c r="I2" s="778"/>
      <c r="J2" s="963"/>
      <c r="K2" s="963"/>
      <c r="L2" s="963"/>
      <c r="M2" s="778"/>
    </row>
    <row r="3" spans="1:14" ht="15.6" x14ac:dyDescent="0.3">
      <c r="A3" s="162"/>
      <c r="B3" s="778"/>
      <c r="C3" s="778"/>
      <c r="D3" s="778"/>
      <c r="E3" s="778"/>
      <c r="F3" s="778"/>
      <c r="G3" s="778"/>
      <c r="H3" s="778"/>
      <c r="I3" s="778"/>
      <c r="J3" s="778"/>
      <c r="K3" s="778"/>
      <c r="L3" s="778"/>
      <c r="M3" s="778"/>
    </row>
    <row r="4" spans="1:14" x14ac:dyDescent="0.25">
      <c r="A4" s="143"/>
      <c r="B4" s="959" t="s">
        <v>0</v>
      </c>
      <c r="C4" s="960"/>
      <c r="D4" s="960"/>
      <c r="E4" s="776"/>
      <c r="F4" s="959" t="s">
        <v>1</v>
      </c>
      <c r="G4" s="960"/>
      <c r="H4" s="960"/>
      <c r="I4" s="777"/>
      <c r="J4" s="959" t="s">
        <v>2</v>
      </c>
      <c r="K4" s="960"/>
      <c r="L4" s="960"/>
      <c r="M4" s="777"/>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2787.0273205479398</v>
      </c>
      <c r="C7" s="304">
        <v>2166.4723321280098</v>
      </c>
      <c r="D7" s="345">
        <f t="shared" ref="D7:D10" si="0">IF(B7=0, "    ---- ", IF(ABS(ROUND(100/B7*C7-100,1))&lt;999,ROUND(100/B7*C7-100,1),IF(ROUND(100/B7*C7-100,1)&gt;999,999,-999)))</f>
        <v>-22.3</v>
      </c>
      <c r="E7" s="11">
        <f>IFERROR(100/'Skjema total MA'!C7*C7,0)</f>
        <v>4.4021467418066368E-2</v>
      </c>
      <c r="F7" s="303"/>
      <c r="G7" s="304"/>
      <c r="H7" s="345"/>
      <c r="I7" s="159"/>
      <c r="J7" s="305">
        <f t="shared" ref="J7:K10" si="1">SUM(B7,F7)</f>
        <v>2787.0273205479398</v>
      </c>
      <c r="K7" s="306">
        <f t="shared" si="1"/>
        <v>2166.4723321280098</v>
      </c>
      <c r="L7" s="421">
        <f t="shared" ref="L7:L10" si="2">IF(J7=0, "    ---- ", IF(ABS(ROUND(100/J7*K7-100,1))&lt;999,ROUND(100/J7*K7-100,1),IF(ROUND(100/J7*K7-100,1)&gt;999,999,-999)))</f>
        <v>-22.3</v>
      </c>
      <c r="M7" s="11">
        <f>IFERROR(100/'Skjema total MA'!I7*K7,0)</f>
        <v>1.1020312686417115E-2</v>
      </c>
    </row>
    <row r="8" spans="1:14" ht="15.6" x14ac:dyDescent="0.25">
      <c r="A8" s="21" t="s">
        <v>25</v>
      </c>
      <c r="B8" s="278"/>
      <c r="C8" s="279"/>
      <c r="D8" s="165"/>
      <c r="E8" s="27"/>
      <c r="F8" s="282"/>
      <c r="G8" s="283"/>
      <c r="H8" s="165"/>
      <c r="I8" s="174"/>
      <c r="J8" s="232"/>
      <c r="K8" s="284"/>
      <c r="L8" s="165"/>
      <c r="M8" s="27"/>
    </row>
    <row r="9" spans="1:14" ht="15.6" x14ac:dyDescent="0.25">
      <c r="A9" s="21" t="s">
        <v>24</v>
      </c>
      <c r="B9" s="278">
        <v>2787.0273205479398</v>
      </c>
      <c r="C9" s="279">
        <v>2166.4723321280098</v>
      </c>
      <c r="D9" s="165">
        <f t="shared" si="0"/>
        <v>-22.3</v>
      </c>
      <c r="E9" s="27">
        <f>IFERROR(100/'Skjema total MA'!C9*C9,0)</f>
        <v>0.217283040899972</v>
      </c>
      <c r="F9" s="282"/>
      <c r="G9" s="283"/>
      <c r="H9" s="165"/>
      <c r="I9" s="174"/>
      <c r="J9" s="232">
        <f t="shared" si="1"/>
        <v>2787.0273205479398</v>
      </c>
      <c r="K9" s="284">
        <f t="shared" si="1"/>
        <v>2166.4723321280098</v>
      </c>
      <c r="L9" s="165">
        <f t="shared" si="2"/>
        <v>-22.3</v>
      </c>
      <c r="M9" s="27">
        <f>IFERROR(100/'Skjema total MA'!I9*K9,0)</f>
        <v>0.217283040899972</v>
      </c>
    </row>
    <row r="10" spans="1:14" ht="15.6" x14ac:dyDescent="0.25">
      <c r="A10" s="13" t="s">
        <v>444</v>
      </c>
      <c r="B10" s="307">
        <v>4585.8069906000001</v>
      </c>
      <c r="C10" s="308">
        <v>0</v>
      </c>
      <c r="D10" s="170">
        <f t="shared" si="0"/>
        <v>-100</v>
      </c>
      <c r="E10" s="11">
        <f>IFERROR(100/'Skjema total MA'!C10*C10,0)</f>
        <v>0</v>
      </c>
      <c r="F10" s="307"/>
      <c r="G10" s="308"/>
      <c r="H10" s="170"/>
      <c r="I10" s="159"/>
      <c r="J10" s="305">
        <f t="shared" si="1"/>
        <v>4585.8069906000001</v>
      </c>
      <c r="K10" s="306">
        <f t="shared" si="1"/>
        <v>0</v>
      </c>
      <c r="L10" s="422">
        <f t="shared" si="2"/>
        <v>-100</v>
      </c>
      <c r="M10" s="11">
        <f>IFERROR(100/'Skjema total MA'!I10*K10,0)</f>
        <v>0</v>
      </c>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778"/>
      <c r="F18" s="958"/>
      <c r="G18" s="958"/>
      <c r="H18" s="958"/>
      <c r="I18" s="778"/>
      <c r="J18" s="958"/>
      <c r="K18" s="958"/>
      <c r="L18" s="958"/>
      <c r="M18" s="778"/>
    </row>
    <row r="19" spans="1:14" x14ac:dyDescent="0.25">
      <c r="A19" s="143"/>
      <c r="B19" s="959" t="s">
        <v>0</v>
      </c>
      <c r="C19" s="960"/>
      <c r="D19" s="960"/>
      <c r="E19" s="776"/>
      <c r="F19" s="959" t="s">
        <v>1</v>
      </c>
      <c r="G19" s="960"/>
      <c r="H19" s="960"/>
      <c r="I19" s="777"/>
      <c r="J19" s="959" t="s">
        <v>2</v>
      </c>
      <c r="K19" s="960"/>
      <c r="L19" s="960"/>
      <c r="M19" s="777"/>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780"/>
    </row>
    <row r="41" spans="1:14" x14ac:dyDescent="0.25">
      <c r="A41" s="154"/>
    </row>
    <row r="42" spans="1:14" ht="15.6" x14ac:dyDescent="0.3">
      <c r="A42" s="146" t="s">
        <v>271</v>
      </c>
      <c r="B42" s="963"/>
      <c r="C42" s="963"/>
      <c r="D42" s="963"/>
      <c r="E42" s="778"/>
      <c r="F42" s="964"/>
      <c r="G42" s="964"/>
      <c r="H42" s="964"/>
      <c r="I42" s="780"/>
      <c r="J42" s="964"/>
      <c r="K42" s="964"/>
      <c r="L42" s="964"/>
      <c r="M42" s="780"/>
    </row>
    <row r="43" spans="1:14" ht="15.6" x14ac:dyDescent="0.3">
      <c r="A43" s="162"/>
      <c r="B43" s="779"/>
      <c r="C43" s="779"/>
      <c r="D43" s="779"/>
      <c r="E43" s="779"/>
      <c r="F43" s="780"/>
      <c r="G43" s="780"/>
      <c r="H43" s="780"/>
      <c r="I43" s="780"/>
      <c r="J43" s="780"/>
      <c r="K43" s="780"/>
      <c r="L43" s="780"/>
      <c r="M43" s="780"/>
    </row>
    <row r="44" spans="1:14" ht="15.6" x14ac:dyDescent="0.3">
      <c r="A44" s="245"/>
      <c r="B44" s="959" t="s">
        <v>0</v>
      </c>
      <c r="C44" s="960"/>
      <c r="D44" s="960"/>
      <c r="E44" s="241"/>
      <c r="F44" s="780"/>
      <c r="G44" s="780"/>
      <c r="H44" s="780"/>
      <c r="I44" s="780"/>
      <c r="J44" s="780"/>
      <c r="K44" s="780"/>
      <c r="L44" s="780"/>
      <c r="M44" s="780"/>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304965.01190963999</v>
      </c>
      <c r="C47" s="308">
        <v>328966.08030293399</v>
      </c>
      <c r="D47" s="421">
        <f t="shared" ref="D47:D48" si="3">IF(B47=0, "    ---- ", IF(ABS(ROUND(100/B47*C47-100,1))&lt;999,ROUND(100/B47*C47-100,1),IF(ROUND(100/B47*C47-100,1)&gt;999,999,-999)))</f>
        <v>7.9</v>
      </c>
      <c r="E47" s="11">
        <f>IFERROR(100/'Skjema total MA'!C47*C47,0)</f>
        <v>6.457906986834316</v>
      </c>
      <c r="F47" s="144"/>
      <c r="G47" s="33"/>
      <c r="H47" s="158"/>
      <c r="I47" s="158"/>
      <c r="J47" s="37"/>
      <c r="K47" s="37"/>
      <c r="L47" s="158"/>
      <c r="M47" s="158"/>
      <c r="N47" s="147"/>
    </row>
    <row r="48" spans="1:14" s="3" customFormat="1" ht="15.6" x14ac:dyDescent="0.25">
      <c r="A48" s="38" t="s">
        <v>455</v>
      </c>
      <c r="B48" s="278">
        <v>304965.01190963999</v>
      </c>
      <c r="C48" s="279">
        <v>328966.08030293399</v>
      </c>
      <c r="D48" s="252">
        <f t="shared" si="3"/>
        <v>7.9</v>
      </c>
      <c r="E48" s="27">
        <f>IFERROR(100/'Skjema total MA'!C48*C48,0)</f>
        <v>11.615091732367819</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778"/>
      <c r="F62" s="958"/>
      <c r="G62" s="958"/>
      <c r="H62" s="958"/>
      <c r="I62" s="778"/>
      <c r="J62" s="958"/>
      <c r="K62" s="958"/>
      <c r="L62" s="958"/>
      <c r="M62" s="778"/>
    </row>
    <row r="63" spans="1:14" x14ac:dyDescent="0.25">
      <c r="A63" s="143"/>
      <c r="B63" s="959" t="s">
        <v>0</v>
      </c>
      <c r="C63" s="960"/>
      <c r="D63" s="961"/>
      <c r="E63" s="775"/>
      <c r="F63" s="960" t="s">
        <v>1</v>
      </c>
      <c r="G63" s="960"/>
      <c r="H63" s="960"/>
      <c r="I63" s="777"/>
      <c r="J63" s="959" t="s">
        <v>2</v>
      </c>
      <c r="K63" s="960"/>
      <c r="L63" s="960"/>
      <c r="M63" s="777"/>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778"/>
      <c r="F130" s="958"/>
      <c r="G130" s="958"/>
      <c r="H130" s="958"/>
      <c r="I130" s="778"/>
      <c r="J130" s="958"/>
      <c r="K130" s="958"/>
      <c r="L130" s="958"/>
      <c r="M130" s="778"/>
    </row>
    <row r="131" spans="1:14" s="3" customFormat="1" x14ac:dyDescent="0.25">
      <c r="A131" s="143"/>
      <c r="B131" s="959" t="s">
        <v>0</v>
      </c>
      <c r="C131" s="960"/>
      <c r="D131" s="960"/>
      <c r="E131" s="776"/>
      <c r="F131" s="959" t="s">
        <v>1</v>
      </c>
      <c r="G131" s="960"/>
      <c r="H131" s="960"/>
      <c r="I131" s="777"/>
      <c r="J131" s="959" t="s">
        <v>2</v>
      </c>
      <c r="K131" s="960"/>
      <c r="L131" s="960"/>
      <c r="M131" s="777"/>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370" priority="82">
      <formula>kvartal &lt; 4</formula>
    </cfRule>
  </conditionalFormatting>
  <conditionalFormatting sqref="B69">
    <cfRule type="expression" dxfId="1369" priority="61">
      <formula>kvartal &lt; 4</formula>
    </cfRule>
  </conditionalFormatting>
  <conditionalFormatting sqref="C69">
    <cfRule type="expression" dxfId="1368" priority="60">
      <formula>kvartal &lt; 4</formula>
    </cfRule>
  </conditionalFormatting>
  <conditionalFormatting sqref="B72">
    <cfRule type="expression" dxfId="1367" priority="59">
      <formula>kvartal &lt; 4</formula>
    </cfRule>
  </conditionalFormatting>
  <conditionalFormatting sqref="C72">
    <cfRule type="expression" dxfId="1366" priority="58">
      <formula>kvartal &lt; 4</formula>
    </cfRule>
  </conditionalFormatting>
  <conditionalFormatting sqref="B80">
    <cfRule type="expression" dxfId="1365" priority="57">
      <formula>kvartal &lt; 4</formula>
    </cfRule>
  </conditionalFormatting>
  <conditionalFormatting sqref="C80">
    <cfRule type="expression" dxfId="1364" priority="56">
      <formula>kvartal &lt; 4</formula>
    </cfRule>
  </conditionalFormatting>
  <conditionalFormatting sqref="B83">
    <cfRule type="expression" dxfId="1363" priority="55">
      <formula>kvartal &lt; 4</formula>
    </cfRule>
  </conditionalFormatting>
  <conditionalFormatting sqref="C83">
    <cfRule type="expression" dxfId="1362" priority="54">
      <formula>kvartal &lt; 4</formula>
    </cfRule>
  </conditionalFormatting>
  <conditionalFormatting sqref="B90">
    <cfRule type="expression" dxfId="1361" priority="53">
      <formula>kvartal &lt; 4</formula>
    </cfRule>
  </conditionalFormatting>
  <conditionalFormatting sqref="C90">
    <cfRule type="expression" dxfId="1360" priority="52">
      <formula>kvartal &lt; 4</formula>
    </cfRule>
  </conditionalFormatting>
  <conditionalFormatting sqref="B93">
    <cfRule type="expression" dxfId="1359" priority="51">
      <formula>kvartal &lt; 4</formula>
    </cfRule>
  </conditionalFormatting>
  <conditionalFormatting sqref="C93">
    <cfRule type="expression" dxfId="1358" priority="50">
      <formula>kvartal &lt; 4</formula>
    </cfRule>
  </conditionalFormatting>
  <conditionalFormatting sqref="B101">
    <cfRule type="expression" dxfId="1357" priority="49">
      <formula>kvartal &lt; 4</formula>
    </cfRule>
  </conditionalFormatting>
  <conditionalFormatting sqref="C101">
    <cfRule type="expression" dxfId="1356" priority="48">
      <formula>kvartal &lt; 4</formula>
    </cfRule>
  </conditionalFormatting>
  <conditionalFormatting sqref="B104">
    <cfRule type="expression" dxfId="1355" priority="47">
      <formula>kvartal &lt; 4</formula>
    </cfRule>
  </conditionalFormatting>
  <conditionalFormatting sqref="C104">
    <cfRule type="expression" dxfId="1354" priority="46">
      <formula>kvartal &lt; 4</formula>
    </cfRule>
  </conditionalFormatting>
  <conditionalFormatting sqref="B115">
    <cfRule type="expression" dxfId="1353" priority="45">
      <formula>kvartal &lt; 4</formula>
    </cfRule>
  </conditionalFormatting>
  <conditionalFormatting sqref="C115">
    <cfRule type="expression" dxfId="1352" priority="44">
      <formula>kvartal &lt; 4</formula>
    </cfRule>
  </conditionalFormatting>
  <conditionalFormatting sqref="B123">
    <cfRule type="expression" dxfId="1351" priority="43">
      <formula>kvartal &lt; 4</formula>
    </cfRule>
  </conditionalFormatting>
  <conditionalFormatting sqref="C123">
    <cfRule type="expression" dxfId="1350" priority="42">
      <formula>kvartal &lt; 4</formula>
    </cfRule>
  </conditionalFormatting>
  <conditionalFormatting sqref="F70">
    <cfRule type="expression" dxfId="1349" priority="41">
      <formula>kvartal &lt; 4</formula>
    </cfRule>
  </conditionalFormatting>
  <conditionalFormatting sqref="G70">
    <cfRule type="expression" dxfId="1348" priority="40">
      <formula>kvartal &lt; 4</formula>
    </cfRule>
  </conditionalFormatting>
  <conditionalFormatting sqref="F71:G71">
    <cfRule type="expression" dxfId="1347" priority="39">
      <formula>kvartal &lt; 4</formula>
    </cfRule>
  </conditionalFormatting>
  <conditionalFormatting sqref="F73:G74">
    <cfRule type="expression" dxfId="1346" priority="38">
      <formula>kvartal &lt; 4</formula>
    </cfRule>
  </conditionalFormatting>
  <conditionalFormatting sqref="F81:G82">
    <cfRule type="expression" dxfId="1345" priority="37">
      <formula>kvartal &lt; 4</formula>
    </cfRule>
  </conditionalFormatting>
  <conditionalFormatting sqref="F84:G85">
    <cfRule type="expression" dxfId="1344" priority="36">
      <formula>kvartal &lt; 4</formula>
    </cfRule>
  </conditionalFormatting>
  <conditionalFormatting sqref="F91:G92">
    <cfRule type="expression" dxfId="1343" priority="35">
      <formula>kvartal &lt; 4</formula>
    </cfRule>
  </conditionalFormatting>
  <conditionalFormatting sqref="F94:G95">
    <cfRule type="expression" dxfId="1342" priority="34">
      <formula>kvartal &lt; 4</formula>
    </cfRule>
  </conditionalFormatting>
  <conditionalFormatting sqref="F102:G103">
    <cfRule type="expression" dxfId="1341" priority="33">
      <formula>kvartal &lt; 4</formula>
    </cfRule>
  </conditionalFormatting>
  <conditionalFormatting sqref="F105:G106">
    <cfRule type="expression" dxfId="1340" priority="32">
      <formula>kvartal &lt; 4</formula>
    </cfRule>
  </conditionalFormatting>
  <conditionalFormatting sqref="F115">
    <cfRule type="expression" dxfId="1339" priority="31">
      <formula>kvartal &lt; 4</formula>
    </cfRule>
  </conditionalFormatting>
  <conditionalFormatting sqref="G115">
    <cfRule type="expression" dxfId="1338" priority="30">
      <formula>kvartal &lt; 4</formula>
    </cfRule>
  </conditionalFormatting>
  <conditionalFormatting sqref="F123:G123">
    <cfRule type="expression" dxfId="1337" priority="29">
      <formula>kvartal &lt; 4</formula>
    </cfRule>
  </conditionalFormatting>
  <conditionalFormatting sqref="F69:G69">
    <cfRule type="expression" dxfId="1336" priority="28">
      <formula>kvartal &lt; 4</formula>
    </cfRule>
  </conditionalFormatting>
  <conditionalFormatting sqref="F72:G72">
    <cfRule type="expression" dxfId="1335" priority="27">
      <formula>kvartal &lt; 4</formula>
    </cfRule>
  </conditionalFormatting>
  <conditionalFormatting sqref="F80:G80">
    <cfRule type="expression" dxfId="1334" priority="26">
      <formula>kvartal &lt; 4</formula>
    </cfRule>
  </conditionalFormatting>
  <conditionalFormatting sqref="F83:G83">
    <cfRule type="expression" dxfId="1333" priority="25">
      <formula>kvartal &lt; 4</formula>
    </cfRule>
  </conditionalFormatting>
  <conditionalFormatting sqref="F90:G90">
    <cfRule type="expression" dxfId="1332" priority="24">
      <formula>kvartal &lt; 4</formula>
    </cfRule>
  </conditionalFormatting>
  <conditionalFormatting sqref="F93">
    <cfRule type="expression" dxfId="1331" priority="23">
      <formula>kvartal &lt; 4</formula>
    </cfRule>
  </conditionalFormatting>
  <conditionalFormatting sqref="G93">
    <cfRule type="expression" dxfId="1330" priority="22">
      <formula>kvartal &lt; 4</formula>
    </cfRule>
  </conditionalFormatting>
  <conditionalFormatting sqref="F101">
    <cfRule type="expression" dxfId="1329" priority="21">
      <formula>kvartal &lt; 4</formula>
    </cfRule>
  </conditionalFormatting>
  <conditionalFormatting sqref="G101">
    <cfRule type="expression" dxfId="1328" priority="20">
      <formula>kvartal &lt; 4</formula>
    </cfRule>
  </conditionalFormatting>
  <conditionalFormatting sqref="G104">
    <cfRule type="expression" dxfId="1327" priority="19">
      <formula>kvartal &lt; 4</formula>
    </cfRule>
  </conditionalFormatting>
  <conditionalFormatting sqref="F104">
    <cfRule type="expression" dxfId="1326" priority="18">
      <formula>kvartal &lt; 4</formula>
    </cfRule>
  </conditionalFormatting>
  <conditionalFormatting sqref="J69:K73">
    <cfRule type="expression" dxfId="1325" priority="17">
      <formula>kvartal &lt; 4</formula>
    </cfRule>
  </conditionalFormatting>
  <conditionalFormatting sqref="J74:K74">
    <cfRule type="expression" dxfId="1324" priority="16">
      <formula>kvartal &lt; 4</formula>
    </cfRule>
  </conditionalFormatting>
  <conditionalFormatting sqref="J80:K85">
    <cfRule type="expression" dxfId="1323" priority="15">
      <formula>kvartal &lt; 4</formula>
    </cfRule>
  </conditionalFormatting>
  <conditionalFormatting sqref="J90:K95">
    <cfRule type="expression" dxfId="1322" priority="14">
      <formula>kvartal &lt; 4</formula>
    </cfRule>
  </conditionalFormatting>
  <conditionalFormatting sqref="J101:K106">
    <cfRule type="expression" dxfId="1321" priority="13">
      <formula>kvartal &lt; 4</formula>
    </cfRule>
  </conditionalFormatting>
  <conditionalFormatting sqref="J115:K115">
    <cfRule type="expression" dxfId="1320" priority="12">
      <formula>kvartal &lt; 4</formula>
    </cfRule>
  </conditionalFormatting>
  <conditionalFormatting sqref="J123:K123">
    <cfRule type="expression" dxfId="1319" priority="11">
      <formula>kvartal &lt; 4</formula>
    </cfRule>
  </conditionalFormatting>
  <conditionalFormatting sqref="A50:A52">
    <cfRule type="expression" dxfId="1318" priority="8">
      <formula>kvartal &lt; 4</formula>
    </cfRule>
  </conditionalFormatting>
  <conditionalFormatting sqref="A69:A74">
    <cfRule type="expression" dxfId="1317" priority="7">
      <formula>kvartal &lt; 4</formula>
    </cfRule>
  </conditionalFormatting>
  <conditionalFormatting sqref="A80:A85">
    <cfRule type="expression" dxfId="1316" priority="6">
      <formula>kvartal &lt; 4</formula>
    </cfRule>
  </conditionalFormatting>
  <conditionalFormatting sqref="A90:A95">
    <cfRule type="expression" dxfId="1315" priority="5">
      <formula>kvartal &lt; 4</formula>
    </cfRule>
  </conditionalFormatting>
  <conditionalFormatting sqref="A101:A106">
    <cfRule type="expression" dxfId="1314" priority="4">
      <formula>kvartal &lt; 4</formula>
    </cfRule>
  </conditionalFormatting>
  <conditionalFormatting sqref="A115">
    <cfRule type="expression" dxfId="1313" priority="3">
      <formula>kvartal &lt; 4</formula>
    </cfRule>
  </conditionalFormatting>
  <conditionalFormatting sqref="A123">
    <cfRule type="expression" dxfId="1312" priority="2">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72</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v>89659.225330000001</v>
      </c>
      <c r="G7" s="304">
        <v>115408.92872</v>
      </c>
      <c r="H7" s="345">
        <f t="shared" ref="H7:H12" si="0">IF(F7=0, "    ---- ", IF(ABS(ROUND(100/F7*G7-100,1))&lt;999,ROUND(100/F7*G7-100,1),IF(ROUND(100/F7*G7-100,1)&gt;999,999,-999)))</f>
        <v>28.7</v>
      </c>
      <c r="I7" s="159">
        <f>IFERROR(100/'Skjema total MA'!F7*G7,0)</f>
        <v>0.78309699740432426</v>
      </c>
      <c r="J7" s="305">
        <f t="shared" ref="J7:K12" si="1">SUM(B7,F7)</f>
        <v>89659.225330000001</v>
      </c>
      <c r="K7" s="306">
        <f t="shared" si="1"/>
        <v>115408.92872</v>
      </c>
      <c r="L7" s="421">
        <f t="shared" ref="L7:L12" si="2">IF(J7=0, "    ---- ", IF(ABS(ROUND(100/J7*K7-100,1))&lt;999,ROUND(100/J7*K7-100,1),IF(ROUND(100/J7*K7-100,1)&gt;999,999,-999)))</f>
        <v>28.7</v>
      </c>
      <c r="M7" s="11">
        <f>IFERROR(100/'Skjema total MA'!I7*K7,0)</f>
        <v>0.58705687695054098</v>
      </c>
    </row>
    <row r="8" spans="1:14" ht="15.6" x14ac:dyDescent="0.25">
      <c r="A8" s="21" t="s">
        <v>25</v>
      </c>
      <c r="B8" s="278"/>
      <c r="C8" s="279"/>
      <c r="D8" s="165"/>
      <c r="E8" s="27"/>
      <c r="F8" s="282"/>
      <c r="G8" s="283"/>
      <c r="H8" s="165" t="str">
        <f t="shared" si="0"/>
        <v xml:space="preserve">    ---- </v>
      </c>
      <c r="I8" s="174">
        <f>IFERROR(100/'Skjema total MA'!F8*G8,0)</f>
        <v>0</v>
      </c>
      <c r="J8" s="232">
        <f t="shared" si="1"/>
        <v>0</v>
      </c>
      <c r="K8" s="284">
        <f t="shared" si="1"/>
        <v>0</v>
      </c>
      <c r="L8" s="165" t="str">
        <f t="shared" si="2"/>
        <v xml:space="preserve">    ---- </v>
      </c>
      <c r="M8" s="27">
        <f>IFERROR(100/'Skjema total MA'!I8*K8,0)</f>
        <v>0</v>
      </c>
    </row>
    <row r="9" spans="1:14" ht="15.6" x14ac:dyDescent="0.25">
      <c r="A9" s="21" t="s">
        <v>24</v>
      </c>
      <c r="B9" s="278"/>
      <c r="C9" s="279"/>
      <c r="D9" s="165"/>
      <c r="E9" s="27"/>
      <c r="F9" s="282"/>
      <c r="G9" s="283"/>
      <c r="H9" s="165" t="str">
        <f t="shared" si="0"/>
        <v xml:space="preserve">    ---- </v>
      </c>
      <c r="I9" s="174">
        <f>IFERROR(100/'Skjema total MA'!F9*G9,0)</f>
        <v>0</v>
      </c>
      <c r="J9" s="232">
        <f t="shared" si="1"/>
        <v>0</v>
      </c>
      <c r="K9" s="284">
        <f t="shared" si="1"/>
        <v>0</v>
      </c>
      <c r="L9" s="165" t="str">
        <f t="shared" si="2"/>
        <v xml:space="preserve">    ---- </v>
      </c>
      <c r="M9" s="27">
        <f>IFERROR(100/'Skjema total MA'!I9*K9,0)</f>
        <v>0</v>
      </c>
    </row>
    <row r="10" spans="1:14" ht="15.6" x14ac:dyDescent="0.25">
      <c r="A10" s="13" t="s">
        <v>444</v>
      </c>
      <c r="B10" s="307"/>
      <c r="C10" s="308"/>
      <c r="D10" s="170"/>
      <c r="E10" s="11"/>
      <c r="F10" s="307">
        <v>1080964.3559900001</v>
      </c>
      <c r="G10" s="308">
        <v>1306992.8840000001</v>
      </c>
      <c r="H10" s="170">
        <f t="shared" si="0"/>
        <v>20.9</v>
      </c>
      <c r="I10" s="159">
        <f>IFERROR(100/'Skjema total MA'!F10*G10,0)</f>
        <v>1.690271408967928</v>
      </c>
      <c r="J10" s="305">
        <f t="shared" si="1"/>
        <v>1080964.3559900001</v>
      </c>
      <c r="K10" s="306">
        <f t="shared" si="1"/>
        <v>1306992.8840000001</v>
      </c>
      <c r="L10" s="422">
        <f t="shared" si="2"/>
        <v>20.9</v>
      </c>
      <c r="M10" s="11">
        <f>IFERROR(100/'Skjema total MA'!I10*K10,0)</f>
        <v>1.3588019054437206</v>
      </c>
    </row>
    <row r="11" spans="1:14" s="43" customFormat="1" ht="15.6" x14ac:dyDescent="0.25">
      <c r="A11" s="13" t="s">
        <v>445</v>
      </c>
      <c r="B11" s="307"/>
      <c r="C11" s="308"/>
      <c r="D11" s="170"/>
      <c r="E11" s="11"/>
      <c r="F11" s="307">
        <v>10290.339</v>
      </c>
      <c r="G11" s="308">
        <v>15151.85</v>
      </c>
      <c r="H11" s="170">
        <f t="shared" si="0"/>
        <v>47.2</v>
      </c>
      <c r="I11" s="159">
        <f>IFERROR(100/'Skjema total MA'!F11*G11,0)</f>
        <v>2.2618985207956346</v>
      </c>
      <c r="J11" s="305">
        <f t="shared" si="1"/>
        <v>10290.339</v>
      </c>
      <c r="K11" s="306">
        <f t="shared" si="1"/>
        <v>15151.85</v>
      </c>
      <c r="L11" s="422">
        <f t="shared" si="2"/>
        <v>47.2</v>
      </c>
      <c r="M11" s="11">
        <f>IFERROR(100/'Skjema total MA'!I11*K11,0)</f>
        <v>1.9831781128289481</v>
      </c>
      <c r="N11" s="142"/>
    </row>
    <row r="12" spans="1:14" s="43" customFormat="1" ht="15.6" x14ac:dyDescent="0.25">
      <c r="A12" s="41" t="s">
        <v>446</v>
      </c>
      <c r="B12" s="309"/>
      <c r="C12" s="310"/>
      <c r="D12" s="168"/>
      <c r="E12" s="36"/>
      <c r="F12" s="309">
        <v>4026.3698899999999</v>
      </c>
      <c r="G12" s="310">
        <v>4459.6310000000003</v>
      </c>
      <c r="H12" s="168">
        <f t="shared" si="0"/>
        <v>10.8</v>
      </c>
      <c r="I12" s="168">
        <f>IFERROR(100/'Skjema total MA'!F12*G12,0)</f>
        <v>2.4935846592303625</v>
      </c>
      <c r="J12" s="311">
        <f t="shared" si="1"/>
        <v>4026.3698899999999</v>
      </c>
      <c r="K12" s="312">
        <f t="shared" si="1"/>
        <v>4459.6310000000003</v>
      </c>
      <c r="L12" s="423">
        <f t="shared" si="2"/>
        <v>10.8</v>
      </c>
      <c r="M12" s="36">
        <f>IFERROR(100/'Skjema total MA'!I12*K12,0)</f>
        <v>2.3974812080537657</v>
      </c>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v>57256.076589999997</v>
      </c>
      <c r="G22" s="315">
        <v>62888.516000000003</v>
      </c>
      <c r="H22" s="345">
        <f t="shared" ref="H22:H35" si="3">IF(F22=0, "    ---- ", IF(ABS(ROUND(100/F22*G22-100,1))&lt;999,ROUND(100/F22*G22-100,1),IF(ROUND(100/F22*G22-100,1)&gt;999,999,-999)))</f>
        <v>9.8000000000000007</v>
      </c>
      <c r="I22" s="11">
        <f>IFERROR(100/'Skjema total MA'!F22*G22,0)</f>
        <v>3.665079631385769</v>
      </c>
      <c r="J22" s="313">
        <f t="shared" ref="J22:J35" si="4">SUM(B22,F22)</f>
        <v>57256.076589999997</v>
      </c>
      <c r="K22" s="313">
        <f t="shared" ref="K22:K35" si="5">SUM(C22,G22)</f>
        <v>62888.516000000003</v>
      </c>
      <c r="L22" s="421">
        <f t="shared" ref="L22:L35" si="6">IF(J22=0, "    ---- ", IF(ABS(ROUND(100/J22*K22-100,1))&lt;999,ROUND(100/J22*K22-100,1),IF(ROUND(100/J22*K22-100,1)&gt;999,999,-999)))</f>
        <v>9.8000000000000007</v>
      </c>
      <c r="M22" s="24">
        <f>IFERROR(100/'Skjema total MA'!I22*K22,0)</f>
        <v>1.7242414028314919</v>
      </c>
    </row>
    <row r="23" spans="1:14" ht="15.6" x14ac:dyDescent="0.25">
      <c r="A23" s="782" t="s">
        <v>447</v>
      </c>
      <c r="B23" s="278"/>
      <c r="C23" s="278"/>
      <c r="D23" s="165"/>
      <c r="E23" s="11"/>
      <c r="F23" s="287">
        <v>362.94459000000001</v>
      </c>
      <c r="G23" s="287">
        <v>1284.9590000000001</v>
      </c>
      <c r="H23" s="165">
        <f t="shared" si="3"/>
        <v>254</v>
      </c>
      <c r="I23" s="411">
        <f>IFERROR(100/'Skjema total MA'!F23*G23,0)</f>
        <v>0.62576635146975834</v>
      </c>
      <c r="J23" s="287">
        <f t="shared" si="4"/>
        <v>362.94459000000001</v>
      </c>
      <c r="K23" s="287">
        <f t="shared" si="5"/>
        <v>1284.9590000000001</v>
      </c>
      <c r="L23" s="165">
        <f t="shared" si="6"/>
        <v>254</v>
      </c>
      <c r="M23" s="23">
        <f>IFERROR(100/'Skjema total MA'!I23*K23,0)</f>
        <v>9.7747198655856862E-2</v>
      </c>
    </row>
    <row r="24" spans="1:14" ht="15.6" x14ac:dyDescent="0.25">
      <c r="A24" s="782" t="s">
        <v>448</v>
      </c>
      <c r="B24" s="278"/>
      <c r="C24" s="278"/>
      <c r="D24" s="165"/>
      <c r="E24" s="11"/>
      <c r="F24" s="287">
        <v>0</v>
      </c>
      <c r="G24" s="287">
        <v>73.034999999999997</v>
      </c>
      <c r="H24" s="165" t="str">
        <f t="shared" si="3"/>
        <v xml:space="preserve">    ---- </v>
      </c>
      <c r="I24" s="411">
        <f>IFERROR(100/'Skjema total MA'!F24*G24,0)</f>
        <v>57.244706128557802</v>
      </c>
      <c r="J24" s="287">
        <f t="shared" si="4"/>
        <v>0</v>
      </c>
      <c r="K24" s="287">
        <f t="shared" si="5"/>
        <v>73.034999999999997</v>
      </c>
      <c r="L24" s="165" t="str">
        <f t="shared" si="6"/>
        <v xml:space="preserve">    ---- </v>
      </c>
      <c r="M24" s="23">
        <f>IFERROR(100/'Skjema total MA'!I24*K24,0)</f>
        <v>0.30131634299056842</v>
      </c>
    </row>
    <row r="25" spans="1:14" ht="15.6" x14ac:dyDescent="0.25">
      <c r="A25" s="782" t="s">
        <v>449</v>
      </c>
      <c r="B25" s="278"/>
      <c r="C25" s="278"/>
      <c r="D25" s="165"/>
      <c r="E25" s="11"/>
      <c r="F25" s="287">
        <v>0</v>
      </c>
      <c r="G25" s="287">
        <v>0</v>
      </c>
      <c r="H25" s="165" t="str">
        <f t="shared" si="3"/>
        <v xml:space="preserve">    ---- </v>
      </c>
      <c r="I25" s="411">
        <f>IFERROR(100/'Skjema total MA'!F25*G25,0)</f>
        <v>0</v>
      </c>
      <c r="J25" s="287">
        <f t="shared" si="4"/>
        <v>0</v>
      </c>
      <c r="K25" s="287">
        <f t="shared" si="5"/>
        <v>0</v>
      </c>
      <c r="L25" s="165" t="str">
        <f t="shared" si="6"/>
        <v xml:space="preserve">    ---- </v>
      </c>
      <c r="M25" s="23">
        <f>IFERROR(100/'Skjema total MA'!I25*K25,0)</f>
        <v>0</v>
      </c>
    </row>
    <row r="26" spans="1:14" ht="15.6" x14ac:dyDescent="0.25">
      <c r="A26" s="782" t="s">
        <v>450</v>
      </c>
      <c r="B26" s="278"/>
      <c r="C26" s="278"/>
      <c r="D26" s="165"/>
      <c r="E26" s="11"/>
      <c r="F26" s="287">
        <v>56893.131999999998</v>
      </c>
      <c r="G26" s="287">
        <v>61530.521999999997</v>
      </c>
      <c r="H26" s="165">
        <f t="shared" si="3"/>
        <v>8.1999999999999993</v>
      </c>
      <c r="I26" s="411">
        <f>IFERROR(100/'Skjema total MA'!F26*G26,0)</f>
        <v>4.1243761504919805</v>
      </c>
      <c r="J26" s="287">
        <f t="shared" si="4"/>
        <v>56893.131999999998</v>
      </c>
      <c r="K26" s="287">
        <f t="shared" si="5"/>
        <v>61530.521999999997</v>
      </c>
      <c r="L26" s="165">
        <f t="shared" si="6"/>
        <v>8.1999999999999993</v>
      </c>
      <c r="M26" s="23">
        <f>IFERROR(100/'Skjema total MA'!I26*K26,0)</f>
        <v>4.1243761504919805</v>
      </c>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v>1019972.62493</v>
      </c>
      <c r="G29" s="305">
        <v>1143627.5009999999</v>
      </c>
      <c r="H29" s="170">
        <f t="shared" si="3"/>
        <v>12.1</v>
      </c>
      <c r="I29" s="11">
        <f>IFERROR(100/'Skjema total MA'!F29*G29,0)</f>
        <v>4.2775610553075554</v>
      </c>
      <c r="J29" s="234">
        <f t="shared" si="4"/>
        <v>1019972.62493</v>
      </c>
      <c r="K29" s="234">
        <f t="shared" si="5"/>
        <v>1143627.5009999999</v>
      </c>
      <c r="L29" s="422">
        <f t="shared" si="6"/>
        <v>12.1</v>
      </c>
      <c r="M29" s="24">
        <f>IFERROR(100/'Skjema total MA'!I29*K29,0)</f>
        <v>1.587209013462366</v>
      </c>
      <c r="N29" s="147"/>
    </row>
    <row r="30" spans="1:14" s="3" customFormat="1" ht="15.6" x14ac:dyDescent="0.25">
      <c r="A30" s="782" t="s">
        <v>447</v>
      </c>
      <c r="B30" s="278"/>
      <c r="C30" s="278"/>
      <c r="D30" s="165"/>
      <c r="E30" s="11"/>
      <c r="F30" s="287">
        <v>121001.22156000001</v>
      </c>
      <c r="G30" s="287">
        <v>123449.45299999999</v>
      </c>
      <c r="H30" s="165">
        <f t="shared" si="3"/>
        <v>2</v>
      </c>
      <c r="I30" s="411">
        <f>IFERROR(100/'Skjema total MA'!F30*G30,0)</f>
        <v>2.9742934422569753</v>
      </c>
      <c r="J30" s="287">
        <f t="shared" si="4"/>
        <v>121001.22156000001</v>
      </c>
      <c r="K30" s="287">
        <f t="shared" si="5"/>
        <v>123449.45299999999</v>
      </c>
      <c r="L30" s="165">
        <f t="shared" si="6"/>
        <v>2</v>
      </c>
      <c r="M30" s="23">
        <f>IFERROR(100/'Skjema total MA'!I30*K30,0)</f>
        <v>0.61379847664531428</v>
      </c>
      <c r="N30" s="147"/>
    </row>
    <row r="31" spans="1:14" s="3" customFormat="1" ht="15.6" x14ac:dyDescent="0.25">
      <c r="A31" s="782" t="s">
        <v>448</v>
      </c>
      <c r="B31" s="278"/>
      <c r="C31" s="278"/>
      <c r="D31" s="165"/>
      <c r="E31" s="11"/>
      <c r="F31" s="287">
        <v>656533.45534999995</v>
      </c>
      <c r="G31" s="287">
        <v>663414.73499999999</v>
      </c>
      <c r="H31" s="165">
        <f t="shared" si="3"/>
        <v>1</v>
      </c>
      <c r="I31" s="411">
        <f>IFERROR(100/'Skjema total MA'!F31*G31,0)</f>
        <v>7.0676733390964204</v>
      </c>
      <c r="J31" s="287">
        <f t="shared" si="4"/>
        <v>656533.45534999995</v>
      </c>
      <c r="K31" s="287">
        <f t="shared" si="5"/>
        <v>663414.73499999999</v>
      </c>
      <c r="L31" s="165">
        <f t="shared" si="6"/>
        <v>1</v>
      </c>
      <c r="M31" s="23">
        <f>IFERROR(100/'Skjema total MA'!I31*K31,0)</f>
        <v>2.0801222576401623</v>
      </c>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v>242437.94802000001</v>
      </c>
      <c r="G33" s="287">
        <v>356763.31300000002</v>
      </c>
      <c r="H33" s="165">
        <f t="shared" si="3"/>
        <v>47.2</v>
      </c>
      <c r="I33" s="411">
        <f>IFERROR(100/'Skjema total MA'!F33*G33,0)</f>
        <v>4.8830314197235269</v>
      </c>
      <c r="J33" s="287">
        <f t="shared" si="4"/>
        <v>242437.94802000001</v>
      </c>
      <c r="K33" s="287">
        <f t="shared" si="5"/>
        <v>356763.31300000002</v>
      </c>
      <c r="L33" s="165">
        <f t="shared" si="6"/>
        <v>47.2</v>
      </c>
      <c r="M33" s="23">
        <f>IFERROR(100/'Skjema total MA'!I33*K33,0)</f>
        <v>4.8830314197235269</v>
      </c>
    </row>
    <row r="34" spans="1:14" ht="15.6" x14ac:dyDescent="0.25">
      <c r="A34" s="13" t="s">
        <v>445</v>
      </c>
      <c r="B34" s="234"/>
      <c r="C34" s="306"/>
      <c r="D34" s="170"/>
      <c r="E34" s="11"/>
      <c r="F34" s="305">
        <v>8438.9459999999999</v>
      </c>
      <c r="G34" s="306">
        <v>7202.9989999999998</v>
      </c>
      <c r="H34" s="170">
        <f t="shared" si="3"/>
        <v>-14.6</v>
      </c>
      <c r="I34" s="11">
        <f>IFERROR(100/'Skjema total MA'!F34*G34,0)</f>
        <v>28.386085395321604</v>
      </c>
      <c r="J34" s="234">
        <f t="shared" si="4"/>
        <v>8438.9459999999999</v>
      </c>
      <c r="K34" s="234">
        <f t="shared" si="5"/>
        <v>7202.9989999999998</v>
      </c>
      <c r="L34" s="422">
        <f t="shared" si="6"/>
        <v>-14.6</v>
      </c>
      <c r="M34" s="24">
        <f>IFERROR(100/'Skjema total MA'!I34*K34,0)</f>
        <v>15.532733397081824</v>
      </c>
    </row>
    <row r="35" spans="1:14" ht="15.6" x14ac:dyDescent="0.25">
      <c r="A35" s="13" t="s">
        <v>446</v>
      </c>
      <c r="B35" s="234"/>
      <c r="C35" s="306"/>
      <c r="D35" s="170"/>
      <c r="E35" s="11"/>
      <c r="F35" s="305">
        <v>9060.2130699999998</v>
      </c>
      <c r="G35" s="306">
        <v>14003.125</v>
      </c>
      <c r="H35" s="170">
        <f t="shared" si="3"/>
        <v>54.6</v>
      </c>
      <c r="I35" s="11">
        <f>IFERROR(100/'Skjema total MA'!F35*G35,0)</f>
        <v>8.4460696112761138</v>
      </c>
      <c r="J35" s="234">
        <f t="shared" si="4"/>
        <v>9060.2130699999998</v>
      </c>
      <c r="K35" s="234">
        <f t="shared" si="5"/>
        <v>14003.125</v>
      </c>
      <c r="L35" s="422">
        <f t="shared" si="6"/>
        <v>54.6</v>
      </c>
      <c r="M35" s="24">
        <f>IFERROR(100/'Skjema total MA'!I35*K35,0)</f>
        <v>16.85676168152964</v>
      </c>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c r="D47" s="421"/>
      <c r="E47" s="11"/>
      <c r="F47" s="144"/>
      <c r="G47" s="33"/>
      <c r="H47" s="158"/>
      <c r="I47" s="158"/>
      <c r="J47" s="37"/>
      <c r="K47" s="37"/>
      <c r="L47" s="158"/>
      <c r="M47" s="158"/>
      <c r="N47" s="147"/>
    </row>
    <row r="48" spans="1:14" s="3" customFormat="1" ht="15.6" x14ac:dyDescent="0.25">
      <c r="A48" s="38" t="s">
        <v>455</v>
      </c>
      <c r="B48" s="278"/>
      <c r="C48" s="279"/>
      <c r="D48" s="252"/>
      <c r="E48" s="27"/>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v>830779.46030999999</v>
      </c>
      <c r="G87" s="347">
        <v>760625.92099999997</v>
      </c>
      <c r="H87" s="170">
        <f>IF(F87=0, "    ---- ", IF(ABS(ROUND(100/F87*G87-100,1))&lt;999,ROUND(100/F87*G87-100,1),IF(ROUND(100/F87*G87-100,1)&gt;999,999,-999)))</f>
        <v>-8.4</v>
      </c>
      <c r="I87" s="11">
        <f>IFERROR(100/'Skjema total MA'!F87*G87,0)</f>
        <v>0.16907215289339408</v>
      </c>
      <c r="J87" s="306">
        <f t="shared" ref="J87:K89" si="7">SUM(B87,F87)</f>
        <v>830779.46030999999</v>
      </c>
      <c r="K87" s="234">
        <f t="shared" si="7"/>
        <v>760625.92099999997</v>
      </c>
      <c r="L87" s="422">
        <f>IF(J87=0, "    ---- ", IF(ABS(ROUND(100/J87*K87-100,1))&lt;999,ROUND(100/J87*K87-100,1),IF(ROUND(100/J87*K87-100,1)&gt;999,999,-999)))</f>
        <v>-8.4</v>
      </c>
      <c r="M87" s="11">
        <f>IFERROR(100/'Skjema total MA'!I87*K87,0)</f>
        <v>8.903291341975314E-2</v>
      </c>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v>830779.46030999999</v>
      </c>
      <c r="G89" s="144">
        <v>760625.92099999997</v>
      </c>
      <c r="H89" s="165">
        <f>IF(F89=0, "    ---- ", IF(ABS(ROUND(100/F89*G89-100,1))&lt;999,ROUND(100/F89*G89-100,1),IF(ROUND(100/F89*G89-100,1)&gt;999,999,-999)))</f>
        <v>-8.4</v>
      </c>
      <c r="I89" s="27">
        <f>IFERROR(100/'Skjema total MA'!F89*G89,0)</f>
        <v>0.17091382813847375</v>
      </c>
      <c r="J89" s="284">
        <f t="shared" si="7"/>
        <v>830779.46030999999</v>
      </c>
      <c r="K89" s="44">
        <f t="shared" si="7"/>
        <v>760625.92099999997</v>
      </c>
      <c r="L89" s="252">
        <f>IF(J89=0, "    ---- ", IF(ABS(ROUND(100/J89*K89-100,1))&lt;999,ROUND(100/J89*K89-100,1),IF(ROUND(100/J89*K89-100,1)&gt;999,999,-999)))</f>
        <v>-8.4</v>
      </c>
      <c r="M89" s="27">
        <f>IFERROR(100/'Skjema total MA'!I89*K89,0)</f>
        <v>0.16970556825157682</v>
      </c>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v>830779.46030999999</v>
      </c>
      <c r="G93" s="278">
        <v>760625.92099999997</v>
      </c>
      <c r="H93" s="165">
        <f t="shared" ref="H93:H94" si="8">IF(F93=0, "    ---- ", IF(ABS(ROUND(100/F93*G93-100,1))&lt;999,ROUND(100/F93*G93-100,1),IF(ROUND(100/F93*G93-100,1)&gt;999,999,-999)))</f>
        <v>-8.4</v>
      </c>
      <c r="I93" s="27">
        <f>IFERROR(100/'Skjema total MA'!F93*G93,0)</f>
        <v>0.17095810744103571</v>
      </c>
      <c r="J93" s="284">
        <f t="shared" ref="J93:J94" si="9">SUM(B93,F93)</f>
        <v>830779.46030999999</v>
      </c>
      <c r="K93" s="44">
        <f t="shared" ref="K93:K94" si="10">SUM(C93,G93)</f>
        <v>760625.92099999997</v>
      </c>
      <c r="L93" s="252">
        <f t="shared" ref="L93:L94" si="11">IF(J93=0, "    ---- ", IF(ABS(ROUND(100/J93*K93-100,1))&lt;999,ROUND(100/J93*K93-100,1),IF(ROUND(100/J93*K93-100,1)&gt;999,999,-999)))</f>
        <v>-8.4</v>
      </c>
      <c r="M93" s="23">
        <f>IFERROR(100/'Skjema total MA'!I93*K93,0)</f>
        <v>0.16974922363004247</v>
      </c>
    </row>
    <row r="94" spans="1:13" x14ac:dyDescent="0.25">
      <c r="A94" s="293" t="s">
        <v>12</v>
      </c>
      <c r="B94" s="233"/>
      <c r="C94" s="286"/>
      <c r="D94" s="165"/>
      <c r="E94" s="411"/>
      <c r="F94" s="278">
        <v>830779.46030999999</v>
      </c>
      <c r="G94" s="278">
        <v>760625.92099999997</v>
      </c>
      <c r="H94" s="165">
        <f t="shared" si="8"/>
        <v>-8.4</v>
      </c>
      <c r="I94" s="27">
        <f>IFERROR(100/'Skjema total MA'!F94*G94,0)</f>
        <v>99.987870672597083</v>
      </c>
      <c r="J94" s="284">
        <f t="shared" si="9"/>
        <v>830779.46030999999</v>
      </c>
      <c r="K94" s="44">
        <f t="shared" si="10"/>
        <v>760625.92099999997</v>
      </c>
      <c r="L94" s="252">
        <f t="shared" si="11"/>
        <v>-8.4</v>
      </c>
      <c r="M94" s="23">
        <f>IFERROR(100/'Skjema total MA'!I94*K94,0)</f>
        <v>99.987870672597083</v>
      </c>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v>830779.46030999999</v>
      </c>
      <c r="G107" s="144">
        <v>760625.92099999997</v>
      </c>
      <c r="H107" s="165">
        <f>IF(F107=0, "    ---- ", IF(ABS(ROUND(100/F107*G107-100,1))&lt;999,ROUND(100/F107*G107-100,1),IF(ROUND(100/F107*G107-100,1)&gt;999,999,-999)))</f>
        <v>-8.4</v>
      </c>
      <c r="I107" s="27">
        <f>IFERROR(100/'Skjema total MA'!F107*G107,0)</f>
        <v>79.079530647579162</v>
      </c>
      <c r="J107" s="284">
        <f t="shared" ref="J107:K111" si="12">SUM(B107,F107)</f>
        <v>830779.46030999999</v>
      </c>
      <c r="K107" s="44">
        <f t="shared" si="12"/>
        <v>760625.92099999997</v>
      </c>
      <c r="L107" s="252">
        <f>IF(J107=0, "    ---- ", IF(ABS(ROUND(100/J107*K107-100,1))&lt;999,ROUND(100/J107*K107-100,1),IF(ROUND(100/J107*K107-100,1)&gt;999,999,-999)))</f>
        <v>-8.4</v>
      </c>
      <c r="M107" s="27">
        <f>IFERROR(100/'Skjema total MA'!I107*K107,0)</f>
        <v>13.884631588863817</v>
      </c>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v>645700.78156999999</v>
      </c>
      <c r="G109" s="232">
        <v>561486.08799999999</v>
      </c>
      <c r="H109" s="165">
        <f>IF(F109=0, "    ---- ", IF(ABS(ROUND(100/F109*G109-100,1))&lt;999,ROUND(100/F109*G109-100,1),IF(ROUND(100/F109*G109-100,1)&gt;999,999,-999)))</f>
        <v>-13</v>
      </c>
      <c r="I109" s="27">
        <f>IFERROR(100/'Skjema total MA'!F109*G109,0)</f>
        <v>0.36158394555964418</v>
      </c>
      <c r="J109" s="284">
        <f t="shared" si="12"/>
        <v>645700.78156999999</v>
      </c>
      <c r="K109" s="44">
        <f t="shared" si="12"/>
        <v>561486.08799999999</v>
      </c>
      <c r="L109" s="252">
        <f>IF(J109=0, "    ---- ", IF(ABS(ROUND(100/J109*K109-100,1))&lt;999,ROUND(100/J109*K109-100,1),IF(ROUND(100/J109*K109-100,1)&gt;999,999,-999)))</f>
        <v>-13</v>
      </c>
      <c r="M109" s="27">
        <f>IFERROR(100/'Skjema total MA'!I109*K109,0)</f>
        <v>0.35778295346848821</v>
      </c>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v>85442.59</v>
      </c>
      <c r="G111" s="158">
        <v>72665.77</v>
      </c>
      <c r="H111" s="170">
        <f>IF(F111=0, "    ---- ", IF(ABS(ROUND(100/F111*G111-100,1))&lt;999,ROUND(100/F111*G111-100,1),IF(ROUND(100/F111*G111-100,1)&gt;999,999,-999)))</f>
        <v>-15</v>
      </c>
      <c r="I111" s="11">
        <f>IFERROR(100/'Skjema total MA'!F111*G111,0)</f>
        <v>8.6296566001983183E-2</v>
      </c>
      <c r="J111" s="306">
        <f t="shared" si="12"/>
        <v>85442.59</v>
      </c>
      <c r="K111" s="234">
        <f t="shared" si="12"/>
        <v>72665.77</v>
      </c>
      <c r="L111" s="422">
        <f>IF(J111=0, "    ---- ", IF(ABS(ROUND(100/J111*K111-100,1))&lt;999,ROUND(100/J111*K111-100,1),IF(ROUND(100/J111*K111-100,1)&gt;999,999,-999)))</f>
        <v>-15</v>
      </c>
      <c r="M111" s="11">
        <f>IFERROR(100/'Skjema total MA'!I111*K111,0)</f>
        <v>8.5718462237670393E-2</v>
      </c>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v>85442.59</v>
      </c>
      <c r="G113" s="144">
        <v>72665.77</v>
      </c>
      <c r="H113" s="165">
        <f t="shared" ref="H113:H125" si="13">IF(F113=0, "    ---- ", IF(ABS(ROUND(100/F113*G113-100,1))&lt;999,ROUND(100/F113*G113-100,1),IF(ROUND(100/F113*G113-100,1)&gt;999,999,-999)))</f>
        <v>-15</v>
      </c>
      <c r="I113" s="27">
        <f>IFERROR(100/'Skjema total MA'!F113*G113,0)</f>
        <v>8.6308286550322119E-2</v>
      </c>
      <c r="J113" s="284">
        <f t="shared" ref="J113:K125" si="14">SUM(B113,F113)</f>
        <v>85442.59</v>
      </c>
      <c r="K113" s="44">
        <f t="shared" si="14"/>
        <v>72665.77</v>
      </c>
      <c r="L113" s="252">
        <f t="shared" ref="L113:L125" si="15">IF(J113=0, "    ---- ", IF(ABS(ROUND(100/J113*K113-100,1))&lt;999,ROUND(100/J113*K113-100,1),IF(ROUND(100/J113*K113-100,1)&gt;999,999,-999)))</f>
        <v>-15</v>
      </c>
      <c r="M113" s="27">
        <f>IFERROR(100/'Skjema total MA'!I113*K113,0)</f>
        <v>8.6308030918236078E-2</v>
      </c>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v>85442.59</v>
      </c>
      <c r="G117" s="232">
        <v>72665.77</v>
      </c>
      <c r="H117" s="165">
        <f t="shared" si="13"/>
        <v>-15</v>
      </c>
      <c r="I117" s="27">
        <f>IFERROR(100/'Skjema total MA'!F117*G117,0)</f>
        <v>0.10495602549757846</v>
      </c>
      <c r="J117" s="284">
        <f t="shared" si="14"/>
        <v>85442.59</v>
      </c>
      <c r="K117" s="44">
        <f t="shared" si="14"/>
        <v>72665.77</v>
      </c>
      <c r="L117" s="252">
        <f t="shared" si="15"/>
        <v>-15</v>
      </c>
      <c r="M117" s="27">
        <f>IFERROR(100/'Skjema total MA'!I117*K117,0)</f>
        <v>0.10495602549757846</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v>8634.2164400000001</v>
      </c>
      <c r="G119" s="158">
        <v>242738.31899999999</v>
      </c>
      <c r="H119" s="170">
        <f t="shared" si="13"/>
        <v>999</v>
      </c>
      <c r="I119" s="11">
        <f>IFERROR(100/'Skjema total MA'!F119*G119,0)</f>
        <v>0.26602359749077514</v>
      </c>
      <c r="J119" s="306">
        <f t="shared" si="14"/>
        <v>8634.2164400000001</v>
      </c>
      <c r="K119" s="234">
        <f t="shared" si="14"/>
        <v>242738.31899999999</v>
      </c>
      <c r="L119" s="422">
        <f t="shared" si="15"/>
        <v>999</v>
      </c>
      <c r="M119" s="11">
        <f>IFERROR(100/'Skjema total MA'!I119*K119,0)</f>
        <v>0.26450656919548182</v>
      </c>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v>8634.2164400000001</v>
      </c>
      <c r="G121" s="144">
        <v>242738.31899999999</v>
      </c>
      <c r="H121" s="165">
        <f t="shared" si="13"/>
        <v>999</v>
      </c>
      <c r="I121" s="27">
        <f>IFERROR(100/'Skjema total MA'!F121*G121,0)</f>
        <v>0.26602359749077514</v>
      </c>
      <c r="J121" s="284">
        <f t="shared" si="14"/>
        <v>8634.2164400000001</v>
      </c>
      <c r="K121" s="44">
        <f t="shared" si="14"/>
        <v>242738.31899999999</v>
      </c>
      <c r="L121" s="252">
        <f t="shared" si="15"/>
        <v>999</v>
      </c>
      <c r="M121" s="27">
        <f>IFERROR(100/'Skjema total MA'!I121*K121,0)</f>
        <v>0.26598515037234649</v>
      </c>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v>8634.2164400000001</v>
      </c>
      <c r="G125" s="232">
        <v>242738.31899999999</v>
      </c>
      <c r="H125" s="165">
        <f t="shared" si="13"/>
        <v>999</v>
      </c>
      <c r="I125" s="27">
        <f>IFERROR(100/'Skjema total MA'!F125*G125,0)</f>
        <v>0.3364484657389703</v>
      </c>
      <c r="J125" s="284">
        <f t="shared" si="14"/>
        <v>8634.2164400000001</v>
      </c>
      <c r="K125" s="44">
        <f t="shared" si="14"/>
        <v>242738.31899999999</v>
      </c>
      <c r="L125" s="252">
        <f t="shared" si="15"/>
        <v>999</v>
      </c>
      <c r="M125" s="27">
        <f>IFERROR(100/'Skjema total MA'!I125*K125,0)</f>
        <v>0.33643713839412298</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311" priority="132">
      <formula>kvartal &lt; 4</formula>
    </cfRule>
  </conditionalFormatting>
  <conditionalFormatting sqref="B69">
    <cfRule type="expression" dxfId="1310" priority="100">
      <formula>kvartal &lt; 4</formula>
    </cfRule>
  </conditionalFormatting>
  <conditionalFormatting sqref="C69">
    <cfRule type="expression" dxfId="1309" priority="99">
      <formula>kvartal &lt; 4</formula>
    </cfRule>
  </conditionalFormatting>
  <conditionalFormatting sqref="B72">
    <cfRule type="expression" dxfId="1308" priority="98">
      <formula>kvartal &lt; 4</formula>
    </cfRule>
  </conditionalFormatting>
  <conditionalFormatting sqref="C72">
    <cfRule type="expression" dxfId="1307" priority="97">
      <formula>kvartal &lt; 4</formula>
    </cfRule>
  </conditionalFormatting>
  <conditionalFormatting sqref="B80">
    <cfRule type="expression" dxfId="1306" priority="96">
      <formula>kvartal &lt; 4</formula>
    </cfRule>
  </conditionalFormatting>
  <conditionalFormatting sqref="C80">
    <cfRule type="expression" dxfId="1305" priority="95">
      <formula>kvartal &lt; 4</formula>
    </cfRule>
  </conditionalFormatting>
  <conditionalFormatting sqref="B83">
    <cfRule type="expression" dxfId="1304" priority="94">
      <formula>kvartal &lt; 4</formula>
    </cfRule>
  </conditionalFormatting>
  <conditionalFormatting sqref="C83">
    <cfRule type="expression" dxfId="1303" priority="93">
      <formula>kvartal &lt; 4</formula>
    </cfRule>
  </conditionalFormatting>
  <conditionalFormatting sqref="B90">
    <cfRule type="expression" dxfId="1302" priority="84">
      <formula>kvartal &lt; 4</formula>
    </cfRule>
  </conditionalFormatting>
  <conditionalFormatting sqref="C90">
    <cfRule type="expression" dxfId="1301" priority="83">
      <formula>kvartal &lt; 4</formula>
    </cfRule>
  </conditionalFormatting>
  <conditionalFormatting sqref="B93">
    <cfRule type="expression" dxfId="1300" priority="82">
      <formula>kvartal &lt; 4</formula>
    </cfRule>
  </conditionalFormatting>
  <conditionalFormatting sqref="C93">
    <cfRule type="expression" dxfId="1299" priority="81">
      <formula>kvartal &lt; 4</formula>
    </cfRule>
  </conditionalFormatting>
  <conditionalFormatting sqref="B101">
    <cfRule type="expression" dxfId="1298" priority="80">
      <formula>kvartal &lt; 4</formula>
    </cfRule>
  </conditionalFormatting>
  <conditionalFormatting sqref="C101">
    <cfRule type="expression" dxfId="1297" priority="79">
      <formula>kvartal &lt; 4</formula>
    </cfRule>
  </conditionalFormatting>
  <conditionalFormatting sqref="B104">
    <cfRule type="expression" dxfId="1296" priority="78">
      <formula>kvartal &lt; 4</formula>
    </cfRule>
  </conditionalFormatting>
  <conditionalFormatting sqref="C104">
    <cfRule type="expression" dxfId="1295" priority="77">
      <formula>kvartal &lt; 4</formula>
    </cfRule>
  </conditionalFormatting>
  <conditionalFormatting sqref="B115">
    <cfRule type="expression" dxfId="1294" priority="76">
      <formula>kvartal &lt; 4</formula>
    </cfRule>
  </conditionalFormatting>
  <conditionalFormatting sqref="C115">
    <cfRule type="expression" dxfId="1293" priority="75">
      <formula>kvartal &lt; 4</formula>
    </cfRule>
  </conditionalFormatting>
  <conditionalFormatting sqref="B123">
    <cfRule type="expression" dxfId="1292" priority="74">
      <formula>kvartal &lt; 4</formula>
    </cfRule>
  </conditionalFormatting>
  <conditionalFormatting sqref="C123">
    <cfRule type="expression" dxfId="1291" priority="73">
      <formula>kvartal &lt; 4</formula>
    </cfRule>
  </conditionalFormatting>
  <conditionalFormatting sqref="F70">
    <cfRule type="expression" dxfId="1290" priority="72">
      <formula>kvartal &lt; 4</formula>
    </cfRule>
  </conditionalFormatting>
  <conditionalFormatting sqref="G70">
    <cfRule type="expression" dxfId="1289" priority="71">
      <formula>kvartal &lt; 4</formula>
    </cfRule>
  </conditionalFormatting>
  <conditionalFormatting sqref="F71:G71">
    <cfRule type="expression" dxfId="1288" priority="70">
      <formula>kvartal &lt; 4</formula>
    </cfRule>
  </conditionalFormatting>
  <conditionalFormatting sqref="F73:G74">
    <cfRule type="expression" dxfId="1287" priority="69">
      <formula>kvartal &lt; 4</formula>
    </cfRule>
  </conditionalFormatting>
  <conditionalFormatting sqref="F81:G82">
    <cfRule type="expression" dxfId="1286" priority="68">
      <formula>kvartal &lt; 4</formula>
    </cfRule>
  </conditionalFormatting>
  <conditionalFormatting sqref="F84:G85">
    <cfRule type="expression" dxfId="1285" priority="67">
      <formula>kvartal &lt; 4</formula>
    </cfRule>
  </conditionalFormatting>
  <conditionalFormatting sqref="F91:G92">
    <cfRule type="expression" dxfId="1284" priority="62">
      <formula>kvartal &lt; 4</formula>
    </cfRule>
  </conditionalFormatting>
  <conditionalFormatting sqref="F94:G95">
    <cfRule type="expression" dxfId="1283" priority="61">
      <formula>kvartal &lt; 4</formula>
    </cfRule>
  </conditionalFormatting>
  <conditionalFormatting sqref="F102:G103">
    <cfRule type="expression" dxfId="1282" priority="60">
      <formula>kvartal &lt; 4</formula>
    </cfRule>
  </conditionalFormatting>
  <conditionalFormatting sqref="F105:G106">
    <cfRule type="expression" dxfId="1281" priority="59">
      <formula>kvartal &lt; 4</formula>
    </cfRule>
  </conditionalFormatting>
  <conditionalFormatting sqref="F115">
    <cfRule type="expression" dxfId="1280" priority="58">
      <formula>kvartal &lt; 4</formula>
    </cfRule>
  </conditionalFormatting>
  <conditionalFormatting sqref="G115">
    <cfRule type="expression" dxfId="1279" priority="57">
      <formula>kvartal &lt; 4</formula>
    </cfRule>
  </conditionalFormatting>
  <conditionalFormatting sqref="F123:G123">
    <cfRule type="expression" dxfId="1278" priority="56">
      <formula>kvartal &lt; 4</formula>
    </cfRule>
  </conditionalFormatting>
  <conditionalFormatting sqref="F69:G69">
    <cfRule type="expression" dxfId="1277" priority="55">
      <formula>kvartal &lt; 4</formula>
    </cfRule>
  </conditionalFormatting>
  <conditionalFormatting sqref="F72:G72">
    <cfRule type="expression" dxfId="1276" priority="54">
      <formula>kvartal &lt; 4</formula>
    </cfRule>
  </conditionalFormatting>
  <conditionalFormatting sqref="F80:G80">
    <cfRule type="expression" dxfId="1275" priority="53">
      <formula>kvartal &lt; 4</formula>
    </cfRule>
  </conditionalFormatting>
  <conditionalFormatting sqref="F83:G83">
    <cfRule type="expression" dxfId="1274" priority="52">
      <formula>kvartal &lt; 4</formula>
    </cfRule>
  </conditionalFormatting>
  <conditionalFormatting sqref="F90:G90">
    <cfRule type="expression" dxfId="1273" priority="46">
      <formula>kvartal &lt; 4</formula>
    </cfRule>
  </conditionalFormatting>
  <conditionalFormatting sqref="F93">
    <cfRule type="expression" dxfId="1272" priority="45">
      <formula>kvartal &lt; 4</formula>
    </cfRule>
  </conditionalFormatting>
  <conditionalFormatting sqref="G93">
    <cfRule type="expression" dxfId="1271" priority="44">
      <formula>kvartal &lt; 4</formula>
    </cfRule>
  </conditionalFormatting>
  <conditionalFormatting sqref="F101">
    <cfRule type="expression" dxfId="1270" priority="43">
      <formula>kvartal &lt; 4</formula>
    </cfRule>
  </conditionalFormatting>
  <conditionalFormatting sqref="G101">
    <cfRule type="expression" dxfId="1269" priority="42">
      <formula>kvartal &lt; 4</formula>
    </cfRule>
  </conditionalFormatting>
  <conditionalFormatting sqref="G104">
    <cfRule type="expression" dxfId="1268" priority="41">
      <formula>kvartal &lt; 4</formula>
    </cfRule>
  </conditionalFormatting>
  <conditionalFormatting sqref="F104">
    <cfRule type="expression" dxfId="1267" priority="40">
      <formula>kvartal &lt; 4</formula>
    </cfRule>
  </conditionalFormatting>
  <conditionalFormatting sqref="J69:K73">
    <cfRule type="expression" dxfId="1266" priority="39">
      <formula>kvartal &lt; 4</formula>
    </cfRule>
  </conditionalFormatting>
  <conditionalFormatting sqref="J74:K74">
    <cfRule type="expression" dxfId="1265" priority="38">
      <formula>kvartal &lt; 4</formula>
    </cfRule>
  </conditionalFormatting>
  <conditionalFormatting sqref="J80:K85">
    <cfRule type="expression" dxfId="1264" priority="37">
      <formula>kvartal &lt; 4</formula>
    </cfRule>
  </conditionalFormatting>
  <conditionalFormatting sqref="J90:K92 J95:K95">
    <cfRule type="expression" dxfId="1263" priority="34">
      <formula>kvartal &lt; 4</formula>
    </cfRule>
  </conditionalFormatting>
  <conditionalFormatting sqref="J101:K106">
    <cfRule type="expression" dxfId="1262" priority="33">
      <formula>kvartal &lt; 4</formula>
    </cfRule>
  </conditionalFormatting>
  <conditionalFormatting sqref="J115:K115">
    <cfRule type="expression" dxfId="1261" priority="32">
      <formula>kvartal &lt; 4</formula>
    </cfRule>
  </conditionalFormatting>
  <conditionalFormatting sqref="J123:K123">
    <cfRule type="expression" dxfId="1260" priority="31">
      <formula>kvartal &lt; 4</formula>
    </cfRule>
  </conditionalFormatting>
  <conditionalFormatting sqref="A50:A52">
    <cfRule type="expression" dxfId="1259" priority="12">
      <formula>kvartal &lt; 4</formula>
    </cfRule>
  </conditionalFormatting>
  <conditionalFormatting sqref="A69:A74">
    <cfRule type="expression" dxfId="1258" priority="10">
      <formula>kvartal &lt; 4</formula>
    </cfRule>
  </conditionalFormatting>
  <conditionalFormatting sqref="A80:A85">
    <cfRule type="expression" dxfId="1257" priority="9">
      <formula>kvartal &lt; 4</formula>
    </cfRule>
  </conditionalFormatting>
  <conditionalFormatting sqref="A90:A95">
    <cfRule type="expression" dxfId="1256" priority="6">
      <formula>kvartal &lt; 4</formula>
    </cfRule>
  </conditionalFormatting>
  <conditionalFormatting sqref="A101:A106">
    <cfRule type="expression" dxfId="1255" priority="5">
      <formula>kvartal &lt; 4</formula>
    </cfRule>
  </conditionalFormatting>
  <conditionalFormatting sqref="A115">
    <cfRule type="expression" dxfId="1254" priority="4">
      <formula>kvartal &lt; 4</formula>
    </cfRule>
  </conditionalFormatting>
  <conditionalFormatting sqref="A123">
    <cfRule type="expression" dxfId="1253"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133</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6515.6889000000001</v>
      </c>
      <c r="C7" s="304">
        <v>5386.0964000000004</v>
      </c>
      <c r="D7" s="345">
        <f t="shared" ref="D7:D10" si="0">IF(B7=0, "    ---- ", IF(ABS(ROUND(100/B7*C7-100,1))&lt;999,ROUND(100/B7*C7-100,1),IF(ROUND(100/B7*C7-100,1)&gt;999,999,-999)))</f>
        <v>-17.3</v>
      </c>
      <c r="E7" s="11">
        <f>IFERROR(100/'Skjema total MA'!C7*C7,0)</f>
        <v>0.10944237028417074</v>
      </c>
      <c r="F7" s="303">
        <v>467270.49729000003</v>
      </c>
      <c r="G7" s="304">
        <v>649749.78677000001</v>
      </c>
      <c r="H7" s="345">
        <f t="shared" ref="H7:H12" si="1">IF(F7=0, "    ---- ", IF(ABS(ROUND(100/F7*G7-100,1))&lt;999,ROUND(100/F7*G7-100,1),IF(ROUND(100/F7*G7-100,1)&gt;999,999,-999)))</f>
        <v>39.1</v>
      </c>
      <c r="I7" s="159">
        <f>IFERROR(100/'Skjema total MA'!F7*G7,0)</f>
        <v>4.4088192545150156</v>
      </c>
      <c r="J7" s="305">
        <f t="shared" ref="J7:K12" si="2">SUM(B7,F7)</f>
        <v>473786.18619000004</v>
      </c>
      <c r="K7" s="306">
        <f t="shared" si="2"/>
        <v>655135.88317000004</v>
      </c>
      <c r="L7" s="421">
        <f t="shared" ref="L7:L12" si="3">IF(J7=0, "    ---- ", IF(ABS(ROUND(100/J7*K7-100,1))&lt;999,ROUND(100/J7*K7-100,1),IF(ROUND(100/J7*K7-100,1)&gt;999,999,-999)))</f>
        <v>38.299999999999997</v>
      </c>
      <c r="M7" s="11">
        <f>IFERROR(100/'Skjema total MA'!I7*K7,0)</f>
        <v>3.3325153419032163</v>
      </c>
    </row>
    <row r="8" spans="1:14" ht="15.6" x14ac:dyDescent="0.25">
      <c r="A8" s="21" t="s">
        <v>25</v>
      </c>
      <c r="B8" s="278">
        <v>5979.6251000000002</v>
      </c>
      <c r="C8" s="279">
        <v>5355.3471599998702</v>
      </c>
      <c r="D8" s="165">
        <f t="shared" si="0"/>
        <v>-10.4</v>
      </c>
      <c r="E8" s="27">
        <f>IFERROR(100/'Skjema total MA'!C8*C8,0)</f>
        <v>0.16533783345344863</v>
      </c>
      <c r="F8" s="282"/>
      <c r="G8" s="283"/>
      <c r="H8" s="165"/>
      <c r="I8" s="174"/>
      <c r="J8" s="232">
        <f t="shared" si="2"/>
        <v>5979.6251000000002</v>
      </c>
      <c r="K8" s="284">
        <f t="shared" si="2"/>
        <v>5355.3471599998702</v>
      </c>
      <c r="L8" s="165">
        <f t="shared" si="3"/>
        <v>-10.4</v>
      </c>
      <c r="M8" s="27">
        <f>IFERROR(100/'Skjema total MA'!I8*K8,0)</f>
        <v>0.16533783345344863</v>
      </c>
    </row>
    <row r="9" spans="1:14" ht="15.6" x14ac:dyDescent="0.25">
      <c r="A9" s="21" t="s">
        <v>24</v>
      </c>
      <c r="B9" s="278">
        <v>2457.18923</v>
      </c>
      <c r="C9" s="279">
        <v>2175.96191</v>
      </c>
      <c r="D9" s="165">
        <f t="shared" si="0"/>
        <v>-11.4</v>
      </c>
      <c r="E9" s="27">
        <f>IFERROR(100/'Skjema total MA'!C9*C9,0)</f>
        <v>0.21823478365075885</v>
      </c>
      <c r="F9" s="282"/>
      <c r="G9" s="283"/>
      <c r="H9" s="165"/>
      <c r="I9" s="174"/>
      <c r="J9" s="232">
        <f t="shared" si="2"/>
        <v>2457.18923</v>
      </c>
      <c r="K9" s="284">
        <f t="shared" si="2"/>
        <v>2175.96191</v>
      </c>
      <c r="L9" s="165">
        <f t="shared" si="3"/>
        <v>-11.4</v>
      </c>
      <c r="M9" s="27">
        <f>IFERROR(100/'Skjema total MA'!I9*K9,0)</f>
        <v>0.21823478365075885</v>
      </c>
    </row>
    <row r="10" spans="1:14" ht="15.6" x14ac:dyDescent="0.25">
      <c r="A10" s="13" t="s">
        <v>444</v>
      </c>
      <c r="B10" s="307">
        <v>417910.06646</v>
      </c>
      <c r="C10" s="308">
        <v>387456.75264000002</v>
      </c>
      <c r="D10" s="170">
        <f t="shared" si="0"/>
        <v>-7.3</v>
      </c>
      <c r="E10" s="11">
        <f>IFERROR(100/'Skjema total MA'!C10*C10,0)</f>
        <v>2.0540879080360432</v>
      </c>
      <c r="F10" s="307">
        <v>3305759.6871099998</v>
      </c>
      <c r="G10" s="308">
        <v>4293755.9707599999</v>
      </c>
      <c r="H10" s="170">
        <f t="shared" si="1"/>
        <v>29.9</v>
      </c>
      <c r="I10" s="159">
        <f>IFERROR(100/'Skjema total MA'!F10*G10,0)</f>
        <v>5.5529093106072018</v>
      </c>
      <c r="J10" s="305">
        <f t="shared" si="2"/>
        <v>3723669.7535699997</v>
      </c>
      <c r="K10" s="306">
        <f t="shared" si="2"/>
        <v>4681212.7233999996</v>
      </c>
      <c r="L10" s="422">
        <f t="shared" si="3"/>
        <v>25.7</v>
      </c>
      <c r="M10" s="11">
        <f>IFERROR(100/'Skjema total MA'!I10*K10,0)</f>
        <v>4.8667753636700803</v>
      </c>
    </row>
    <row r="11" spans="1:14" s="43" customFormat="1" ht="15.6" x14ac:dyDescent="0.25">
      <c r="A11" s="13" t="s">
        <v>445</v>
      </c>
      <c r="B11" s="307"/>
      <c r="C11" s="308"/>
      <c r="D11" s="170"/>
      <c r="E11" s="11"/>
      <c r="F11" s="307">
        <v>37948.950259999998</v>
      </c>
      <c r="G11" s="308">
        <v>27660.105490000002</v>
      </c>
      <c r="H11" s="170">
        <f t="shared" si="1"/>
        <v>-27.1</v>
      </c>
      <c r="I11" s="159">
        <f>IFERROR(100/'Skjema total MA'!F11*G11,0)</f>
        <v>4.1291559573835679</v>
      </c>
      <c r="J11" s="305">
        <f t="shared" si="2"/>
        <v>37948.950259999998</v>
      </c>
      <c r="K11" s="306">
        <f t="shared" si="2"/>
        <v>27660.105490000002</v>
      </c>
      <c r="L11" s="422">
        <f t="shared" si="3"/>
        <v>-27.1</v>
      </c>
      <c r="M11" s="11">
        <f>IFERROR(100/'Skjema total MA'!I11*K11,0)</f>
        <v>3.620344433604334</v>
      </c>
      <c r="N11" s="142"/>
    </row>
    <row r="12" spans="1:14" s="43" customFormat="1" ht="15.6" x14ac:dyDescent="0.25">
      <c r="A12" s="41" t="s">
        <v>446</v>
      </c>
      <c r="B12" s="309"/>
      <c r="C12" s="310"/>
      <c r="D12" s="168"/>
      <c r="E12" s="36"/>
      <c r="F12" s="309">
        <v>10725.48531</v>
      </c>
      <c r="G12" s="310">
        <v>3354.8115400000002</v>
      </c>
      <c r="H12" s="168">
        <f t="shared" si="1"/>
        <v>-68.7</v>
      </c>
      <c r="I12" s="168">
        <f>IFERROR(100/'Skjema total MA'!F12*G12,0)</f>
        <v>1.8758293210252122</v>
      </c>
      <c r="J12" s="311">
        <f t="shared" si="2"/>
        <v>10725.48531</v>
      </c>
      <c r="K12" s="312">
        <f t="shared" si="2"/>
        <v>3354.8115400000002</v>
      </c>
      <c r="L12" s="423">
        <f t="shared" si="3"/>
        <v>-68.7</v>
      </c>
      <c r="M12" s="36">
        <f>IFERROR(100/'Skjema total MA'!I12*K12,0)</f>
        <v>1.8035343336056087</v>
      </c>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5198.6336600000004</v>
      </c>
      <c r="C22" s="307">
        <v>8425.4527699999999</v>
      </c>
      <c r="D22" s="345">
        <f t="shared" ref="D22:D35" si="4">IF(B22=0, "    ---- ", IF(ABS(ROUND(100/B22*C22-100,1))&lt;999,ROUND(100/B22*C22-100,1),IF(ROUND(100/B22*C22-100,1)&gt;999,999,-999)))</f>
        <v>62.1</v>
      </c>
      <c r="E22" s="11">
        <f>IFERROR(100/'Skjema total MA'!C22*C22,0)</f>
        <v>0.4362285124101436</v>
      </c>
      <c r="F22" s="315">
        <v>325651.54398999998</v>
      </c>
      <c r="G22" s="315">
        <v>425007.59876999998</v>
      </c>
      <c r="H22" s="345">
        <f t="shared" ref="H22:H35" si="5">IF(F22=0, "    ---- ", IF(ABS(ROUND(100/F22*G22-100,1))&lt;999,ROUND(100/F22*G22-100,1),IF(ROUND(100/F22*G22-100,1)&gt;999,999,-999)))</f>
        <v>30.5</v>
      </c>
      <c r="I22" s="11">
        <f>IFERROR(100/'Skjema total MA'!F22*G22,0)</f>
        <v>24.769016547251681</v>
      </c>
      <c r="J22" s="313">
        <f t="shared" ref="J22:J35" si="6">SUM(B22,F22)</f>
        <v>330850.17764999997</v>
      </c>
      <c r="K22" s="313">
        <f t="shared" ref="K22:K35" si="7">SUM(C22,G22)</f>
        <v>433433.05153999996</v>
      </c>
      <c r="L22" s="421">
        <f t="shared" ref="L22:L35" si="8">IF(J22=0, "    ---- ", IF(ABS(ROUND(100/J22*K22-100,1))&lt;999,ROUND(100/J22*K22-100,1),IF(ROUND(100/J22*K22-100,1)&gt;999,999,-999)))</f>
        <v>31</v>
      </c>
      <c r="M22" s="24">
        <f>IFERROR(100/'Skjema total MA'!I22*K22,0)</f>
        <v>11.883619782360007</v>
      </c>
    </row>
    <row r="23" spans="1:14" ht="15.6" x14ac:dyDescent="0.25">
      <c r="A23" s="782" t="s">
        <v>447</v>
      </c>
      <c r="B23" s="278">
        <v>5193.54972</v>
      </c>
      <c r="C23" s="278">
        <v>8420.3688299999994</v>
      </c>
      <c r="D23" s="165">
        <f t="shared" si="4"/>
        <v>62.1</v>
      </c>
      <c r="E23" s="11">
        <f>IFERROR(100/'Skjema total MA'!C23*C23,0)</f>
        <v>0.75911696071315748</v>
      </c>
      <c r="F23" s="287">
        <v>6236.5997100000004</v>
      </c>
      <c r="G23" s="287">
        <v>6586.43066</v>
      </c>
      <c r="H23" s="165">
        <f t="shared" si="5"/>
        <v>5.6</v>
      </c>
      <c r="I23" s="411">
        <f>IFERROR(100/'Skjema total MA'!F23*G23,0)</f>
        <v>3.2075472317145937</v>
      </c>
      <c r="J23" s="287">
        <f t="shared" si="6"/>
        <v>11430.149430000001</v>
      </c>
      <c r="K23" s="287">
        <f t="shared" si="7"/>
        <v>15006.799489999999</v>
      </c>
      <c r="L23" s="165">
        <f t="shared" si="8"/>
        <v>31.3</v>
      </c>
      <c r="M23" s="23">
        <f>IFERROR(100/'Skjema total MA'!I23*K23,0)</f>
        <v>1.1415715294710893</v>
      </c>
    </row>
    <row r="24" spans="1:14" ht="15.6" x14ac:dyDescent="0.25">
      <c r="A24" s="782" t="s">
        <v>448</v>
      </c>
      <c r="B24" s="278">
        <v>5.0839400000000001</v>
      </c>
      <c r="C24" s="278">
        <v>5.0839400000000001</v>
      </c>
      <c r="D24" s="165">
        <f t="shared" si="4"/>
        <v>0</v>
      </c>
      <c r="E24" s="11">
        <f>IFERROR(100/'Skjema total MA'!C24*C24,0)</f>
        <v>2.1085508753484156E-2</v>
      </c>
      <c r="F24" s="287">
        <v>389.67572999999999</v>
      </c>
      <c r="G24" s="287">
        <v>-122.95415</v>
      </c>
      <c r="H24" s="165">
        <f t="shared" si="5"/>
        <v>-131.6</v>
      </c>
      <c r="I24" s="411">
        <f>IFERROR(100/'Skjema total MA'!F24*G24,0)</f>
        <v>-96.371249182400433</v>
      </c>
      <c r="J24" s="287">
        <f t="shared" si="6"/>
        <v>394.75966999999997</v>
      </c>
      <c r="K24" s="287">
        <f t="shared" si="7"/>
        <v>-117.87021</v>
      </c>
      <c r="L24" s="165">
        <f t="shared" si="8"/>
        <v>-129.9</v>
      </c>
      <c r="M24" s="23">
        <f>IFERROR(100/'Skjema total MA'!I24*K24,0)</f>
        <v>-0.48629041726200223</v>
      </c>
    </row>
    <row r="25" spans="1:14" ht="15.6" x14ac:dyDescent="0.25">
      <c r="A25" s="782" t="s">
        <v>449</v>
      </c>
      <c r="B25" s="278"/>
      <c r="C25" s="278"/>
      <c r="D25" s="165"/>
      <c r="E25" s="11"/>
      <c r="F25" s="287">
        <v>8820.0637900000002</v>
      </c>
      <c r="G25" s="287">
        <v>6069.2559600000004</v>
      </c>
      <c r="H25" s="165">
        <f t="shared" si="5"/>
        <v>-31.2</v>
      </c>
      <c r="I25" s="411">
        <f>IFERROR(100/'Skjema total MA'!F25*G25,0)</f>
        <v>32.735756928055061</v>
      </c>
      <c r="J25" s="287">
        <f t="shared" si="6"/>
        <v>8820.0637900000002</v>
      </c>
      <c r="K25" s="287">
        <f t="shared" si="7"/>
        <v>6069.2559600000004</v>
      </c>
      <c r="L25" s="165">
        <f t="shared" si="8"/>
        <v>-31.2</v>
      </c>
      <c r="M25" s="23">
        <f>IFERROR(100/'Skjema total MA'!I25*K25,0)</f>
        <v>12.54726943738696</v>
      </c>
    </row>
    <row r="26" spans="1:14" ht="15.6" x14ac:dyDescent="0.25">
      <c r="A26" s="782" t="s">
        <v>450</v>
      </c>
      <c r="B26" s="278"/>
      <c r="C26" s="278"/>
      <c r="D26" s="165"/>
      <c r="E26" s="11"/>
      <c r="F26" s="287">
        <v>310205.20475999999</v>
      </c>
      <c r="G26" s="287">
        <v>412474.86629999999</v>
      </c>
      <c r="H26" s="165">
        <f t="shared" si="5"/>
        <v>33</v>
      </c>
      <c r="I26" s="411">
        <f>IFERROR(100/'Skjema total MA'!F26*G26,0)</f>
        <v>27.648091482875575</v>
      </c>
      <c r="J26" s="287">
        <f t="shared" si="6"/>
        <v>310205.20475999999</v>
      </c>
      <c r="K26" s="287">
        <f t="shared" si="7"/>
        <v>412474.86629999999</v>
      </c>
      <c r="L26" s="165">
        <f t="shared" si="8"/>
        <v>33</v>
      </c>
      <c r="M26" s="23">
        <f>IFERROR(100/'Skjema total MA'!I26*K26,0)</f>
        <v>27.648091482875575</v>
      </c>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v>2718606.5263999999</v>
      </c>
      <c r="C29" s="234">
        <v>2657265.1137399999</v>
      </c>
      <c r="D29" s="170">
        <f t="shared" si="4"/>
        <v>-2.2999999999999998</v>
      </c>
      <c r="E29" s="11">
        <f>IFERROR(100/'Skjema total MA'!C29*C29,0)</f>
        <v>5.8636970071942933</v>
      </c>
      <c r="F29" s="305">
        <v>3180052.4708099999</v>
      </c>
      <c r="G29" s="305">
        <v>3990952.8287</v>
      </c>
      <c r="H29" s="170">
        <f t="shared" si="5"/>
        <v>25.5</v>
      </c>
      <c r="I29" s="11">
        <f>IFERROR(100/'Skjema total MA'!F29*G29,0)</f>
        <v>14.92753923693607</v>
      </c>
      <c r="J29" s="234">
        <f t="shared" si="6"/>
        <v>5898658.9972099997</v>
      </c>
      <c r="K29" s="234">
        <f t="shared" si="7"/>
        <v>6648217.9424399994</v>
      </c>
      <c r="L29" s="422">
        <f t="shared" si="8"/>
        <v>12.7</v>
      </c>
      <c r="M29" s="24">
        <f>IFERROR(100/'Skjema total MA'!I29*K29,0)</f>
        <v>9.2268780109573392</v>
      </c>
      <c r="N29" s="147"/>
    </row>
    <row r="30" spans="1:14" s="3" customFormat="1" ht="15.6" x14ac:dyDescent="0.25">
      <c r="A30" s="782" t="s">
        <v>447</v>
      </c>
      <c r="B30" s="278">
        <v>1559642.89242499</v>
      </c>
      <c r="C30" s="278">
        <v>1524451.8129740199</v>
      </c>
      <c r="D30" s="165">
        <f t="shared" si="4"/>
        <v>-2.2999999999999998</v>
      </c>
      <c r="E30" s="11">
        <f>IFERROR(100/'Skjema total MA'!C30*C30,0)</f>
        <v>9.550609153709253</v>
      </c>
      <c r="F30" s="287">
        <v>651294.03177999903</v>
      </c>
      <c r="G30" s="287">
        <v>723163.10069999902</v>
      </c>
      <c r="H30" s="165">
        <f t="shared" si="5"/>
        <v>11</v>
      </c>
      <c r="I30" s="411">
        <f>IFERROR(100/'Skjema total MA'!F30*G30,0)</f>
        <v>17.423319551640521</v>
      </c>
      <c r="J30" s="287">
        <f t="shared" si="6"/>
        <v>2210936.9242049889</v>
      </c>
      <c r="K30" s="287">
        <f t="shared" si="7"/>
        <v>2247614.9136740188</v>
      </c>
      <c r="L30" s="165">
        <f t="shared" si="8"/>
        <v>1.7</v>
      </c>
      <c r="M30" s="23">
        <f>IFERROR(100/'Skjema total MA'!I30*K30,0)</f>
        <v>11.175283296706082</v>
      </c>
      <c r="N30" s="147"/>
    </row>
    <row r="31" spans="1:14" s="3" customFormat="1" ht="15.6" x14ac:dyDescent="0.25">
      <c r="A31" s="782" t="s">
        <v>448</v>
      </c>
      <c r="B31" s="278">
        <v>1158963.6339750099</v>
      </c>
      <c r="C31" s="278">
        <v>1132813.30076598</v>
      </c>
      <c r="D31" s="165">
        <f t="shared" si="4"/>
        <v>-2.2999999999999998</v>
      </c>
      <c r="E31" s="11">
        <f>IFERROR(100/'Skjema total MA'!C31*C31,0)</f>
        <v>5.0332812575246129</v>
      </c>
      <c r="F31" s="287">
        <v>931456.823529999</v>
      </c>
      <c r="G31" s="287">
        <v>987500.15478999901</v>
      </c>
      <c r="H31" s="165">
        <f t="shared" si="5"/>
        <v>6</v>
      </c>
      <c r="I31" s="411">
        <f>IFERROR(100/'Skjema total MA'!F31*G31,0)</f>
        <v>10.520309767257226</v>
      </c>
      <c r="J31" s="287">
        <f t="shared" si="6"/>
        <v>2090420.4575050089</v>
      </c>
      <c r="K31" s="287">
        <f t="shared" si="7"/>
        <v>2120313.4555559792</v>
      </c>
      <c r="L31" s="165">
        <f t="shared" si="8"/>
        <v>1.4</v>
      </c>
      <c r="M31" s="23">
        <f>IFERROR(100/'Skjema total MA'!I31*K31,0)</f>
        <v>6.648196036941985</v>
      </c>
      <c r="N31" s="147"/>
    </row>
    <row r="32" spans="1:14" ht="15.6" x14ac:dyDescent="0.25">
      <c r="A32" s="782" t="s">
        <v>449</v>
      </c>
      <c r="B32" s="278"/>
      <c r="C32" s="278"/>
      <c r="D32" s="165"/>
      <c r="E32" s="11"/>
      <c r="F32" s="287">
        <v>487617.53460000001</v>
      </c>
      <c r="G32" s="287">
        <v>563142.37401999999</v>
      </c>
      <c r="H32" s="165">
        <f t="shared" si="5"/>
        <v>15.5</v>
      </c>
      <c r="I32" s="411">
        <f>IFERROR(100/'Skjema total MA'!F32*G32,0)</f>
        <v>9.5574790144205597</v>
      </c>
      <c r="J32" s="287">
        <f t="shared" si="6"/>
        <v>487617.53460000001</v>
      </c>
      <c r="K32" s="287">
        <f t="shared" si="7"/>
        <v>563142.37401999999</v>
      </c>
      <c r="L32" s="165">
        <f t="shared" si="8"/>
        <v>15.5</v>
      </c>
      <c r="M32" s="23">
        <f>IFERROR(100/'Skjema total MA'!I32*K32,0)</f>
        <v>6.3544918752333084</v>
      </c>
    </row>
    <row r="33" spans="1:14" ht="15.6" x14ac:dyDescent="0.25">
      <c r="A33" s="782" t="s">
        <v>450</v>
      </c>
      <c r="B33" s="278"/>
      <c r="C33" s="278"/>
      <c r="D33" s="165"/>
      <c r="E33" s="11"/>
      <c r="F33" s="287">
        <v>1109684.0808999999</v>
      </c>
      <c r="G33" s="287">
        <v>1717147.1991900001</v>
      </c>
      <c r="H33" s="165">
        <f t="shared" si="5"/>
        <v>54.7</v>
      </c>
      <c r="I33" s="411">
        <f>IFERROR(100/'Skjema total MA'!F33*G33,0)</f>
        <v>23.502651254769081</v>
      </c>
      <c r="J33" s="287">
        <f t="shared" si="6"/>
        <v>1109684.0808999999</v>
      </c>
      <c r="K33" s="287">
        <f t="shared" si="7"/>
        <v>1717147.1991900001</v>
      </c>
      <c r="L33" s="165">
        <f t="shared" si="8"/>
        <v>54.7</v>
      </c>
      <c r="M33" s="23">
        <f>IFERROR(100/'Skjema total MA'!I33*K33,0)</f>
        <v>23.502651254769081</v>
      </c>
    </row>
    <row r="34" spans="1:14" ht="15.6" x14ac:dyDescent="0.25">
      <c r="A34" s="13" t="s">
        <v>445</v>
      </c>
      <c r="B34" s="234"/>
      <c r="C34" s="306"/>
      <c r="D34" s="170"/>
      <c r="E34" s="11"/>
      <c r="F34" s="305">
        <v>26884.48516</v>
      </c>
      <c r="G34" s="306">
        <v>25915.372090000001</v>
      </c>
      <c r="H34" s="170">
        <f t="shared" si="5"/>
        <v>-3.6</v>
      </c>
      <c r="I34" s="11">
        <f>IFERROR(100/'Skjema total MA'!F34*G34,0)</f>
        <v>102.12912221677028</v>
      </c>
      <c r="J34" s="234">
        <f t="shared" si="6"/>
        <v>26884.48516</v>
      </c>
      <c r="K34" s="234">
        <f t="shared" si="7"/>
        <v>25915.372090000001</v>
      </c>
      <c r="L34" s="422">
        <f t="shared" si="8"/>
        <v>-3.6</v>
      </c>
      <c r="M34" s="24">
        <f>IFERROR(100/'Skjema total MA'!I34*K34,0)</f>
        <v>55.884578848358188</v>
      </c>
    </row>
    <row r="35" spans="1:14" ht="15.6" x14ac:dyDescent="0.25">
      <c r="A35" s="13" t="s">
        <v>446</v>
      </c>
      <c r="B35" s="234">
        <v>558.22864000000004</v>
      </c>
      <c r="C35" s="306">
        <v>135.08957000000001</v>
      </c>
      <c r="D35" s="170">
        <f t="shared" si="4"/>
        <v>-75.8</v>
      </c>
      <c r="E35" s="11">
        <f>IFERROR(100/'Skjema total MA'!C35*C35,0)</f>
        <v>-0.16330291010339854</v>
      </c>
      <c r="F35" s="305">
        <v>10665.338239999999</v>
      </c>
      <c r="G35" s="306">
        <v>17118.424439999999</v>
      </c>
      <c r="H35" s="170">
        <f t="shared" si="5"/>
        <v>60.5</v>
      </c>
      <c r="I35" s="11">
        <f>IFERROR(100/'Skjema total MA'!F35*G35,0)</f>
        <v>10.325081326890269</v>
      </c>
      <c r="J35" s="234">
        <f t="shared" si="6"/>
        <v>11223.566879999998</v>
      </c>
      <c r="K35" s="234">
        <f t="shared" si="7"/>
        <v>17253.514009999999</v>
      </c>
      <c r="L35" s="422">
        <f t="shared" si="8"/>
        <v>53.7</v>
      </c>
      <c r="M35" s="24">
        <f>IFERROR(100/'Skjema total MA'!I35*K35,0)</f>
        <v>20.76953350309326</v>
      </c>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c r="D47" s="421"/>
      <c r="E47" s="11"/>
      <c r="F47" s="144"/>
      <c r="G47" s="33"/>
      <c r="H47" s="158"/>
      <c r="I47" s="158"/>
      <c r="J47" s="37"/>
      <c r="K47" s="37"/>
      <c r="L47" s="158"/>
      <c r="M47" s="158"/>
      <c r="N47" s="147"/>
    </row>
    <row r="48" spans="1:14" s="3" customFormat="1" ht="15.6" x14ac:dyDescent="0.25">
      <c r="A48" s="38" t="s">
        <v>455</v>
      </c>
      <c r="B48" s="278"/>
      <c r="C48" s="279"/>
      <c r="D48" s="252"/>
      <c r="E48" s="27"/>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723455.96609</v>
      </c>
      <c r="C66" s="348">
        <v>786164.63916000002</v>
      </c>
      <c r="D66" s="345">
        <f>IF(B66=0, "    ---- ", IF(ABS(ROUND(100/B66*C66-100,1))&lt;999,ROUND(100/B66*C66-100,1),IF(ROUND(100/B66*C66-100,1)&gt;999,999,-999)))</f>
        <v>8.6999999999999993</v>
      </c>
      <c r="E66" s="11">
        <f>IFERROR(100/'Skjema total MA'!C66*C66,0)</f>
        <v>10.342609326640806</v>
      </c>
      <c r="F66" s="347">
        <v>3986013.5295700002</v>
      </c>
      <c r="G66" s="347">
        <v>4480986.98379</v>
      </c>
      <c r="H66" s="345">
        <f>IF(F66=0, "    ---- ", IF(ABS(ROUND(100/F66*G66-100,1))&lt;999,ROUND(100/F66*G66-100,1),IF(ROUND(100/F66*G66-100,1)&gt;999,999,-999)))</f>
        <v>12.4</v>
      </c>
      <c r="I66" s="11">
        <f>IFERROR(100/'Skjema total MA'!F66*G66,0)</f>
        <v>11.737012523063369</v>
      </c>
      <c r="J66" s="306">
        <f t="shared" ref="J66:K68" si="9">SUM(B66,F66)</f>
        <v>4709469.4956600005</v>
      </c>
      <c r="K66" s="313">
        <f t="shared" si="9"/>
        <v>5267151.6229499998</v>
      </c>
      <c r="L66" s="422">
        <f>IF(J66=0, "    ---- ", IF(ABS(ROUND(100/J66*K66-100,1))&lt;999,ROUND(100/J66*K66-100,1),IF(ROUND(100/J66*K66-100,1)&gt;999,999,-999)))</f>
        <v>11.8</v>
      </c>
      <c r="M66" s="11">
        <f>IFERROR(100/'Skjema total MA'!I66*K66,0)</f>
        <v>11.505485919896895</v>
      </c>
    </row>
    <row r="67" spans="1:14" x14ac:dyDescent="0.25">
      <c r="A67" s="413" t="s">
        <v>9</v>
      </c>
      <c r="B67" s="44">
        <v>148828.62966999999</v>
      </c>
      <c r="C67" s="144">
        <v>173998.1342</v>
      </c>
      <c r="D67" s="165">
        <f>IF(B67=0, "    ---- ", IF(ABS(ROUND(100/B67*C67-100,1))&lt;999,ROUND(100/B67*C67-100,1),IF(ROUND(100/B67*C67-100,1)&gt;999,999,-999)))</f>
        <v>16.899999999999999</v>
      </c>
      <c r="E67" s="27">
        <f>IFERROR(100/'Skjema total MA'!C67*C67,0)</f>
        <v>3.3623422442494664</v>
      </c>
      <c r="F67" s="232"/>
      <c r="G67" s="144"/>
      <c r="H67" s="165"/>
      <c r="I67" s="27"/>
      <c r="J67" s="284">
        <f t="shared" si="9"/>
        <v>148828.62966999999</v>
      </c>
      <c r="K67" s="44">
        <f t="shared" si="9"/>
        <v>173998.1342</v>
      </c>
      <c r="L67" s="252">
        <f>IF(J67=0, "    ---- ", IF(ABS(ROUND(100/J67*K67-100,1))&lt;999,ROUND(100/J67*K67-100,1),IF(ROUND(100/J67*K67-100,1)&gt;999,999,-999)))</f>
        <v>16.899999999999999</v>
      </c>
      <c r="M67" s="27">
        <f>IFERROR(100/'Skjema total MA'!I67*K67,0)</f>
        <v>3.3623422442494664</v>
      </c>
    </row>
    <row r="68" spans="1:14" x14ac:dyDescent="0.25">
      <c r="A68" s="21" t="s">
        <v>10</v>
      </c>
      <c r="B68" s="289">
        <v>42777.453390000002</v>
      </c>
      <c r="C68" s="290">
        <v>34856.668400000002</v>
      </c>
      <c r="D68" s="165">
        <f>IF(B68=0, "    ---- ", IF(ABS(ROUND(100/B68*C68-100,1))&lt;999,ROUND(100/B68*C68-100,1),IF(ROUND(100/B68*C68-100,1)&gt;999,999,-999)))</f>
        <v>-18.5</v>
      </c>
      <c r="E68" s="27">
        <f>IFERROR(100/'Skjema total MA'!C68*C68,0)</f>
        <v>76.27168183824638</v>
      </c>
      <c r="F68" s="289">
        <v>3702518.4673000001</v>
      </c>
      <c r="G68" s="290">
        <v>4163733.4497799999</v>
      </c>
      <c r="H68" s="165">
        <f>IF(F68=0, "    ---- ", IF(ABS(ROUND(100/F68*G68-100,1))&lt;999,ROUND(100/F68*G68-100,1),IF(ROUND(100/F68*G68-100,1)&gt;999,999,-999)))</f>
        <v>12.5</v>
      </c>
      <c r="I68" s="27">
        <f>IFERROR(100/'Skjema total MA'!F68*G68,0)</f>
        <v>11.357000170410958</v>
      </c>
      <c r="J68" s="284">
        <f t="shared" si="9"/>
        <v>3745295.9206900001</v>
      </c>
      <c r="K68" s="44">
        <f t="shared" si="9"/>
        <v>4198590.1181800002</v>
      </c>
      <c r="L68" s="252">
        <f>IF(J68=0, "    ---- ", IF(ABS(ROUND(100/J68*K68-100,1))&lt;999,ROUND(100/J68*K68-100,1),IF(ROUND(100/J68*K68-100,1)&gt;999,999,-999)))</f>
        <v>12.1</v>
      </c>
      <c r="M68" s="27">
        <f>IFERROR(100/'Skjema total MA'!I68*K68,0)</f>
        <v>11.437817625746971</v>
      </c>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v>42777.453390000002</v>
      </c>
      <c r="C72" s="278">
        <v>34856.668400000002</v>
      </c>
      <c r="D72" s="165">
        <f>IF(B72=0, "    ---- ", IF(ABS(ROUND(100/B72*C72-100,1))&lt;999,ROUND(100/B72*C72-100,1),IF(ROUND(100/B72*C72-100,1)&gt;999,999,-999)))</f>
        <v>-18.5</v>
      </c>
      <c r="E72" s="27">
        <f>IFERROR(100/'Skjema total MA'!C72*C72,0)</f>
        <v>91.344264406658212</v>
      </c>
      <c r="F72" s="278">
        <v>3702518.4673000001</v>
      </c>
      <c r="G72" s="278">
        <v>4163733.4497799999</v>
      </c>
      <c r="H72" s="165">
        <f>IF(F72=0, "    ---- ", IF(ABS(ROUND(100/F72*G72-100,1))&lt;999,ROUND(100/F72*G72-100,1),IF(ROUND(100/F72*G72-100,1)&gt;999,999,-999)))</f>
        <v>12.5</v>
      </c>
      <c r="I72" s="27">
        <f>IFERROR(100/'Skjema total MA'!F72*G72,0)</f>
        <v>11.357664673572724</v>
      </c>
      <c r="J72" s="284">
        <f t="shared" ref="J72" si="10">SUM(B72,F72)</f>
        <v>3745295.9206900001</v>
      </c>
      <c r="K72" s="44">
        <f t="shared" ref="K72" si="11">SUM(C72,G72)</f>
        <v>4198590.1181800002</v>
      </c>
      <c r="L72" s="252">
        <f>IF(J72=0, "    ---- ", IF(ABS(ROUND(100/J72*K72-100,1))&lt;999,ROUND(100/J72*K72-100,1),IF(ROUND(100/J72*K72-100,1)&gt;999,999,-999)))</f>
        <v>12.1</v>
      </c>
      <c r="M72" s="23">
        <f>IFERROR(100/'Skjema total MA'!I72*K72,0)</f>
        <v>11.440836478505732</v>
      </c>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v>3702518.4673000001</v>
      </c>
      <c r="G74" s="278">
        <v>4163733.4497799999</v>
      </c>
      <c r="H74" s="165">
        <f>IF(F74=0, "    ---- ", IF(ABS(ROUND(100/F74*G74-100,1))&lt;999,ROUND(100/F74*G74-100,1),IF(ROUND(100/F74*G74-100,1)&gt;999,999,-999)))</f>
        <v>12.5</v>
      </c>
      <c r="I74" s="27">
        <f>IFERROR(100/'Skjema total MA'!F74*G74,0)</f>
        <v>11.357667152051743</v>
      </c>
      <c r="J74" s="284">
        <f t="shared" ref="J74" si="12">SUM(B74,F74)</f>
        <v>3702518.4673000001</v>
      </c>
      <c r="K74" s="44">
        <f t="shared" ref="K74" si="13">SUM(C74,G74)</f>
        <v>4163733.4497799999</v>
      </c>
      <c r="L74" s="252">
        <f t="shared" ref="L74:L79" si="14">IF(J74=0, "    ---- ", IF(ABS(ROUND(100/J74*K74-100,1))&lt;999,ROUND(100/J74*K74-100,1),IF(ROUND(100/J74*K74-100,1)&gt;999,999,-999)))</f>
        <v>12.5</v>
      </c>
      <c r="M74" s="23">
        <f>IFERROR(100/'Skjema total MA'!I74*K74,0)</f>
        <v>11.357667152051743</v>
      </c>
      <c r="N74" s="147"/>
    </row>
    <row r="75" spans="1:14" s="3" customFormat="1" x14ac:dyDescent="0.25">
      <c r="A75" s="21" t="s">
        <v>348</v>
      </c>
      <c r="B75" s="232">
        <v>327423.87595000002</v>
      </c>
      <c r="C75" s="144">
        <v>352940.30366999999</v>
      </c>
      <c r="D75" s="165">
        <f>IF(B75=0, "    ---- ", IF(ABS(ROUND(100/B75*C75-100,1))&lt;999,ROUND(100/B75*C75-100,1),IF(ROUND(100/B75*C75-100,1)&gt;999,999,-999)))</f>
        <v>7.8</v>
      </c>
      <c r="E75" s="27">
        <f>IFERROR(100/'Skjema total MA'!C75*C75,0)</f>
        <v>66.237229043106097</v>
      </c>
      <c r="F75" s="232">
        <v>283495.06226999999</v>
      </c>
      <c r="G75" s="144">
        <v>317253.53401</v>
      </c>
      <c r="H75" s="165">
        <f>IF(F75=0, "    ---- ", IF(ABS(ROUND(100/F75*G75-100,1))&lt;999,ROUND(100/F75*G75-100,1),IF(ROUND(100/F75*G75-100,1)&gt;999,999,-999)))</f>
        <v>11.9</v>
      </c>
      <c r="I75" s="27">
        <f>IFERROR(100/'Skjema total MA'!F75*G75,0)</f>
        <v>20.927097617944735</v>
      </c>
      <c r="J75" s="284">
        <f t="shared" ref="J75:K79" si="15">SUM(B75,F75)</f>
        <v>610918.93822000001</v>
      </c>
      <c r="K75" s="44">
        <f t="shared" si="15"/>
        <v>670193.83768</v>
      </c>
      <c r="L75" s="252">
        <f t="shared" si="14"/>
        <v>9.6999999999999993</v>
      </c>
      <c r="M75" s="27">
        <f>IFERROR(100/'Skjema total MA'!I75*K75,0)</f>
        <v>32.710943828926041</v>
      </c>
      <c r="N75" s="147"/>
    </row>
    <row r="76" spans="1:14" s="3" customFormat="1" x14ac:dyDescent="0.25">
      <c r="A76" s="21" t="s">
        <v>347</v>
      </c>
      <c r="B76" s="232">
        <v>204426.00708000001</v>
      </c>
      <c r="C76" s="144">
        <v>224369.53289</v>
      </c>
      <c r="D76" s="165">
        <f>IF(B76=0, "    ---- ", IF(ABS(ROUND(100/B76*C76-100,1))&lt;999,ROUND(100/B76*C76-100,1),IF(ROUND(100/B76*C76-100,1)&gt;999,999,-999)))</f>
        <v>9.8000000000000007</v>
      </c>
      <c r="E76" s="27">
        <f>IFERROR(100/'Skjema total MA'!C77*C76,0)</f>
        <v>4.378829728047398</v>
      </c>
      <c r="F76" s="232"/>
      <c r="G76" s="144"/>
      <c r="H76" s="165"/>
      <c r="I76" s="27"/>
      <c r="J76" s="284">
        <f t="shared" si="15"/>
        <v>204426.00708000001</v>
      </c>
      <c r="K76" s="44">
        <f t="shared" si="15"/>
        <v>224369.53289</v>
      </c>
      <c r="L76" s="252">
        <f t="shared" si="14"/>
        <v>9.8000000000000007</v>
      </c>
      <c r="M76" s="27">
        <f>IFERROR(100/'Skjema total MA'!I77*K76,0)</f>
        <v>0.5371011410193014</v>
      </c>
      <c r="N76" s="147"/>
    </row>
    <row r="77" spans="1:14" ht="15.6" x14ac:dyDescent="0.25">
      <c r="A77" s="21" t="s">
        <v>461</v>
      </c>
      <c r="B77" s="232">
        <v>191606.08306</v>
      </c>
      <c r="C77" s="232">
        <v>208854.8026</v>
      </c>
      <c r="D77" s="165">
        <f>IF(B77=0, "    ---- ", IF(ABS(ROUND(100/B77*C77-100,1))&lt;999,ROUND(100/B77*C77-100,1),IF(ROUND(100/B77*C77-100,1)&gt;999,999,-999)))</f>
        <v>9</v>
      </c>
      <c r="E77" s="27">
        <f>IFERROR(100/'Skjema total MA'!C77*C77,0)</f>
        <v>4.076041905915611</v>
      </c>
      <c r="F77" s="232">
        <v>3690827.7742400002</v>
      </c>
      <c r="G77" s="144">
        <v>4153820.7397699999</v>
      </c>
      <c r="H77" s="165">
        <f>IF(F77=0, "    ---- ", IF(ABS(ROUND(100/F77*G77-100,1))&lt;999,ROUND(100/F77*G77-100,1),IF(ROUND(100/F77*G77-100,1)&gt;999,999,-999)))</f>
        <v>12.5</v>
      </c>
      <c r="I77" s="27">
        <f>IFERROR(100/'Skjema total MA'!F77*G77,0)</f>
        <v>11.333689753921162</v>
      </c>
      <c r="J77" s="284">
        <f t="shared" si="15"/>
        <v>3882433.8573000003</v>
      </c>
      <c r="K77" s="44">
        <f t="shared" si="15"/>
        <v>4362675.5423699999</v>
      </c>
      <c r="L77" s="252">
        <f t="shared" si="14"/>
        <v>12.4</v>
      </c>
      <c r="M77" s="27">
        <f>IFERROR(100/'Skjema total MA'!I77*K77,0)</f>
        <v>10.443476801517027</v>
      </c>
    </row>
    <row r="78" spans="1:14" x14ac:dyDescent="0.25">
      <c r="A78" s="21" t="s">
        <v>9</v>
      </c>
      <c r="B78" s="232">
        <v>148828.62966999999</v>
      </c>
      <c r="C78" s="144">
        <v>173998.1342</v>
      </c>
      <c r="D78" s="165">
        <f>IF(B78=0, "    ---- ", IF(ABS(ROUND(100/B78*C78-100,1))&lt;999,ROUND(100/B78*C78-100,1),IF(ROUND(100/B78*C78-100,1)&gt;999,999,-999)))</f>
        <v>16.899999999999999</v>
      </c>
      <c r="E78" s="27">
        <f>IFERROR(100/'Skjema total MA'!C78*C78,0)</f>
        <v>3.424882049805916</v>
      </c>
      <c r="F78" s="232"/>
      <c r="G78" s="144"/>
      <c r="H78" s="165"/>
      <c r="I78" s="27"/>
      <c r="J78" s="284">
        <f t="shared" si="15"/>
        <v>148828.62966999999</v>
      </c>
      <c r="K78" s="44">
        <f t="shared" si="15"/>
        <v>173998.1342</v>
      </c>
      <c r="L78" s="252">
        <f t="shared" si="14"/>
        <v>16.899999999999999</v>
      </c>
      <c r="M78" s="27">
        <f>IFERROR(100/'Skjema total MA'!I78*K78,0)</f>
        <v>3.424882049805916</v>
      </c>
    </row>
    <row r="79" spans="1:14" x14ac:dyDescent="0.25">
      <c r="A79" s="38" t="s">
        <v>495</v>
      </c>
      <c r="B79" s="289">
        <v>42777.453390000002</v>
      </c>
      <c r="C79" s="290">
        <v>34856.668400000002</v>
      </c>
      <c r="D79" s="165">
        <f>IF(B79=0, "    ---- ", IF(ABS(ROUND(100/B79*C79-100,1))&lt;999,ROUND(100/B79*C79-100,1),IF(ROUND(100/B79*C79-100,1)&gt;999,999,-999)))</f>
        <v>-18.5</v>
      </c>
      <c r="E79" s="27">
        <f>IFERROR(100/'Skjema total MA'!C79*C79,0)</f>
        <v>80.040721520660782</v>
      </c>
      <c r="F79" s="289">
        <v>3690827.7742400002</v>
      </c>
      <c r="G79" s="290">
        <v>4153820.7397699999</v>
      </c>
      <c r="H79" s="165">
        <f>IF(F79=0, "    ---- ", IF(ABS(ROUND(100/F79*G79-100,1))&lt;999,ROUND(100/F79*G79-100,1),IF(ROUND(100/F79*G79-100,1)&gt;999,999,-999)))</f>
        <v>12.5</v>
      </c>
      <c r="I79" s="27">
        <f>IFERROR(100/'Skjema total MA'!F79*G79,0)</f>
        <v>11.333689753921162</v>
      </c>
      <c r="J79" s="284">
        <f t="shared" si="15"/>
        <v>3733605.2276300001</v>
      </c>
      <c r="K79" s="44">
        <f t="shared" si="15"/>
        <v>4188677.4081699997</v>
      </c>
      <c r="L79" s="252">
        <f t="shared" si="14"/>
        <v>12.2</v>
      </c>
      <c r="M79" s="27">
        <f>IFERROR(100/'Skjema total MA'!I79*K79,0)</f>
        <v>11.415232231653629</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v>42777.453390000002</v>
      </c>
      <c r="C83" s="278">
        <v>34856.668400000002</v>
      </c>
      <c r="D83" s="165">
        <f>IF(B83=0, "    ---- ", IF(ABS(ROUND(100/B83*C83-100,1))&lt;999,ROUND(100/B83*C83-100,1),IF(ROUND(100/B83*C83-100,1)&gt;999,999,-999)))</f>
        <v>-18.5</v>
      </c>
      <c r="E83" s="27">
        <f>IFERROR(100/'Skjema total MA'!C83*C83,0)</f>
        <v>80.040721520660782</v>
      </c>
      <c r="F83" s="278">
        <v>3690827.7742400002</v>
      </c>
      <c r="G83" s="278">
        <v>4153820.7397699999</v>
      </c>
      <c r="H83" s="165">
        <f>IF(F83=0, "    ---- ", IF(ABS(ROUND(100/F83*G83-100,1))&lt;999,ROUND(100/F83*G83-100,1),IF(ROUND(100/F83*G83-100,1)&gt;999,999,-999)))</f>
        <v>12.5</v>
      </c>
      <c r="I83" s="27">
        <f>IFERROR(100/'Skjema total MA'!F83*G83,0)</f>
        <v>11.333689753921162</v>
      </c>
      <c r="J83" s="284">
        <f t="shared" ref="J83" si="16">SUM(B83,F83)</f>
        <v>3733605.2276300001</v>
      </c>
      <c r="K83" s="44">
        <f t="shared" ref="K83" si="17">SUM(C83,G83)</f>
        <v>4188677.4081699997</v>
      </c>
      <c r="L83" s="252">
        <f>IF(J83=0, "    ---- ", IF(ABS(ROUND(100/J83*K83-100,1))&lt;999,ROUND(100/J83*K83-100,1),IF(ROUND(100/J83*K83-100,1)&gt;999,999,-999)))</f>
        <v>12.2</v>
      </c>
      <c r="M83" s="23">
        <f>IFERROR(100/'Skjema total MA'!I83*K83,0)</f>
        <v>11.415232231653629</v>
      </c>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v>3690827.7742400002</v>
      </c>
      <c r="G85" s="278">
        <v>4153820.7397699999</v>
      </c>
      <c r="H85" s="165">
        <f>IF(F85=0, "    ---- ", IF(ABS(ROUND(100/F85*G85-100,1))&lt;999,ROUND(100/F85*G85-100,1),IF(ROUND(100/F85*G85-100,1)&gt;999,999,-999)))</f>
        <v>12.5</v>
      </c>
      <c r="I85" s="27">
        <f>IFERROR(100/'Skjema total MA'!F85*G85,0)</f>
        <v>11.333692227837288</v>
      </c>
      <c r="J85" s="284">
        <f t="shared" ref="J85" si="18">SUM(B85,F85)</f>
        <v>3690827.7742400002</v>
      </c>
      <c r="K85" s="44">
        <f t="shared" ref="K85" si="19">SUM(C85,G85)</f>
        <v>4153820.7397699999</v>
      </c>
      <c r="L85" s="252">
        <f>IF(J85=0, "    ---- ", IF(ABS(ROUND(100/J85*K85-100,1))&lt;999,ROUND(100/J85*K85-100,1),IF(ROUND(100/J85*K85-100,1)&gt;999,999,-999)))</f>
        <v>12.5</v>
      </c>
      <c r="M85" s="23">
        <f>IFERROR(100/'Skjema total MA'!I85*K85,0)</f>
        <v>11.333692227837288</v>
      </c>
    </row>
    <row r="86" spans="1:13" ht="15.6" x14ac:dyDescent="0.25">
      <c r="A86" s="21" t="s">
        <v>462</v>
      </c>
      <c r="B86" s="232"/>
      <c r="C86" s="144"/>
      <c r="D86" s="165"/>
      <c r="E86" s="27"/>
      <c r="F86" s="232">
        <v>11690.69306</v>
      </c>
      <c r="G86" s="144">
        <v>9912.7100100000007</v>
      </c>
      <c r="H86" s="165">
        <f>IF(F86=0, "    ---- ", IF(ABS(ROUND(100/F86*G86-100,1))&lt;999,ROUND(100/F86*G86-100,1),IF(ROUND(100/F86*G86-100,1)&gt;999,999,-999)))</f>
        <v>-15.2</v>
      </c>
      <c r="I86" s="27">
        <f>IFERROR(100/'Skjema total MA'!F86*G86,0)</f>
        <v>82.210552433081787</v>
      </c>
      <c r="J86" s="284">
        <f t="shared" ref="J86:K89" si="20">SUM(B86,F86)</f>
        <v>11690.69306</v>
      </c>
      <c r="K86" s="44">
        <f t="shared" si="20"/>
        <v>9912.7100100000007</v>
      </c>
      <c r="L86" s="252">
        <f>IF(J86=0, "    ---- ", IF(ABS(ROUND(100/J86*K86-100,1))&lt;999,ROUND(100/J86*K86-100,1),IF(ROUND(100/J86*K86-100,1)&gt;999,999,-999)))</f>
        <v>-15.2</v>
      </c>
      <c r="M86" s="27">
        <f>IFERROR(100/'Skjema total MA'!I86*K86,0)</f>
        <v>9.1188757631572503</v>
      </c>
    </row>
    <row r="87" spans="1:13" ht="15.6" x14ac:dyDescent="0.25">
      <c r="A87" s="13" t="s">
        <v>444</v>
      </c>
      <c r="B87" s="348">
        <v>16162334.403500002</v>
      </c>
      <c r="C87" s="348">
        <v>17665347.43048</v>
      </c>
      <c r="D87" s="170">
        <f>IF(B87=0, "    ---- ", IF(ABS(ROUND(100/B87*C87-100,1))&lt;999,ROUND(100/B87*C87-100,1),IF(ROUND(100/B87*C87-100,1)&gt;999,999,-999)))</f>
        <v>9.3000000000000007</v>
      </c>
      <c r="E87" s="11">
        <f>IFERROR(100/'Skjema total MA'!C87*C87,0)</f>
        <v>4.3678807838730762</v>
      </c>
      <c r="F87" s="347">
        <v>37099120.122170001</v>
      </c>
      <c r="G87" s="347">
        <v>47855546.707939997</v>
      </c>
      <c r="H87" s="170">
        <f>IF(F87=0, "    ---- ", IF(ABS(ROUND(100/F87*G87-100,1))&lt;999,ROUND(100/F87*G87-100,1),IF(ROUND(100/F87*G87-100,1)&gt;999,999,-999)))</f>
        <v>29</v>
      </c>
      <c r="I87" s="11">
        <f>IFERROR(100/'Skjema total MA'!F87*G87,0)</f>
        <v>10.637344963427553</v>
      </c>
      <c r="J87" s="306">
        <f t="shared" si="20"/>
        <v>53261454.525670007</v>
      </c>
      <c r="K87" s="234">
        <f t="shared" si="20"/>
        <v>65520894.138420001</v>
      </c>
      <c r="L87" s="422">
        <f>IF(J87=0, "    ---- ", IF(ABS(ROUND(100/J87*K87-100,1))&lt;999,ROUND(100/J87*K87-100,1),IF(ROUND(100/J87*K87-100,1)&gt;999,999,-999)))</f>
        <v>23</v>
      </c>
      <c r="M87" s="11">
        <f>IFERROR(100/'Skjema total MA'!I87*K87,0)</f>
        <v>7.6693627366017134</v>
      </c>
    </row>
    <row r="88" spans="1:13" x14ac:dyDescent="0.25">
      <c r="A88" s="21" t="s">
        <v>9</v>
      </c>
      <c r="B88" s="232">
        <v>12065176.120820001</v>
      </c>
      <c r="C88" s="144">
        <v>12635526.333179999</v>
      </c>
      <c r="D88" s="165">
        <f>IF(B88=0, "    ---- ", IF(ABS(ROUND(100/B88*C88-100,1))&lt;999,ROUND(100/B88*C88-100,1),IF(ROUND(100/B88*C88-100,1)&gt;999,999,-999)))</f>
        <v>4.7</v>
      </c>
      <c r="E88" s="27">
        <f>IFERROR(100/'Skjema total MA'!C88*C88,0)</f>
        <v>3.2354636140496837</v>
      </c>
      <c r="F88" s="232"/>
      <c r="G88" s="144"/>
      <c r="H88" s="165"/>
      <c r="I88" s="27"/>
      <c r="J88" s="284">
        <f t="shared" si="20"/>
        <v>12065176.120820001</v>
      </c>
      <c r="K88" s="44">
        <f t="shared" si="20"/>
        <v>12635526.333179999</v>
      </c>
      <c r="L88" s="252">
        <f>IF(J88=0, "    ---- ", IF(ABS(ROUND(100/J88*K88-100,1))&lt;999,ROUND(100/J88*K88-100,1),IF(ROUND(100/J88*K88-100,1)&gt;999,999,-999)))</f>
        <v>4.7</v>
      </c>
      <c r="M88" s="27">
        <f>IFERROR(100/'Skjema total MA'!I88*K88,0)</f>
        <v>3.2354636140496837</v>
      </c>
    </row>
    <row r="89" spans="1:13" x14ac:dyDescent="0.25">
      <c r="A89" s="21" t="s">
        <v>10</v>
      </c>
      <c r="B89" s="232">
        <v>1631918.4897</v>
      </c>
      <c r="C89" s="144">
        <v>1713829.27134</v>
      </c>
      <c r="D89" s="165">
        <f>IF(B89=0, "    ---- ", IF(ABS(ROUND(100/B89*C89-100,1))&lt;999,ROUND(100/B89*C89-100,1),IF(ROUND(100/B89*C89-100,1)&gt;999,999,-999)))</f>
        <v>5</v>
      </c>
      <c r="E89" s="27">
        <f>IFERROR(100/'Skjema total MA'!C89*C89,0)</f>
        <v>54.089052156264934</v>
      </c>
      <c r="F89" s="232">
        <v>35810377.421949998</v>
      </c>
      <c r="G89" s="144">
        <v>46148186.99492</v>
      </c>
      <c r="H89" s="165">
        <f>IF(F89=0, "    ---- ", IF(ABS(ROUND(100/F89*G89-100,1))&lt;999,ROUND(100/F89*G89-100,1),IF(ROUND(100/F89*G89-100,1)&gt;999,999,-999)))</f>
        <v>28.9</v>
      </c>
      <c r="I89" s="27">
        <f>IFERROR(100/'Skjema total MA'!F89*G89,0)</f>
        <v>10.369569433792549</v>
      </c>
      <c r="J89" s="284">
        <f t="shared" si="20"/>
        <v>37442295.911649995</v>
      </c>
      <c r="K89" s="44">
        <f t="shared" si="20"/>
        <v>47862016.266259998</v>
      </c>
      <c r="L89" s="252">
        <f>IF(J89=0, "    ---- ", IF(ABS(ROUND(100/J89*K89-100,1))&lt;999,ROUND(100/J89*K89-100,1),IF(ROUND(100/J89*K89-100,1)&gt;999,999,-999)))</f>
        <v>27.8</v>
      </c>
      <c r="M89" s="27">
        <f>IFERROR(100/'Skjema total MA'!I89*K89,0)</f>
        <v>10.678640372199288</v>
      </c>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v>1631918.4897</v>
      </c>
      <c r="C93" s="278">
        <v>1713829.27134</v>
      </c>
      <c r="D93" s="165">
        <f>IF(B93=0, "    ---- ", IF(ABS(ROUND(100/B93*C93-100,1))&lt;999,ROUND(100/B93*C93-100,1),IF(ROUND(100/B93*C93-100,1)&gt;999,999,-999)))</f>
        <v>5</v>
      </c>
      <c r="E93" s="27">
        <f>IFERROR(100/'Skjema total MA'!C93*C93,0)</f>
        <v>54.089052156264934</v>
      </c>
      <c r="F93" s="278">
        <v>35810377.421949998</v>
      </c>
      <c r="G93" s="278">
        <v>46148186.99492</v>
      </c>
      <c r="H93" s="165">
        <f>IF(F93=0, "    ---- ", IF(ABS(ROUND(100/F93*G93-100,1))&lt;999,ROUND(100/F93*G93-100,1),IF(ROUND(100/F93*G93-100,1)&gt;999,999,-999)))</f>
        <v>28.9</v>
      </c>
      <c r="I93" s="27">
        <f>IFERROR(100/'Skjema total MA'!F93*G93,0)</f>
        <v>10.372255918013266</v>
      </c>
      <c r="J93" s="284">
        <f t="shared" ref="J93" si="21">SUM(B93,F93)</f>
        <v>37442295.911649995</v>
      </c>
      <c r="K93" s="44">
        <f t="shared" ref="K93" si="22">SUM(C93,G93)</f>
        <v>47862016.266259998</v>
      </c>
      <c r="L93" s="252">
        <f>IF(J93=0, "    ---- ", IF(ABS(ROUND(100/J93*K93-100,1))&lt;999,ROUND(100/J93*K93-100,1),IF(ROUND(100/J93*K93-100,1)&gt;999,999,-999)))</f>
        <v>27.8</v>
      </c>
      <c r="M93" s="23">
        <f>IFERROR(100/'Skjema total MA'!I93*K93,0)</f>
        <v>10.681387365664204</v>
      </c>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v>35810377.421949998</v>
      </c>
      <c r="G95" s="278">
        <v>46148186.99492</v>
      </c>
      <c r="H95" s="165">
        <f>IF(F95=0, "    ---- ", IF(ABS(ROUND(100/F95*G95-100,1))&lt;999,ROUND(100/F95*G95-100,1),IF(ROUND(100/F95*G95-100,1)&gt;999,999,-999)))</f>
        <v>28.9</v>
      </c>
      <c r="I95" s="27">
        <f>IFERROR(100/'Skjema total MA'!F95*G95,0)</f>
        <v>10.390020655431687</v>
      </c>
      <c r="J95" s="284">
        <f t="shared" ref="J95" si="23">SUM(B95,F95)</f>
        <v>35810377.421949998</v>
      </c>
      <c r="K95" s="44">
        <f t="shared" ref="K95" si="24">SUM(C95,G95)</f>
        <v>46148186.99492</v>
      </c>
      <c r="L95" s="252">
        <f t="shared" ref="L95:L100" si="25">IF(J95=0, "    ---- ", IF(ABS(ROUND(100/J95*K95-100,1))&lt;999,ROUND(100/J95*K95-100,1),IF(ROUND(100/J95*K95-100,1)&gt;999,999,-999)))</f>
        <v>28.9</v>
      </c>
      <c r="M95" s="23">
        <f>IFERROR(100/'Skjema total MA'!I95*K95,0)</f>
        <v>10.390020655431687</v>
      </c>
    </row>
    <row r="96" spans="1:13" x14ac:dyDescent="0.25">
      <c r="A96" s="21" t="s">
        <v>346</v>
      </c>
      <c r="B96" s="232">
        <v>1566333.6014400001</v>
      </c>
      <c r="C96" s="144">
        <v>2138004.8590099998</v>
      </c>
      <c r="D96" s="165">
        <f>IF(B96=0, "    ---- ", IF(ABS(ROUND(100/B96*C96-100,1))&lt;999,ROUND(100/B96*C96-100,1),IF(ROUND(100/B96*C96-100,1)&gt;999,999,-999)))</f>
        <v>36.5</v>
      </c>
      <c r="E96" s="27">
        <f>IFERROR(100/'Skjema total MA'!C96*C96,0)</f>
        <v>74.802912512113238</v>
      </c>
      <c r="F96" s="232">
        <v>1288742.70022</v>
      </c>
      <c r="G96" s="144">
        <v>1707359.7130199999</v>
      </c>
      <c r="H96" s="165">
        <f>IF(F96=0, "    ---- ", IF(ABS(ROUND(100/F96*G96-100,1))&lt;999,ROUND(100/F96*G96-100,1),IF(ROUND(100/F96*G96-100,1)&gt;999,999,-999)))</f>
        <v>32.5</v>
      </c>
      <c r="I96" s="27">
        <f>IFERROR(100/'Skjema total MA'!F96*G96,0)</f>
        <v>35.220064098364674</v>
      </c>
      <c r="J96" s="284">
        <f t="shared" ref="J96:K100" si="26">SUM(B96,F96)</f>
        <v>2855076.3016600003</v>
      </c>
      <c r="K96" s="44">
        <f t="shared" si="26"/>
        <v>3845364.5720299995</v>
      </c>
      <c r="L96" s="252">
        <f t="shared" si="25"/>
        <v>34.700000000000003</v>
      </c>
      <c r="M96" s="27">
        <f>IFERROR(100/'Skjema total MA'!I96*K96,0)</f>
        <v>49.90172844787277</v>
      </c>
    </row>
    <row r="97" spans="1:13" x14ac:dyDescent="0.25">
      <c r="A97" s="21" t="s">
        <v>345</v>
      </c>
      <c r="B97" s="232">
        <v>898906.19154000003</v>
      </c>
      <c r="C97" s="144">
        <v>1177986.96695</v>
      </c>
      <c r="D97" s="165">
        <f>IF(B97=0, "    ---- ", IF(ABS(ROUND(100/B97*C97-100,1))&lt;999,ROUND(100/B97*C97-100,1),IF(ROUND(100/B97*C97-100,1)&gt;999,999,-999)))</f>
        <v>31</v>
      </c>
      <c r="E97" s="27">
        <f>IFERROR(100/'Skjema total MA'!C97*C97,0)</f>
        <v>14.951726406538926</v>
      </c>
      <c r="F97" s="232"/>
      <c r="G97" s="144"/>
      <c r="H97" s="165"/>
      <c r="I97" s="27"/>
      <c r="J97" s="284">
        <f t="shared" si="26"/>
        <v>898906.19154000003</v>
      </c>
      <c r="K97" s="44">
        <f t="shared" si="26"/>
        <v>1177986.96695</v>
      </c>
      <c r="L97" s="252">
        <f t="shared" si="25"/>
        <v>31</v>
      </c>
      <c r="M97" s="27">
        <f>IFERROR(100/'Skjema total MA'!I97*K97,0)</f>
        <v>14.951726406538926</v>
      </c>
    </row>
    <row r="98" spans="1:13" ht="15.6" x14ac:dyDescent="0.25">
      <c r="A98" s="21" t="s">
        <v>461</v>
      </c>
      <c r="B98" s="232">
        <v>13697094.610520002</v>
      </c>
      <c r="C98" s="232">
        <v>14349355.604519999</v>
      </c>
      <c r="D98" s="165">
        <f>IF(B98=0, "    ---- ", IF(ABS(ROUND(100/B98*C98-100,1))&lt;999,ROUND(100/B98*C98-100,1),IF(ROUND(100/B98*C98-100,1)&gt;999,999,-999)))</f>
        <v>4.8</v>
      </c>
      <c r="E98" s="27">
        <f>IFERROR(100/'Skjema total MA'!C98*C98,0)</f>
        <v>3.6870328789403031</v>
      </c>
      <c r="F98" s="289">
        <v>35727057.796599999</v>
      </c>
      <c r="G98" s="289">
        <v>46062230.604510002</v>
      </c>
      <c r="H98" s="165">
        <f>IF(F98=0, "    ---- ", IF(ABS(ROUND(100/F98*G98-100,1))&lt;999,ROUND(100/F98*G98-100,1),IF(ROUND(100/F98*G98-100,1)&gt;999,999,-999)))</f>
        <v>28.9</v>
      </c>
      <c r="I98" s="27">
        <f>IFERROR(100/'Skjema total MA'!F98*G98,0)</f>
        <v>10.372673257936446</v>
      </c>
      <c r="J98" s="284">
        <f t="shared" si="26"/>
        <v>49424152.407120004</v>
      </c>
      <c r="K98" s="44">
        <f t="shared" si="26"/>
        <v>60411586.209030002</v>
      </c>
      <c r="L98" s="252">
        <f t="shared" si="25"/>
        <v>22.2</v>
      </c>
      <c r="M98" s="27">
        <f>IFERROR(100/'Skjema total MA'!I98*K98,0)</f>
        <v>7.2500521475089865</v>
      </c>
    </row>
    <row r="99" spans="1:13" x14ac:dyDescent="0.25">
      <c r="A99" s="21" t="s">
        <v>9</v>
      </c>
      <c r="B99" s="289">
        <v>12065176.120820001</v>
      </c>
      <c r="C99" s="290">
        <v>12635526.333179999</v>
      </c>
      <c r="D99" s="165">
        <f>IF(B99=0, "    ---- ", IF(ABS(ROUND(100/B99*C99-100,1))&lt;999,ROUND(100/B99*C99-100,1),IF(ROUND(100/B99*C99-100,1)&gt;999,999,-999)))</f>
        <v>4.7</v>
      </c>
      <c r="E99" s="27">
        <f>IFERROR(100/'Skjema total MA'!C99*C99,0)</f>
        <v>3.273318133258293</v>
      </c>
      <c r="F99" s="232"/>
      <c r="G99" s="144"/>
      <c r="H99" s="165"/>
      <c r="I99" s="27"/>
      <c r="J99" s="284">
        <f t="shared" si="26"/>
        <v>12065176.120820001</v>
      </c>
      <c r="K99" s="44">
        <f t="shared" si="26"/>
        <v>12635526.333179999</v>
      </c>
      <c r="L99" s="252">
        <f t="shared" si="25"/>
        <v>4.7</v>
      </c>
      <c r="M99" s="27">
        <f>IFERROR(100/'Skjema total MA'!I99*K99,0)</f>
        <v>3.273318133258293</v>
      </c>
    </row>
    <row r="100" spans="1:13" x14ac:dyDescent="0.25">
      <c r="A100" s="38" t="s">
        <v>495</v>
      </c>
      <c r="B100" s="289">
        <v>1631918.4897</v>
      </c>
      <c r="C100" s="290">
        <v>1713829.27134</v>
      </c>
      <c r="D100" s="165">
        <f>IF(B100=0, "    ---- ", IF(ABS(ROUND(100/B100*C100-100,1))&lt;999,ROUND(100/B100*C100-100,1),IF(ROUND(100/B100*C100-100,1)&gt;999,999,-999)))</f>
        <v>5</v>
      </c>
      <c r="E100" s="27">
        <f>IFERROR(100/'Skjema total MA'!C100*C100,0)</f>
        <v>54.089052156264934</v>
      </c>
      <c r="F100" s="232">
        <v>35727057.796599999</v>
      </c>
      <c r="G100" s="232">
        <v>46062230.604510002</v>
      </c>
      <c r="H100" s="165">
        <f>IF(F100=0, "    ---- ", IF(ABS(ROUND(100/F100*G100-100,1))&lt;999,ROUND(100/F100*G100-100,1),IF(ROUND(100/F100*G100-100,1)&gt;999,999,-999)))</f>
        <v>28.9</v>
      </c>
      <c r="I100" s="27">
        <f>IFERROR(100/'Skjema total MA'!F100*G100,0)</f>
        <v>10.372673257936446</v>
      </c>
      <c r="J100" s="284">
        <f t="shared" si="26"/>
        <v>37358976.286299996</v>
      </c>
      <c r="K100" s="44">
        <f t="shared" si="26"/>
        <v>47776059.875849999</v>
      </c>
      <c r="L100" s="252">
        <f t="shared" si="25"/>
        <v>27.9</v>
      </c>
      <c r="M100" s="27">
        <f>IFERROR(100/'Skjema total MA'!I100*K100,0)</f>
        <v>10.682386903128172</v>
      </c>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v>1631918.4897</v>
      </c>
      <c r="C104" s="278">
        <v>1713829.27134</v>
      </c>
      <c r="D104" s="165">
        <f>IF(B104=0, "    ---- ", IF(ABS(ROUND(100/B104*C104-100,1))&lt;999,ROUND(100/B104*C104-100,1),IF(ROUND(100/B104*C104-100,1)&gt;999,999,-999)))</f>
        <v>5</v>
      </c>
      <c r="E104" s="27">
        <f>IFERROR(100/'Skjema total MA'!C104*C104,0)</f>
        <v>54.089052156264934</v>
      </c>
      <c r="F104" s="278">
        <v>35727057.796599999</v>
      </c>
      <c r="G104" s="278">
        <v>46062230.604510002</v>
      </c>
      <c r="H104" s="165">
        <f>IF(F104=0, "    ---- ", IF(ABS(ROUND(100/F104*G104-100,1))&lt;999,ROUND(100/F104*G104-100,1),IF(ROUND(100/F104*G104-100,1)&gt;999,999,-999)))</f>
        <v>28.9</v>
      </c>
      <c r="I104" s="27">
        <f>IFERROR(100/'Skjema total MA'!F104*G104,0)</f>
        <v>10.372673257936446</v>
      </c>
      <c r="J104" s="284">
        <f t="shared" ref="J104" si="27">SUM(B104,F104)</f>
        <v>37358976.286299996</v>
      </c>
      <c r="K104" s="44">
        <f t="shared" ref="K104" si="28">SUM(C104,G104)</f>
        <v>47776059.875849999</v>
      </c>
      <c r="L104" s="252">
        <f>IF(J104=0, "    ---- ", IF(ABS(ROUND(100/J104*K104-100,1))&lt;999,ROUND(100/J104*K104-100,1),IF(ROUND(100/J104*K104-100,1)&gt;999,999,-999)))</f>
        <v>27.9</v>
      </c>
      <c r="M104" s="23">
        <f>IFERROR(100/'Skjema total MA'!I104*K104,0)</f>
        <v>10.682386903128172</v>
      </c>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v>35727057.796599999</v>
      </c>
      <c r="G106" s="278">
        <v>46062230.604510002</v>
      </c>
      <c r="H106" s="165">
        <f>IF(F106=0, "    ---- ", IF(ABS(ROUND(100/F106*G106-100,1))&lt;999,ROUND(100/F106*G106-100,1),IF(ROUND(100/F106*G106-100,1)&gt;999,999,-999)))</f>
        <v>28.9</v>
      </c>
      <c r="I106" s="27">
        <f>IFERROR(100/'Skjema total MA'!F106*G106,0)</f>
        <v>10.372675413183407</v>
      </c>
      <c r="J106" s="284">
        <f t="shared" ref="J106" si="29">SUM(B106,F106)</f>
        <v>35727057.796599999</v>
      </c>
      <c r="K106" s="44">
        <f t="shared" ref="K106" si="30">SUM(C106,G106)</f>
        <v>46062230.604510002</v>
      </c>
      <c r="L106" s="252">
        <f t="shared" ref="L106:L111" si="31">IF(J106=0, "    ---- ", IF(ABS(ROUND(100/J106*K106-100,1))&lt;999,ROUND(100/J106*K106-100,1),IF(ROUND(100/J106*K106-100,1)&gt;999,999,-999)))</f>
        <v>28.9</v>
      </c>
      <c r="M106" s="23">
        <f>IFERROR(100/'Skjema total MA'!I106*K106,0)</f>
        <v>10.372675413183407</v>
      </c>
    </row>
    <row r="107" spans="1:13" ht="15.6" x14ac:dyDescent="0.25">
      <c r="A107" s="21" t="s">
        <v>462</v>
      </c>
      <c r="B107" s="232"/>
      <c r="C107" s="144"/>
      <c r="D107" s="165"/>
      <c r="E107" s="27"/>
      <c r="F107" s="232">
        <v>83319.625350000002</v>
      </c>
      <c r="G107" s="144">
        <v>85956.390409999905</v>
      </c>
      <c r="H107" s="165">
        <f>IF(F107=0, "    ---- ", IF(ABS(ROUND(100/F107*G107-100,1))&lt;999,ROUND(100/F107*G107-100,1),IF(ROUND(100/F107*G107-100,1)&gt;999,999,-999)))</f>
        <v>3.2</v>
      </c>
      <c r="I107" s="27">
        <f>IFERROR(100/'Skjema total MA'!F107*G107,0)</f>
        <v>8.936575551943184</v>
      </c>
      <c r="J107" s="284">
        <f t="shared" ref="J107:K111" si="32">SUM(B107,F107)</f>
        <v>83319.625350000002</v>
      </c>
      <c r="K107" s="44">
        <f t="shared" si="32"/>
        <v>85956.390409999905</v>
      </c>
      <c r="L107" s="252">
        <f t="shared" si="31"/>
        <v>3.2</v>
      </c>
      <c r="M107" s="27">
        <f>IFERROR(100/'Skjema total MA'!I107*K107,0)</f>
        <v>1.5690667128229456</v>
      </c>
    </row>
    <row r="108" spans="1:13" ht="15.6" x14ac:dyDescent="0.25">
      <c r="A108" s="21" t="s">
        <v>463</v>
      </c>
      <c r="B108" s="232">
        <v>8872272.8258400001</v>
      </c>
      <c r="C108" s="232">
        <v>9191678.7413400002</v>
      </c>
      <c r="D108" s="165">
        <f>IF(B108=0, "    ---- ", IF(ABS(ROUND(100/B108*C108-100,1))&lt;999,ROUND(100/B108*C108-100,1),IF(ROUND(100/B108*C108-100,1)&gt;999,999,-999)))</f>
        <v>3.6</v>
      </c>
      <c r="E108" s="27">
        <f>IFERROR(100/'Skjema total MA'!C108*C108,0)</f>
        <v>2.7324637125581424</v>
      </c>
      <c r="F108" s="232"/>
      <c r="G108" s="232"/>
      <c r="H108" s="165"/>
      <c r="I108" s="27"/>
      <c r="J108" s="284">
        <f t="shared" si="32"/>
        <v>8872272.8258400001</v>
      </c>
      <c r="K108" s="44">
        <f t="shared" si="32"/>
        <v>9191678.7413400002</v>
      </c>
      <c r="L108" s="252">
        <f t="shared" si="31"/>
        <v>3.6</v>
      </c>
      <c r="M108" s="27">
        <f>IFERROR(100/'Skjema total MA'!I108*K108,0)</f>
        <v>2.5715145783741424</v>
      </c>
    </row>
    <row r="109" spans="1:13" ht="15.75" customHeight="1" x14ac:dyDescent="0.25">
      <c r="A109" s="21" t="s">
        <v>510</v>
      </c>
      <c r="B109" s="232">
        <v>356742.62899</v>
      </c>
      <c r="C109" s="232">
        <v>390124.84535000002</v>
      </c>
      <c r="D109" s="165">
        <f>IF(B109=0, "    ---- ", IF(ABS(ROUND(100/B109*C109-100,1))&lt;999,ROUND(100/B109*C109-100,1),IF(ROUND(100/B109*C109-100,1)&gt;999,999,-999)))</f>
        <v>9.4</v>
      </c>
      <c r="E109" s="27">
        <f>IFERROR(100/'Skjema total MA'!C109*C109,0)</f>
        <v>23.648109497075243</v>
      </c>
      <c r="F109" s="232">
        <v>12371455.06831</v>
      </c>
      <c r="G109" s="232">
        <v>17595765</v>
      </c>
      <c r="H109" s="165">
        <f>IF(F109=0, "    ---- ", IF(ABS(ROUND(100/F109*G109-100,1))&lt;999,ROUND(100/F109*G109-100,1),IF(ROUND(100/F109*G109-100,1)&gt;999,999,-999)))</f>
        <v>42.2</v>
      </c>
      <c r="I109" s="27">
        <f>IFERROR(100/'Skjema total MA'!F109*G109,0)</f>
        <v>11.331262287375306</v>
      </c>
      <c r="J109" s="284">
        <f t="shared" si="32"/>
        <v>12728197.6973</v>
      </c>
      <c r="K109" s="44">
        <f t="shared" si="32"/>
        <v>17985889.845350001</v>
      </c>
      <c r="L109" s="252">
        <f t="shared" si="31"/>
        <v>41.3</v>
      </c>
      <c r="M109" s="27">
        <f>IFERROR(100/'Skjema total MA'!I109*K109,0)</f>
        <v>11.460737722905458</v>
      </c>
    </row>
    <row r="110" spans="1:13" ht="15.6" x14ac:dyDescent="0.25">
      <c r="A110" s="21" t="s">
        <v>464</v>
      </c>
      <c r="B110" s="232">
        <v>323161.00264999998</v>
      </c>
      <c r="C110" s="232">
        <v>548502.54885000002</v>
      </c>
      <c r="D110" s="165">
        <f>IF(B110=0, "    ---- ", IF(ABS(ROUND(100/B110*C110-100,1))&lt;999,ROUND(100/B110*C110-100,1),IF(ROUND(100/B110*C110-100,1)&gt;999,999,-999)))</f>
        <v>69.7</v>
      </c>
      <c r="E110" s="27">
        <f>IFERROR(100/'Skjema total MA'!C110*C110,0)</f>
        <v>60.661200645759955</v>
      </c>
      <c r="F110" s="232"/>
      <c r="G110" s="232"/>
      <c r="H110" s="165"/>
      <c r="I110" s="27"/>
      <c r="J110" s="284">
        <f t="shared" si="32"/>
        <v>323161.00264999998</v>
      </c>
      <c r="K110" s="44">
        <f t="shared" si="32"/>
        <v>548502.54885000002</v>
      </c>
      <c r="L110" s="252">
        <f t="shared" si="31"/>
        <v>69.7</v>
      </c>
      <c r="M110" s="27">
        <f>IFERROR(100/'Skjema total MA'!I110*K110,0)</f>
        <v>60.661200645759955</v>
      </c>
    </row>
    <row r="111" spans="1:13" ht="15.6" x14ac:dyDescent="0.25">
      <c r="A111" s="13" t="s">
        <v>445</v>
      </c>
      <c r="B111" s="305">
        <v>26226.796280000002</v>
      </c>
      <c r="C111" s="158">
        <v>25894.019370000002</v>
      </c>
      <c r="D111" s="170">
        <f>IF(B111=0, "    ---- ", IF(ABS(ROUND(100/B111*C111-100,1))&lt;999,ROUND(100/B111*C111-100,1),IF(ROUND(100/B111*C111-100,1)&gt;999,999,-999)))</f>
        <v>-1.3</v>
      </c>
      <c r="E111" s="11">
        <f>IFERROR(100/'Skjema total MA'!C111*C111,0)</f>
        <v>4.5596517795350469</v>
      </c>
      <c r="F111" s="305">
        <v>1095726.4710200001</v>
      </c>
      <c r="G111" s="158">
        <v>10557784.981149999</v>
      </c>
      <c r="H111" s="170">
        <f>IF(F111=0, "    ---- ", IF(ABS(ROUND(100/F111*G111-100,1))&lt;999,ROUND(100/F111*G111-100,1),IF(ROUND(100/F111*G111-100,1)&gt;999,999,-999)))</f>
        <v>863.5</v>
      </c>
      <c r="I111" s="11">
        <f>IFERROR(100/'Skjema total MA'!F111*G111,0)</f>
        <v>12.538236207509501</v>
      </c>
      <c r="J111" s="306">
        <f t="shared" si="32"/>
        <v>1121953.2672999999</v>
      </c>
      <c r="K111" s="234">
        <f t="shared" si="32"/>
        <v>10583679.00052</v>
      </c>
      <c r="L111" s="422">
        <f t="shared" si="31"/>
        <v>843.3</v>
      </c>
      <c r="M111" s="11">
        <f>IFERROR(100/'Skjema total MA'!I111*K111,0)</f>
        <v>12.484787386711771</v>
      </c>
    </row>
    <row r="112" spans="1:13" x14ac:dyDescent="0.25">
      <c r="A112" s="21" t="s">
        <v>9</v>
      </c>
      <c r="B112" s="232">
        <v>9234.1969800000006</v>
      </c>
      <c r="C112" s="144">
        <v>11598.147000000001</v>
      </c>
      <c r="D112" s="165">
        <f t="shared" ref="D112:D125" si="33">IF(B112=0, "    ---- ", IF(ABS(ROUND(100/B112*C112-100,1))&lt;999,ROUND(100/B112*C112-100,1),IF(ROUND(100/B112*C112-100,1)&gt;999,999,-999)))</f>
        <v>25.6</v>
      </c>
      <c r="E112" s="27">
        <f>IFERROR(100/'Skjema total MA'!C112*C112,0)</f>
        <v>2.6242810040334099</v>
      </c>
      <c r="F112" s="232"/>
      <c r="G112" s="144"/>
      <c r="H112" s="165"/>
      <c r="I112" s="27"/>
      <c r="J112" s="284">
        <f t="shared" ref="J112:K125" si="34">SUM(B112,F112)</f>
        <v>9234.1969800000006</v>
      </c>
      <c r="K112" s="44">
        <f t="shared" si="34"/>
        <v>11598.147000000001</v>
      </c>
      <c r="L112" s="252">
        <f t="shared" ref="L112:L125" si="35">IF(J112=0, "    ---- ", IF(ABS(ROUND(100/J112*K112-100,1))&lt;999,ROUND(100/J112*K112-100,1),IF(ROUND(100/J112*K112-100,1)&gt;999,999,-999)))</f>
        <v>25.6</v>
      </c>
      <c r="M112" s="27">
        <f>IFERROR(100/'Skjema total MA'!I112*K112,0)</f>
        <v>2.5580944003397819</v>
      </c>
    </row>
    <row r="113" spans="1:14" x14ac:dyDescent="0.25">
      <c r="A113" s="21" t="s">
        <v>495</v>
      </c>
      <c r="B113" s="232">
        <v>3724.60727</v>
      </c>
      <c r="C113" s="144">
        <v>249.36847</v>
      </c>
      <c r="D113" s="165">
        <f t="shared" si="33"/>
        <v>-93.3</v>
      </c>
      <c r="E113" s="27">
        <f>IFERROR(100/'Skjema total MA'!C113*C113,0)</f>
        <v>100</v>
      </c>
      <c r="F113" s="232">
        <v>1095548.3690200001</v>
      </c>
      <c r="G113" s="144">
        <v>10557784.981149999</v>
      </c>
      <c r="H113" s="165">
        <f t="shared" ref="H113:H125" si="36">IF(F113=0, "    ---- ", IF(ABS(ROUND(100/F113*G113-100,1))&lt;999,ROUND(100/F113*G113-100,1),IF(ROUND(100/F113*G113-100,1)&gt;999,999,-999)))</f>
        <v>863.7</v>
      </c>
      <c r="I113" s="27">
        <f>IFERROR(100/'Skjema total MA'!F113*G113,0)</f>
        <v>12.539939114245694</v>
      </c>
      <c r="J113" s="284">
        <f t="shared" si="34"/>
        <v>1099272.9762900001</v>
      </c>
      <c r="K113" s="44">
        <f t="shared" si="34"/>
        <v>10558034.34962</v>
      </c>
      <c r="L113" s="252">
        <f t="shared" si="35"/>
        <v>860.5</v>
      </c>
      <c r="M113" s="27">
        <f>IFERROR(100/'Skjema total MA'!I113*K113,0)</f>
        <v>12.540198157713066</v>
      </c>
    </row>
    <row r="114" spans="1:14" x14ac:dyDescent="0.25">
      <c r="A114" s="21" t="s">
        <v>26</v>
      </c>
      <c r="B114" s="232">
        <v>13267.992029999999</v>
      </c>
      <c r="C114" s="144">
        <v>14046.5039</v>
      </c>
      <c r="D114" s="165">
        <f t="shared" si="33"/>
        <v>5.9</v>
      </c>
      <c r="E114" s="27">
        <f>IFERROR(100/'Skjema total MA'!C114*C114,0)</f>
        <v>11.17550753265159</v>
      </c>
      <c r="F114" s="232">
        <v>178.102</v>
      </c>
      <c r="G114" s="144">
        <v>0</v>
      </c>
      <c r="H114" s="165">
        <f t="shared" si="36"/>
        <v>-100</v>
      </c>
      <c r="I114" s="27">
        <f>IFERROR(100/'Skjema total MA'!F114*G114,0)</f>
        <v>0</v>
      </c>
      <c r="J114" s="284">
        <f t="shared" si="34"/>
        <v>13446.09403</v>
      </c>
      <c r="K114" s="44">
        <f t="shared" si="34"/>
        <v>14046.5039</v>
      </c>
      <c r="L114" s="252">
        <f t="shared" si="35"/>
        <v>4.5</v>
      </c>
      <c r="M114" s="27">
        <f>IFERROR(100/'Skjema total MA'!I114*K114,0)</f>
        <v>11.17550753265159</v>
      </c>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v>8060.1324699999996</v>
      </c>
      <c r="C116" s="232">
        <v>11436.127860000001</v>
      </c>
      <c r="D116" s="165">
        <f t="shared" si="33"/>
        <v>41.9</v>
      </c>
      <c r="E116" s="27">
        <f>IFERROR(100/'Skjema total MA'!C116*C116,0)</f>
        <v>9.7892575772637027</v>
      </c>
      <c r="F116" s="232"/>
      <c r="G116" s="232"/>
      <c r="H116" s="165"/>
      <c r="I116" s="27"/>
      <c r="J116" s="284">
        <f t="shared" si="34"/>
        <v>8060.1324699999996</v>
      </c>
      <c r="K116" s="44">
        <f t="shared" si="34"/>
        <v>11436.127860000001</v>
      </c>
      <c r="L116" s="252">
        <f t="shared" si="35"/>
        <v>41.9</v>
      </c>
      <c r="M116" s="27">
        <f>IFERROR(100/'Skjema total MA'!I116*K116,0)</f>
        <v>8.916493884877152</v>
      </c>
    </row>
    <row r="117" spans="1:14" ht="15.75" customHeight="1" x14ac:dyDescent="0.25">
      <c r="A117" s="21" t="s">
        <v>510</v>
      </c>
      <c r="B117" s="232"/>
      <c r="C117" s="232"/>
      <c r="D117" s="165"/>
      <c r="E117" s="27"/>
      <c r="F117" s="232">
        <v>426038.61816000001</v>
      </c>
      <c r="G117" s="232">
        <v>7283692</v>
      </c>
      <c r="H117" s="165">
        <f t="shared" si="36"/>
        <v>999</v>
      </c>
      <c r="I117" s="27">
        <f>IFERROR(100/'Skjema total MA'!F117*G117,0)</f>
        <v>10.520322887495835</v>
      </c>
      <c r="J117" s="284">
        <f t="shared" si="34"/>
        <v>426038.61816000001</v>
      </c>
      <c r="K117" s="44">
        <f t="shared" si="34"/>
        <v>7283692</v>
      </c>
      <c r="L117" s="252">
        <f t="shared" si="35"/>
        <v>999</v>
      </c>
      <c r="M117" s="27">
        <f>IFERROR(100/'Skjema total MA'!I117*K117,0)</f>
        <v>10.520322887495835</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v>40009.438720000006</v>
      </c>
      <c r="C119" s="158">
        <v>30515.469949999999</v>
      </c>
      <c r="D119" s="170">
        <f t="shared" si="33"/>
        <v>-23.7</v>
      </c>
      <c r="E119" s="11">
        <f>IFERROR(100/'Skjema total MA'!C119*C119,0)</f>
        <v>5.8310218131403202</v>
      </c>
      <c r="F119" s="305">
        <v>1301486.09139</v>
      </c>
      <c r="G119" s="158">
        <v>8364702.05688</v>
      </c>
      <c r="H119" s="170">
        <f t="shared" si="36"/>
        <v>542.70000000000005</v>
      </c>
      <c r="I119" s="11">
        <f>IFERROR(100/'Skjema total MA'!F119*G119,0)</f>
        <v>9.1671069581301001</v>
      </c>
      <c r="J119" s="306">
        <f t="shared" si="34"/>
        <v>1341495.5301099999</v>
      </c>
      <c r="K119" s="234">
        <f t="shared" si="34"/>
        <v>8395217.5268300008</v>
      </c>
      <c r="L119" s="422">
        <f t="shared" si="35"/>
        <v>525.79999999999995</v>
      </c>
      <c r="M119" s="11">
        <f>IFERROR(100/'Skjema total MA'!I119*K119,0)</f>
        <v>9.14808257229293</v>
      </c>
    </row>
    <row r="120" spans="1:14" x14ac:dyDescent="0.25">
      <c r="A120" s="21" t="s">
        <v>9</v>
      </c>
      <c r="B120" s="232">
        <v>396.30399999999997</v>
      </c>
      <c r="C120" s="144">
        <v>49.346490000000003</v>
      </c>
      <c r="D120" s="165">
        <f t="shared" si="33"/>
        <v>-87.5</v>
      </c>
      <c r="E120" s="27">
        <f>IFERROR(100/'Skjema total MA'!C120*C120,0)</f>
        <v>1.3906958947083917E-2</v>
      </c>
      <c r="F120" s="232"/>
      <c r="G120" s="144"/>
      <c r="H120" s="165"/>
      <c r="I120" s="27"/>
      <c r="J120" s="284">
        <f t="shared" si="34"/>
        <v>396.30399999999997</v>
      </c>
      <c r="K120" s="44">
        <f t="shared" si="34"/>
        <v>49.346490000000003</v>
      </c>
      <c r="L120" s="252">
        <f t="shared" si="35"/>
        <v>-87.5</v>
      </c>
      <c r="M120" s="27">
        <f>IFERROR(100/'Skjema total MA'!I120*K120,0)</f>
        <v>1.3906958947083917E-2</v>
      </c>
    </row>
    <row r="121" spans="1:14" x14ac:dyDescent="0.25">
      <c r="A121" s="21" t="s">
        <v>495</v>
      </c>
      <c r="B121" s="232">
        <v>22381.234550000001</v>
      </c>
      <c r="C121" s="144">
        <v>13189.386109999999</v>
      </c>
      <c r="D121" s="165">
        <f t="shared" si="33"/>
        <v>-41.1</v>
      </c>
      <c r="E121" s="27">
        <f>IFERROR(100/'Skjema total MA'!C121*C121,0)</f>
        <v>100</v>
      </c>
      <c r="F121" s="232">
        <v>1301486.09139</v>
      </c>
      <c r="G121" s="144">
        <v>8364702.05688</v>
      </c>
      <c r="H121" s="165">
        <f t="shared" si="36"/>
        <v>542.70000000000005</v>
      </c>
      <c r="I121" s="27">
        <f>IFERROR(100/'Skjema total MA'!F121*G121,0)</f>
        <v>9.1671069581301001</v>
      </c>
      <c r="J121" s="284">
        <f t="shared" si="34"/>
        <v>1323867.3259399999</v>
      </c>
      <c r="K121" s="44">
        <f t="shared" si="34"/>
        <v>8377891.4429900004</v>
      </c>
      <c r="L121" s="252">
        <f t="shared" si="35"/>
        <v>532.79999999999995</v>
      </c>
      <c r="M121" s="27">
        <f>IFERROR(100/'Skjema total MA'!I121*K121,0)</f>
        <v>9.1802346018013345</v>
      </c>
    </row>
    <row r="122" spans="1:14" x14ac:dyDescent="0.25">
      <c r="A122" s="21" t="s">
        <v>26</v>
      </c>
      <c r="B122" s="232">
        <v>17231.900170000001</v>
      </c>
      <c r="C122" s="144">
        <v>17276.737349999999</v>
      </c>
      <c r="D122" s="165">
        <f t="shared" si="33"/>
        <v>0.3</v>
      </c>
      <c r="E122" s="27">
        <f>IFERROR(100/'Skjema total MA'!C122*C122,0)</f>
        <v>11.124230609718062</v>
      </c>
      <c r="F122" s="232"/>
      <c r="G122" s="144"/>
      <c r="H122" s="165"/>
      <c r="I122" s="27"/>
      <c r="J122" s="284">
        <f t="shared" si="34"/>
        <v>17231.900170000001</v>
      </c>
      <c r="K122" s="44">
        <f t="shared" si="34"/>
        <v>17276.737349999999</v>
      </c>
      <c r="L122" s="252">
        <f t="shared" si="35"/>
        <v>0.3</v>
      </c>
      <c r="M122" s="27">
        <f>IFERROR(100/'Skjema total MA'!I122*K122,0)</f>
        <v>11.124230609718062</v>
      </c>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v>2299.2925100000002</v>
      </c>
      <c r="C125" s="232">
        <v>2030.82609</v>
      </c>
      <c r="D125" s="165">
        <f t="shared" si="33"/>
        <v>-11.7</v>
      </c>
      <c r="E125" s="27">
        <f>IFERROR(100/'Skjema total MA'!C125*C125,0)</f>
        <v>83.604326833076144</v>
      </c>
      <c r="F125" s="232">
        <v>347115.00407999998</v>
      </c>
      <c r="G125" s="232">
        <v>5808062.0236400003</v>
      </c>
      <c r="H125" s="165">
        <f t="shared" si="36"/>
        <v>999</v>
      </c>
      <c r="I125" s="27">
        <f>IFERROR(100/'Skjema total MA'!F125*G125,0)</f>
        <v>8.0502887422997169</v>
      </c>
      <c r="J125" s="284">
        <f t="shared" si="34"/>
        <v>349414.29658999998</v>
      </c>
      <c r="K125" s="44">
        <f t="shared" si="34"/>
        <v>5810092.8497299999</v>
      </c>
      <c r="L125" s="252">
        <f t="shared" si="35"/>
        <v>999</v>
      </c>
      <c r="M125" s="27">
        <f>IFERROR(100/'Skjema total MA'!I125*K125,0)</f>
        <v>8.0528324502705164</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52" priority="132">
      <formula>kvartal &lt; 4</formula>
    </cfRule>
  </conditionalFormatting>
  <conditionalFormatting sqref="B69">
    <cfRule type="expression" dxfId="1251" priority="100">
      <formula>kvartal &lt; 4</formula>
    </cfRule>
  </conditionalFormatting>
  <conditionalFormatting sqref="C69">
    <cfRule type="expression" dxfId="1250" priority="99">
      <formula>kvartal &lt; 4</formula>
    </cfRule>
  </conditionalFormatting>
  <conditionalFormatting sqref="B72">
    <cfRule type="expression" dxfId="1249" priority="98">
      <formula>kvartal &lt; 4</formula>
    </cfRule>
  </conditionalFormatting>
  <conditionalFormatting sqref="C72">
    <cfRule type="expression" dxfId="1248" priority="97">
      <formula>kvartal &lt; 4</formula>
    </cfRule>
  </conditionalFormatting>
  <conditionalFormatting sqref="B80">
    <cfRule type="expression" dxfId="1247" priority="96">
      <formula>kvartal &lt; 4</formula>
    </cfRule>
  </conditionalFormatting>
  <conditionalFormatting sqref="C80">
    <cfRule type="expression" dxfId="1246" priority="95">
      <formula>kvartal &lt; 4</formula>
    </cfRule>
  </conditionalFormatting>
  <conditionalFormatting sqref="B83">
    <cfRule type="expression" dxfId="1245" priority="94">
      <formula>kvartal &lt; 4</formula>
    </cfRule>
  </conditionalFormatting>
  <conditionalFormatting sqref="C83">
    <cfRule type="expression" dxfId="1244" priority="93">
      <formula>kvartal &lt; 4</formula>
    </cfRule>
  </conditionalFormatting>
  <conditionalFormatting sqref="B90">
    <cfRule type="expression" dxfId="1243" priority="84">
      <formula>kvartal &lt; 4</formula>
    </cfRule>
  </conditionalFormatting>
  <conditionalFormatting sqref="C90">
    <cfRule type="expression" dxfId="1242" priority="83">
      <formula>kvartal &lt; 4</formula>
    </cfRule>
  </conditionalFormatting>
  <conditionalFormatting sqref="B93">
    <cfRule type="expression" dxfId="1241" priority="82">
      <formula>kvartal &lt; 4</formula>
    </cfRule>
  </conditionalFormatting>
  <conditionalFormatting sqref="C93">
    <cfRule type="expression" dxfId="1240" priority="81">
      <formula>kvartal &lt; 4</formula>
    </cfRule>
  </conditionalFormatting>
  <conditionalFormatting sqref="B101">
    <cfRule type="expression" dxfId="1239" priority="80">
      <formula>kvartal &lt; 4</formula>
    </cfRule>
  </conditionalFormatting>
  <conditionalFormatting sqref="C101">
    <cfRule type="expression" dxfId="1238" priority="79">
      <formula>kvartal &lt; 4</formula>
    </cfRule>
  </conditionalFormatting>
  <conditionalFormatting sqref="B104">
    <cfRule type="expression" dxfId="1237" priority="78">
      <formula>kvartal &lt; 4</formula>
    </cfRule>
  </conditionalFormatting>
  <conditionalFormatting sqref="C104">
    <cfRule type="expression" dxfId="1236" priority="77">
      <formula>kvartal &lt; 4</formula>
    </cfRule>
  </conditionalFormatting>
  <conditionalFormatting sqref="B115">
    <cfRule type="expression" dxfId="1235" priority="76">
      <formula>kvartal &lt; 4</formula>
    </cfRule>
  </conditionalFormatting>
  <conditionalFormatting sqref="C115">
    <cfRule type="expression" dxfId="1234" priority="75">
      <formula>kvartal &lt; 4</formula>
    </cfRule>
  </conditionalFormatting>
  <conditionalFormatting sqref="B123">
    <cfRule type="expression" dxfId="1233" priority="74">
      <formula>kvartal &lt; 4</formula>
    </cfRule>
  </conditionalFormatting>
  <conditionalFormatting sqref="C123">
    <cfRule type="expression" dxfId="1232" priority="73">
      <formula>kvartal &lt; 4</formula>
    </cfRule>
  </conditionalFormatting>
  <conditionalFormatting sqref="F70">
    <cfRule type="expression" dxfId="1231" priority="72">
      <formula>kvartal &lt; 4</formula>
    </cfRule>
  </conditionalFormatting>
  <conditionalFormatting sqref="G70">
    <cfRule type="expression" dxfId="1230" priority="71">
      <formula>kvartal &lt; 4</formula>
    </cfRule>
  </conditionalFormatting>
  <conditionalFormatting sqref="F71:G71">
    <cfRule type="expression" dxfId="1229" priority="70">
      <formula>kvartal &lt; 4</formula>
    </cfRule>
  </conditionalFormatting>
  <conditionalFormatting sqref="F73:G74">
    <cfRule type="expression" dxfId="1228" priority="69">
      <formula>kvartal &lt; 4</formula>
    </cfRule>
  </conditionalFormatting>
  <conditionalFormatting sqref="F81:G82">
    <cfRule type="expression" dxfId="1227" priority="68">
      <formula>kvartal &lt; 4</formula>
    </cfRule>
  </conditionalFormatting>
  <conditionalFormatting sqref="F84:G85">
    <cfRule type="expression" dxfId="1226" priority="67">
      <formula>kvartal &lt; 4</formula>
    </cfRule>
  </conditionalFormatting>
  <conditionalFormatting sqref="F91:G92">
    <cfRule type="expression" dxfId="1225" priority="62">
      <formula>kvartal &lt; 4</formula>
    </cfRule>
  </conditionalFormatting>
  <conditionalFormatting sqref="F94:G95">
    <cfRule type="expression" dxfId="1224" priority="61">
      <formula>kvartal &lt; 4</formula>
    </cfRule>
  </conditionalFormatting>
  <conditionalFormatting sqref="F102:G103">
    <cfRule type="expression" dxfId="1223" priority="60">
      <formula>kvartal &lt; 4</formula>
    </cfRule>
  </conditionalFormatting>
  <conditionalFormatting sqref="F105:G106">
    <cfRule type="expression" dxfId="1222" priority="59">
      <formula>kvartal &lt; 4</formula>
    </cfRule>
  </conditionalFormatting>
  <conditionalFormatting sqref="F115">
    <cfRule type="expression" dxfId="1221" priority="58">
      <formula>kvartal &lt; 4</formula>
    </cfRule>
  </conditionalFormatting>
  <conditionalFormatting sqref="G115">
    <cfRule type="expression" dxfId="1220" priority="57">
      <formula>kvartal &lt; 4</formula>
    </cfRule>
  </conditionalFormatting>
  <conditionalFormatting sqref="F123:G123">
    <cfRule type="expression" dxfId="1219" priority="56">
      <formula>kvartal &lt; 4</formula>
    </cfRule>
  </conditionalFormatting>
  <conditionalFormatting sqref="F69:G69">
    <cfRule type="expression" dxfId="1218" priority="55">
      <formula>kvartal &lt; 4</formula>
    </cfRule>
  </conditionalFormatting>
  <conditionalFormatting sqref="F72:G72">
    <cfRule type="expression" dxfId="1217" priority="54">
      <formula>kvartal &lt; 4</formula>
    </cfRule>
  </conditionalFormatting>
  <conditionalFormatting sqref="F80:G80">
    <cfRule type="expression" dxfId="1216" priority="53">
      <formula>kvartal &lt; 4</formula>
    </cfRule>
  </conditionalFormatting>
  <conditionalFormatting sqref="F83:G83">
    <cfRule type="expression" dxfId="1215" priority="52">
      <formula>kvartal &lt; 4</formula>
    </cfRule>
  </conditionalFormatting>
  <conditionalFormatting sqref="F90:G90">
    <cfRule type="expression" dxfId="1214" priority="46">
      <formula>kvartal &lt; 4</formula>
    </cfRule>
  </conditionalFormatting>
  <conditionalFormatting sqref="F93">
    <cfRule type="expression" dxfId="1213" priority="45">
      <formula>kvartal &lt; 4</formula>
    </cfRule>
  </conditionalFormatting>
  <conditionalFormatting sqref="G93">
    <cfRule type="expression" dxfId="1212" priority="44">
      <formula>kvartal &lt; 4</formula>
    </cfRule>
  </conditionalFormatting>
  <conditionalFormatting sqref="F101">
    <cfRule type="expression" dxfId="1211" priority="43">
      <formula>kvartal &lt; 4</formula>
    </cfRule>
  </conditionalFormatting>
  <conditionalFormatting sqref="G101">
    <cfRule type="expression" dxfId="1210" priority="42">
      <formula>kvartal &lt; 4</formula>
    </cfRule>
  </conditionalFormatting>
  <conditionalFormatting sqref="G104">
    <cfRule type="expression" dxfId="1209" priority="41">
      <formula>kvartal &lt; 4</formula>
    </cfRule>
  </conditionalFormatting>
  <conditionalFormatting sqref="F104">
    <cfRule type="expression" dxfId="1208" priority="40">
      <formula>kvartal &lt; 4</formula>
    </cfRule>
  </conditionalFormatting>
  <conditionalFormatting sqref="J69:K71 J73:K73">
    <cfRule type="expression" dxfId="1207" priority="39">
      <formula>kvartal &lt; 4</formula>
    </cfRule>
  </conditionalFormatting>
  <conditionalFormatting sqref="J80:K82 J84:K84">
    <cfRule type="expression" dxfId="1206" priority="37">
      <formula>kvartal &lt; 4</formula>
    </cfRule>
  </conditionalFormatting>
  <conditionalFormatting sqref="J90:K92 J94:K94">
    <cfRule type="expression" dxfId="1205" priority="34">
      <formula>kvartal &lt; 4</formula>
    </cfRule>
  </conditionalFormatting>
  <conditionalFormatting sqref="J101:K103 J105:K105">
    <cfRule type="expression" dxfId="1204" priority="33">
      <formula>kvartal &lt; 4</formula>
    </cfRule>
  </conditionalFormatting>
  <conditionalFormatting sqref="J115:K115">
    <cfRule type="expression" dxfId="1203" priority="32">
      <formula>kvartal &lt; 4</formula>
    </cfRule>
  </conditionalFormatting>
  <conditionalFormatting sqref="J123:K123">
    <cfRule type="expression" dxfId="1202" priority="31">
      <formula>kvartal &lt; 4</formula>
    </cfRule>
  </conditionalFormatting>
  <conditionalFormatting sqref="A50:A52">
    <cfRule type="expression" dxfId="1201" priority="12">
      <formula>kvartal &lt; 4</formula>
    </cfRule>
  </conditionalFormatting>
  <conditionalFormatting sqref="A69:A74">
    <cfRule type="expression" dxfId="1200" priority="10">
      <formula>kvartal &lt; 4</formula>
    </cfRule>
  </conditionalFormatting>
  <conditionalFormatting sqref="A80:A85">
    <cfRule type="expression" dxfId="1199" priority="9">
      <formula>kvartal &lt; 4</formula>
    </cfRule>
  </conditionalFormatting>
  <conditionalFormatting sqref="A90:A95">
    <cfRule type="expression" dxfId="1198" priority="6">
      <formula>kvartal &lt; 4</formula>
    </cfRule>
  </conditionalFormatting>
  <conditionalFormatting sqref="A101:A106">
    <cfRule type="expression" dxfId="1197" priority="5">
      <formula>kvartal &lt; 4</formula>
    </cfRule>
  </conditionalFormatting>
  <conditionalFormatting sqref="A115">
    <cfRule type="expression" dxfId="1196" priority="4">
      <formula>kvartal &lt; 4</formula>
    </cfRule>
  </conditionalFormatting>
  <conditionalFormatting sqref="A123">
    <cfRule type="expression" dxfId="1195" priority="3">
      <formula>kvartal &lt; 4</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80" zoomScaleNormal="80" workbookViewId="0">
      <selection activeCell="A2" sqref="A2"/>
    </sheetView>
  </sheetViews>
  <sheetFormatPr baseColWidth="10" defaultColWidth="11.44140625" defaultRowHeight="18" x14ac:dyDescent="0.35"/>
  <cols>
    <col min="10" max="11" width="16.6640625" customWidth="1"/>
    <col min="12" max="12" width="20.6640625" style="74" customWidth="1"/>
    <col min="13" max="14" width="15.6640625" style="74" bestFit="1" customWidth="1"/>
    <col min="15" max="15" width="22.6640625" customWidth="1"/>
    <col min="16" max="16" width="13.44140625" customWidth="1"/>
    <col min="17" max="17" width="13.6640625" customWidth="1"/>
  </cols>
  <sheetData>
    <row r="1" spans="1:15" x14ac:dyDescent="0.35">
      <c r="A1" s="73" t="s">
        <v>52</v>
      </c>
    </row>
    <row r="2" spans="1:15" x14ac:dyDescent="0.35">
      <c r="A2" s="75"/>
      <c r="B2" s="74"/>
      <c r="C2" s="74"/>
      <c r="D2" s="74"/>
      <c r="E2" s="74"/>
      <c r="F2" s="74"/>
      <c r="G2" s="74"/>
      <c r="H2" s="74"/>
      <c r="I2" s="74"/>
      <c r="J2" s="74"/>
      <c r="K2" s="74"/>
      <c r="O2" s="74"/>
    </row>
    <row r="3" spans="1:15" x14ac:dyDescent="0.35">
      <c r="A3" s="75" t="s">
        <v>32</v>
      </c>
      <c r="B3" s="74"/>
      <c r="C3" s="74"/>
      <c r="D3" s="74"/>
      <c r="E3" s="74"/>
      <c r="F3" s="74"/>
      <c r="G3" s="74"/>
      <c r="H3" s="74"/>
      <c r="I3" s="74"/>
      <c r="J3" s="74"/>
      <c r="K3" s="74"/>
      <c r="O3" s="74"/>
    </row>
    <row r="4" spans="1:15" x14ac:dyDescent="0.35">
      <c r="A4" s="74"/>
      <c r="B4" s="74"/>
      <c r="C4" s="74"/>
      <c r="D4" s="74"/>
      <c r="E4" s="74"/>
      <c r="F4" s="74"/>
      <c r="G4" s="74"/>
      <c r="H4" s="74"/>
      <c r="I4" s="74"/>
      <c r="J4" s="74"/>
      <c r="K4" s="74"/>
      <c r="L4" s="74" t="s">
        <v>53</v>
      </c>
      <c r="O4" s="74"/>
    </row>
    <row r="5" spans="1:15" x14ac:dyDescent="0.35">
      <c r="A5" s="75" t="s">
        <v>500</v>
      </c>
      <c r="B5" s="74"/>
      <c r="C5" s="74"/>
      <c r="D5" s="74"/>
      <c r="E5" s="74"/>
      <c r="F5" s="74"/>
      <c r="G5" s="74"/>
      <c r="H5" s="74"/>
      <c r="I5" s="78"/>
      <c r="J5" s="74"/>
      <c r="K5" s="74"/>
      <c r="L5" s="74" t="s">
        <v>0</v>
      </c>
      <c r="O5" s="74"/>
    </row>
    <row r="6" spans="1:15" x14ac:dyDescent="0.35">
      <c r="A6" s="74"/>
      <c r="B6" s="74"/>
      <c r="C6" s="74"/>
      <c r="D6" s="74"/>
      <c r="E6" s="74"/>
      <c r="F6" s="74"/>
      <c r="G6" s="74"/>
      <c r="H6" s="74"/>
      <c r="I6" s="74"/>
      <c r="J6" s="74"/>
      <c r="K6" s="74"/>
      <c r="M6" s="74">
        <v>2020</v>
      </c>
      <c r="N6" s="74">
        <v>2021</v>
      </c>
      <c r="O6" s="74"/>
    </row>
    <row r="7" spans="1:15" x14ac:dyDescent="0.35">
      <c r="A7" s="74"/>
      <c r="B7" s="74"/>
      <c r="C7" s="74"/>
      <c r="D7" s="74"/>
      <c r="E7" s="74"/>
      <c r="F7" s="74"/>
      <c r="G7" s="74"/>
      <c r="H7" s="74"/>
      <c r="I7" s="74"/>
      <c r="J7" s="74"/>
      <c r="K7" s="74"/>
      <c r="L7" s="74" t="s">
        <v>493</v>
      </c>
      <c r="M7" s="76">
        <f>'Tabel 1.1'!B9</f>
        <v>0</v>
      </c>
      <c r="N7" s="76">
        <f>'Tabel 1.1'!C9</f>
        <v>82704</v>
      </c>
      <c r="O7" s="74"/>
    </row>
    <row r="8" spans="1:15" x14ac:dyDescent="0.35">
      <c r="A8" s="74"/>
      <c r="B8" s="74"/>
      <c r="C8" s="74"/>
      <c r="D8" s="74"/>
      <c r="E8" s="74"/>
      <c r="F8" s="74"/>
      <c r="G8" s="74"/>
      <c r="H8" s="74"/>
      <c r="I8" s="74"/>
      <c r="J8" s="74"/>
      <c r="K8" s="74"/>
      <c r="L8" s="74" t="s">
        <v>54</v>
      </c>
      <c r="M8" s="76">
        <f>'Tabel 1.1'!B10</f>
        <v>430556.18900000001</v>
      </c>
      <c r="N8" s="76">
        <f>'Tabel 1.1'!C10</f>
        <v>434013.95000000007</v>
      </c>
      <c r="O8" s="74"/>
    </row>
    <row r="9" spans="1:15" x14ac:dyDescent="0.35">
      <c r="A9" s="74"/>
      <c r="B9" s="74"/>
      <c r="C9" s="74"/>
      <c r="D9" s="74"/>
      <c r="E9" s="74"/>
      <c r="F9" s="74"/>
      <c r="G9" s="74"/>
      <c r="H9" s="74"/>
      <c r="I9" s="74"/>
      <c r="J9" s="74"/>
      <c r="K9" s="74"/>
      <c r="L9" s="74" t="s">
        <v>491</v>
      </c>
      <c r="M9" s="76">
        <f>'Tabel 1.1'!B11</f>
        <v>98726</v>
      </c>
      <c r="N9" s="76">
        <f>'Tabel 1.1'!C11</f>
        <v>0</v>
      </c>
      <c r="O9" s="74"/>
    </row>
    <row r="10" spans="1:15" x14ac:dyDescent="0.35">
      <c r="A10" s="74"/>
      <c r="B10" s="74"/>
      <c r="C10" s="74"/>
      <c r="D10" s="74"/>
      <c r="E10" s="74"/>
      <c r="F10" s="74"/>
      <c r="G10" s="74"/>
      <c r="H10" s="74"/>
      <c r="I10" s="74"/>
      <c r="J10" s="74"/>
      <c r="K10" s="74"/>
      <c r="L10" s="74" t="s">
        <v>55</v>
      </c>
      <c r="M10" s="76">
        <f>'Tabel 1.1'!B12</f>
        <v>3463853.92227</v>
      </c>
      <c r="N10" s="76">
        <f>'Tabel 1.1'!C12</f>
        <v>3182644.2884499999</v>
      </c>
      <c r="O10" s="74"/>
    </row>
    <row r="11" spans="1:15" x14ac:dyDescent="0.35">
      <c r="A11" s="74"/>
      <c r="B11" s="74"/>
      <c r="C11" s="74"/>
      <c r="D11" s="74"/>
      <c r="E11" s="74"/>
      <c r="F11" s="74"/>
      <c r="G11" s="74"/>
      <c r="H11" s="74"/>
      <c r="I11" s="74"/>
      <c r="J11" s="74"/>
      <c r="K11" s="74"/>
      <c r="L11" s="74" t="s">
        <v>56</v>
      </c>
      <c r="M11" s="76">
        <f>'Tabel 1.1'!B13</f>
        <v>335372</v>
      </c>
      <c r="N11" s="76">
        <f>'Tabel 1.1'!C13</f>
        <v>375779</v>
      </c>
      <c r="O11" s="74"/>
    </row>
    <row r="12" spans="1:15" x14ac:dyDescent="0.35">
      <c r="A12" s="74"/>
      <c r="B12" s="74"/>
      <c r="C12" s="74"/>
      <c r="D12" s="74"/>
      <c r="E12" s="74"/>
      <c r="F12" s="74"/>
      <c r="G12" s="74"/>
      <c r="H12" s="74"/>
      <c r="I12" s="74"/>
      <c r="J12" s="74"/>
      <c r="K12" s="74"/>
      <c r="L12" s="74" t="s">
        <v>494</v>
      </c>
      <c r="M12" s="76">
        <f>'Tabel 1.1'!B14</f>
        <v>0</v>
      </c>
      <c r="N12" s="76">
        <f>'Tabel 1.1'!C14</f>
        <v>10960</v>
      </c>
      <c r="O12" s="74"/>
    </row>
    <row r="13" spans="1:15" x14ac:dyDescent="0.35">
      <c r="A13" s="74"/>
      <c r="B13" s="74"/>
      <c r="C13" s="74"/>
      <c r="D13" s="74"/>
      <c r="E13" s="74"/>
      <c r="F13" s="74"/>
      <c r="G13" s="74"/>
      <c r="H13" s="74"/>
      <c r="I13" s="74"/>
      <c r="J13" s="74"/>
      <c r="K13" s="74"/>
      <c r="L13" s="74" t="s">
        <v>482</v>
      </c>
      <c r="M13" s="76">
        <f>'Tabel 1.1'!B15</f>
        <v>2912282.94184</v>
      </c>
      <c r="N13" s="76">
        <f>'Tabel 1.1'!C15</f>
        <v>3074791.8314700001</v>
      </c>
      <c r="O13" s="74"/>
    </row>
    <row r="14" spans="1:15" x14ac:dyDescent="0.35">
      <c r="A14" s="74"/>
      <c r="B14" s="74"/>
      <c r="C14" s="74"/>
      <c r="D14" s="74"/>
      <c r="E14" s="74"/>
      <c r="F14" s="74"/>
      <c r="G14" s="74"/>
      <c r="H14" s="74"/>
      <c r="I14" s="74"/>
      <c r="J14" s="74"/>
      <c r="K14" s="74"/>
      <c r="L14" s="74" t="s">
        <v>57</v>
      </c>
      <c r="M14" s="76">
        <f>'Tabel 1.1'!B16</f>
        <v>496774</v>
      </c>
      <c r="N14" s="76">
        <f>'Tabel 1.1'!C16</f>
        <v>458515</v>
      </c>
      <c r="O14" s="74"/>
    </row>
    <row r="15" spans="1:15" x14ac:dyDescent="0.35">
      <c r="A15" s="74"/>
      <c r="B15" s="74"/>
      <c r="C15" s="74"/>
      <c r="D15" s="74"/>
      <c r="E15" s="74"/>
      <c r="F15" s="74"/>
      <c r="G15" s="74"/>
      <c r="H15" s="74"/>
      <c r="I15" s="74"/>
      <c r="J15" s="74"/>
      <c r="K15" s="74"/>
      <c r="L15" s="74" t="s">
        <v>58</v>
      </c>
      <c r="M15" s="76">
        <f>'Tabel 1.1'!B17</f>
        <v>6351.5640000000003</v>
      </c>
      <c r="N15" s="76">
        <f>'Tabel 1.1'!C17</f>
        <v>7999.02</v>
      </c>
      <c r="O15" s="74"/>
    </row>
    <row r="16" spans="1:15" x14ac:dyDescent="0.35">
      <c r="A16" s="74"/>
      <c r="B16" s="74"/>
      <c r="C16" s="74"/>
      <c r="D16" s="74"/>
      <c r="E16" s="74"/>
      <c r="F16" s="74"/>
      <c r="G16" s="74"/>
      <c r="H16" s="74"/>
      <c r="I16" s="74"/>
      <c r="J16" s="74"/>
      <c r="K16" s="74"/>
      <c r="L16" s="74" t="s">
        <v>59</v>
      </c>
      <c r="M16" s="76">
        <f>'Tabel 1.1'!B18</f>
        <v>1666418</v>
      </c>
      <c r="N16" s="76">
        <f>'Tabel 1.1'!C18</f>
        <v>1910669.1639999999</v>
      </c>
      <c r="O16" s="74"/>
    </row>
    <row r="17" spans="1:15" x14ac:dyDescent="0.35">
      <c r="A17" s="74"/>
      <c r="B17" s="74"/>
      <c r="C17" s="74"/>
      <c r="D17" s="74"/>
      <c r="E17" s="74"/>
      <c r="F17" s="74"/>
      <c r="G17" s="74"/>
      <c r="H17" s="74"/>
      <c r="I17" s="74"/>
      <c r="J17" s="74"/>
      <c r="K17" s="74"/>
      <c r="L17" s="74" t="s">
        <v>60</v>
      </c>
      <c r="M17" s="76">
        <f>'Tabel 1.1'!B19</f>
        <v>662338</v>
      </c>
      <c r="N17" s="76">
        <f>'Tabel 1.1'!C19</f>
        <v>726294</v>
      </c>
      <c r="O17" s="74"/>
    </row>
    <row r="18" spans="1:15" x14ac:dyDescent="0.35">
      <c r="A18" s="74"/>
      <c r="B18" s="74"/>
      <c r="C18" s="74"/>
      <c r="D18" s="74"/>
      <c r="E18" s="74"/>
      <c r="F18" s="74"/>
      <c r="G18" s="74"/>
      <c r="H18" s="74"/>
      <c r="I18" s="74"/>
      <c r="J18" s="74"/>
      <c r="K18" s="74"/>
      <c r="L18" s="74" t="s">
        <v>61</v>
      </c>
      <c r="M18" s="76">
        <f>'Tabel 1.1'!B20</f>
        <v>34452.757850000002</v>
      </c>
      <c r="N18" s="76">
        <f>'Tabel 1.1'!C20</f>
        <v>34165.241999999998</v>
      </c>
      <c r="O18" s="74"/>
    </row>
    <row r="19" spans="1:15" x14ac:dyDescent="0.35">
      <c r="A19" s="74"/>
      <c r="B19" s="74"/>
      <c r="C19" s="74"/>
      <c r="D19" s="74"/>
      <c r="E19" s="74"/>
      <c r="F19" s="74"/>
      <c r="G19" s="74"/>
      <c r="H19" s="74"/>
      <c r="I19" s="74"/>
      <c r="J19" s="74"/>
      <c r="K19" s="74"/>
      <c r="L19" s="74" t="s">
        <v>62</v>
      </c>
      <c r="M19" s="76">
        <f>'Tabel 1.1'!B21</f>
        <v>508488.73802438495</v>
      </c>
      <c r="N19" s="76">
        <f>'Tabel 1.1'!C21</f>
        <v>535456.72047683294</v>
      </c>
      <c r="O19" s="74"/>
    </row>
    <row r="20" spans="1:15" x14ac:dyDescent="0.35">
      <c r="A20" s="74"/>
      <c r="B20" s="74"/>
      <c r="C20" s="74"/>
      <c r="D20" s="74"/>
      <c r="E20" s="74"/>
      <c r="F20" s="74"/>
      <c r="G20" s="74"/>
      <c r="H20" s="74"/>
      <c r="I20" s="74"/>
      <c r="J20" s="74"/>
      <c r="K20" s="74"/>
      <c r="L20" s="74" t="s">
        <v>63</v>
      </c>
      <c r="M20" s="76">
        <f>'Tabel 1.1'!B23</f>
        <v>34177241.879859999</v>
      </c>
      <c r="N20" s="76">
        <f>'Tabel 1.1'!C23</f>
        <v>50026045.50818</v>
      </c>
      <c r="O20" s="74"/>
    </row>
    <row r="21" spans="1:15" x14ac:dyDescent="0.35">
      <c r="A21" s="74"/>
      <c r="B21" s="74"/>
      <c r="C21" s="74"/>
      <c r="D21" s="74"/>
      <c r="E21" s="74"/>
      <c r="F21" s="74"/>
      <c r="G21" s="74"/>
      <c r="H21" s="74"/>
      <c r="I21" s="74"/>
      <c r="J21" s="74"/>
      <c r="K21" s="74"/>
      <c r="L21" s="74" t="s">
        <v>65</v>
      </c>
      <c r="M21" s="76">
        <f>'Tabel 1.1'!B24</f>
        <v>194718</v>
      </c>
      <c r="N21" s="76">
        <f>'Tabel 1.1'!C24</f>
        <v>253776.878</v>
      </c>
      <c r="O21" s="74"/>
    </row>
    <row r="22" spans="1:15" x14ac:dyDescent="0.35">
      <c r="A22" s="74"/>
      <c r="B22" s="74"/>
      <c r="C22" s="74"/>
      <c r="D22" s="74"/>
      <c r="E22" s="74"/>
      <c r="F22" s="74"/>
      <c r="G22" s="74"/>
      <c r="H22" s="74"/>
      <c r="I22" s="74"/>
      <c r="J22" s="74"/>
      <c r="K22" s="74"/>
      <c r="L22" s="74" t="s">
        <v>483</v>
      </c>
      <c r="M22" s="76">
        <f>'Tabel 1.1'!B25</f>
        <v>98068</v>
      </c>
      <c r="N22" s="76">
        <f>'Tabel 1.1'!C25</f>
        <v>112320</v>
      </c>
      <c r="O22" s="74"/>
    </row>
    <row r="23" spans="1:15" x14ac:dyDescent="0.35">
      <c r="A23" s="74"/>
      <c r="B23" s="74"/>
      <c r="C23" s="74"/>
      <c r="D23" s="74"/>
      <c r="E23" s="74"/>
      <c r="F23" s="74"/>
      <c r="G23" s="74"/>
      <c r="H23" s="74"/>
      <c r="I23" s="74"/>
      <c r="J23" s="74"/>
      <c r="K23" s="74"/>
      <c r="L23" s="74" t="s">
        <v>484</v>
      </c>
      <c r="M23" s="76">
        <f>'Tabel 1.1'!B22</f>
        <v>14663</v>
      </c>
      <c r="N23" s="76">
        <f>'Tabel 1.1'!C22</f>
        <v>0</v>
      </c>
      <c r="O23" s="74"/>
    </row>
    <row r="24" spans="1:15" x14ac:dyDescent="0.35">
      <c r="A24" s="74"/>
      <c r="B24" s="74"/>
      <c r="C24" s="74"/>
      <c r="D24" s="74"/>
      <c r="E24" s="74"/>
      <c r="F24" s="74"/>
      <c r="G24" s="74"/>
      <c r="H24" s="74"/>
      <c r="I24" s="74"/>
      <c r="J24" s="74"/>
      <c r="K24" s="74"/>
      <c r="L24" s="74" t="s">
        <v>66</v>
      </c>
      <c r="M24" s="76">
        <f>'Tabel 1.1'!B26</f>
        <v>1464010.08</v>
      </c>
      <c r="N24" s="76">
        <f>'Tabel 1.1'!C26</f>
        <v>1552615</v>
      </c>
      <c r="O24" s="74"/>
    </row>
    <row r="25" spans="1:15" x14ac:dyDescent="0.35">
      <c r="A25" s="74"/>
      <c r="B25" s="74"/>
      <c r="C25" s="74"/>
      <c r="D25" s="74"/>
      <c r="E25" s="74"/>
      <c r="F25" s="74"/>
      <c r="G25" s="74"/>
      <c r="H25" s="74"/>
      <c r="I25" s="74"/>
      <c r="J25" s="74"/>
      <c r="K25" s="74"/>
      <c r="L25" s="74" t="s">
        <v>67</v>
      </c>
      <c r="M25" s="76">
        <f>'Tabel 1.1'!B27</f>
        <v>4017000</v>
      </c>
      <c r="N25" s="76">
        <f>'Tabel 1.1'!C27</f>
        <v>7476722</v>
      </c>
      <c r="O25" s="74"/>
    </row>
    <row r="26" spans="1:15" s="140" customFormat="1" x14ac:dyDescent="0.35">
      <c r="A26" s="74"/>
      <c r="B26" s="74"/>
      <c r="C26" s="74"/>
      <c r="D26" s="74"/>
      <c r="E26" s="74"/>
      <c r="F26" s="74"/>
      <c r="G26" s="74"/>
      <c r="H26" s="74"/>
      <c r="I26" s="74"/>
      <c r="J26" s="74"/>
      <c r="K26" s="74"/>
      <c r="L26" s="74" t="s">
        <v>473</v>
      </c>
      <c r="M26" s="76">
        <f>'Tabel 1.1'!B28</f>
        <v>307752.03923018795</v>
      </c>
      <c r="N26" s="76">
        <f>'Tabel 1.1'!C28</f>
        <v>331132.55263506202</v>
      </c>
      <c r="O26" s="74"/>
    </row>
    <row r="27" spans="1:15" x14ac:dyDescent="0.35">
      <c r="A27" s="74"/>
      <c r="B27" s="74"/>
      <c r="C27" s="74"/>
      <c r="D27" s="74"/>
      <c r="E27" s="74"/>
      <c r="F27" s="74"/>
      <c r="G27" s="74"/>
      <c r="H27" s="74"/>
      <c r="I27" s="74"/>
      <c r="J27" s="74"/>
      <c r="K27" s="74"/>
      <c r="L27" s="74" t="s">
        <v>68</v>
      </c>
      <c r="M27" s="76">
        <f>'Tabel 1.1'!B29</f>
        <v>735170.28865</v>
      </c>
      <c r="N27" s="76">
        <f>'Tabel 1.1'!C29</f>
        <v>799976.18833000003</v>
      </c>
      <c r="O27" s="74"/>
    </row>
    <row r="28" spans="1:15" x14ac:dyDescent="0.35">
      <c r="A28" s="74"/>
      <c r="B28" s="74"/>
      <c r="C28" s="74"/>
      <c r="D28" s="74"/>
      <c r="E28" s="74"/>
      <c r="F28" s="74"/>
      <c r="G28" s="74"/>
      <c r="H28" s="74"/>
      <c r="I28" s="74"/>
      <c r="J28" s="74"/>
      <c r="K28" s="74"/>
      <c r="L28" s="74" t="s">
        <v>69</v>
      </c>
      <c r="M28" s="76">
        <f>'Tabel 1.1'!B30</f>
        <v>4956525.3760000002</v>
      </c>
      <c r="N28" s="76">
        <f>'Tabel 1.1'!C30</f>
        <v>5938754.0609999998</v>
      </c>
    </row>
    <row r="29" spans="1:15" x14ac:dyDescent="0.35">
      <c r="A29" s="74"/>
      <c r="B29" s="74"/>
      <c r="C29" s="74"/>
      <c r="D29" s="74"/>
      <c r="E29" s="74"/>
      <c r="F29" s="74"/>
      <c r="G29" s="74"/>
      <c r="H29" s="74"/>
      <c r="I29" s="74"/>
      <c r="J29" s="74"/>
      <c r="K29" s="74"/>
      <c r="L29" s="74" t="s">
        <v>70</v>
      </c>
      <c r="M29" s="76">
        <f>'Tabel 1.1'!B31</f>
        <v>1726</v>
      </c>
      <c r="N29" s="76">
        <f>'Tabel 1.1'!C31</f>
        <v>1344</v>
      </c>
    </row>
    <row r="30" spans="1:15" x14ac:dyDescent="0.35">
      <c r="A30" s="74"/>
      <c r="B30" s="74"/>
      <c r="C30" s="74"/>
      <c r="D30" s="74"/>
      <c r="E30" s="74"/>
      <c r="F30" s="74"/>
      <c r="G30" s="74"/>
      <c r="H30" s="74"/>
      <c r="I30" s="74"/>
      <c r="J30" s="74"/>
      <c r="K30" s="74"/>
      <c r="L30" s="74" t="s">
        <v>71</v>
      </c>
      <c r="M30" s="76">
        <f>'Tabel 1.1'!B32</f>
        <v>598971.11495999992</v>
      </c>
      <c r="N30" s="76">
        <f>'Tabel 1.1'!C32</f>
        <v>589319.00377000007</v>
      </c>
    </row>
    <row r="31" spans="1:15" x14ac:dyDescent="0.35">
      <c r="A31" s="75" t="s">
        <v>501</v>
      </c>
      <c r="B31" s="74"/>
      <c r="C31" s="74"/>
      <c r="D31" s="74"/>
      <c r="E31" s="74"/>
      <c r="F31" s="74"/>
      <c r="G31" s="74"/>
      <c r="H31" s="74"/>
      <c r="I31" s="78"/>
      <c r="J31" s="74"/>
      <c r="K31" s="74"/>
      <c r="L31" s="74" t="s">
        <v>487</v>
      </c>
      <c r="M31" s="76">
        <f>'Tabel 1.1'!B33</f>
        <v>1278</v>
      </c>
      <c r="N31" s="76">
        <f>'Tabel 1.1'!C33</f>
        <v>1909</v>
      </c>
    </row>
    <row r="32" spans="1:15" x14ac:dyDescent="0.35">
      <c r="B32" s="74"/>
      <c r="C32" s="74"/>
      <c r="D32" s="74"/>
      <c r="E32" s="74"/>
      <c r="F32" s="74"/>
      <c r="G32" s="74"/>
      <c r="H32" s="74"/>
      <c r="I32" s="74"/>
      <c r="J32" s="74"/>
      <c r="K32" s="74"/>
    </row>
    <row r="33" spans="1:15" x14ac:dyDescent="0.35">
      <c r="B33" s="74"/>
      <c r="C33" s="74"/>
      <c r="D33" s="74"/>
      <c r="E33" s="74"/>
      <c r="F33" s="74"/>
      <c r="G33" s="74"/>
      <c r="H33" s="74"/>
      <c r="I33" s="74"/>
      <c r="J33" s="74"/>
      <c r="K33" s="74"/>
    </row>
    <row r="34" spans="1:15" x14ac:dyDescent="0.35">
      <c r="A34" s="74"/>
      <c r="B34" s="74"/>
      <c r="C34" s="74"/>
      <c r="D34" s="74"/>
      <c r="E34" s="74"/>
      <c r="F34" s="74"/>
      <c r="G34" s="74"/>
      <c r="H34" s="74"/>
      <c r="I34" s="74"/>
      <c r="J34" s="74"/>
      <c r="K34" s="74"/>
    </row>
    <row r="35" spans="1:15" x14ac:dyDescent="0.35">
      <c r="A35" s="74"/>
      <c r="B35" s="74"/>
      <c r="C35" s="74"/>
      <c r="D35" s="74"/>
      <c r="E35" s="74"/>
      <c r="F35" s="74"/>
      <c r="G35" s="74"/>
      <c r="H35" s="74"/>
      <c r="I35" s="74"/>
      <c r="J35" s="74"/>
      <c r="K35" s="74"/>
      <c r="L35" s="74" t="s">
        <v>53</v>
      </c>
    </row>
    <row r="36" spans="1:15" x14ac:dyDescent="0.35">
      <c r="A36" s="74"/>
      <c r="B36" s="74"/>
      <c r="C36" s="74"/>
      <c r="D36" s="74"/>
      <c r="E36" s="74"/>
      <c r="F36" s="74"/>
      <c r="G36" s="74"/>
      <c r="H36" s="74"/>
      <c r="I36" s="74"/>
      <c r="J36" s="74"/>
      <c r="K36" s="74"/>
      <c r="L36" s="74" t="s">
        <v>1</v>
      </c>
    </row>
    <row r="37" spans="1:15" x14ac:dyDescent="0.35">
      <c r="A37" s="74"/>
      <c r="B37" s="74"/>
      <c r="C37" s="74"/>
      <c r="D37" s="74"/>
      <c r="E37" s="74"/>
      <c r="F37" s="74"/>
      <c r="G37" s="74"/>
      <c r="H37" s="74"/>
      <c r="I37" s="74"/>
      <c r="J37" s="74"/>
      <c r="K37" s="74"/>
      <c r="M37" s="74">
        <f>M6</f>
        <v>2020</v>
      </c>
      <c r="N37" s="74">
        <f>N6</f>
        <v>2021</v>
      </c>
    </row>
    <row r="38" spans="1:15" x14ac:dyDescent="0.35">
      <c r="A38" s="74"/>
      <c r="B38" s="74"/>
      <c r="C38" s="74"/>
      <c r="D38" s="74"/>
      <c r="E38" s="74"/>
      <c r="F38" s="74"/>
      <c r="G38" s="74"/>
      <c r="H38" s="74"/>
      <c r="I38" s="74"/>
      <c r="J38" s="74"/>
      <c r="K38" s="74"/>
      <c r="L38" s="78" t="s">
        <v>54</v>
      </c>
      <c r="M38" s="77">
        <f>'Tabel 1.1'!B37</f>
        <v>2098292.548</v>
      </c>
      <c r="N38" s="77">
        <f>'Tabel 1.1'!C37</f>
        <v>2301876.503</v>
      </c>
    </row>
    <row r="39" spans="1:15" x14ac:dyDescent="0.35">
      <c r="A39" s="74"/>
      <c r="B39" s="74"/>
      <c r="C39" s="74"/>
      <c r="D39" s="74"/>
      <c r="E39" s="74"/>
      <c r="F39" s="74"/>
      <c r="G39" s="74"/>
      <c r="H39" s="74"/>
      <c r="I39" s="74"/>
      <c r="J39" s="74"/>
      <c r="K39" s="74"/>
      <c r="L39" s="78" t="s">
        <v>64</v>
      </c>
      <c r="M39" s="77">
        <f>'Tabel 1.1'!B38</f>
        <v>601762</v>
      </c>
      <c r="N39" s="77">
        <f>'Tabel 1.1'!C38</f>
        <v>0</v>
      </c>
    </row>
    <row r="40" spans="1:15" x14ac:dyDescent="0.35">
      <c r="A40" s="74"/>
      <c r="B40" s="74"/>
      <c r="C40" s="74"/>
      <c r="D40" s="74"/>
      <c r="E40" s="74"/>
      <c r="F40" s="74"/>
      <c r="G40" s="74"/>
      <c r="H40" s="74"/>
      <c r="I40" s="74"/>
      <c r="J40" s="74"/>
      <c r="K40" s="74"/>
      <c r="L40" s="74" t="s">
        <v>55</v>
      </c>
      <c r="M40" s="77">
        <f>'Tabel 1.1'!B39</f>
        <v>10110496</v>
      </c>
      <c r="N40" s="77">
        <f>'Tabel 1.1'!C39</f>
        <v>11851242.041999999</v>
      </c>
    </row>
    <row r="41" spans="1:15" x14ac:dyDescent="0.35">
      <c r="A41" s="74"/>
      <c r="B41" s="74"/>
      <c r="C41" s="74"/>
      <c r="D41" s="74"/>
      <c r="E41" s="74"/>
      <c r="F41" s="74"/>
      <c r="G41" s="74"/>
      <c r="H41" s="74"/>
      <c r="I41" s="74"/>
      <c r="J41" s="74"/>
      <c r="K41" s="74"/>
      <c r="L41" s="74" t="s">
        <v>57</v>
      </c>
      <c r="M41" s="77">
        <f>'Tabel 1.1'!B40</f>
        <v>366321.7</v>
      </c>
      <c r="N41" s="77">
        <f>'Tabel 1.1'!C40</f>
        <v>0</v>
      </c>
      <c r="O41" s="74"/>
    </row>
    <row r="42" spans="1:15" x14ac:dyDescent="0.35">
      <c r="A42" s="74"/>
      <c r="B42" s="74"/>
      <c r="C42" s="74"/>
      <c r="D42" s="74"/>
      <c r="E42" s="74"/>
      <c r="F42" s="74"/>
      <c r="G42" s="74"/>
      <c r="H42" s="74"/>
      <c r="I42" s="74"/>
      <c r="J42" s="74"/>
      <c r="K42" s="74"/>
      <c r="L42" s="78" t="s">
        <v>60</v>
      </c>
      <c r="M42" s="77">
        <f>'Tabel 1.1'!B41</f>
        <v>3251091</v>
      </c>
      <c r="N42" s="77">
        <f>'Tabel 1.1'!C41</f>
        <v>3714294</v>
      </c>
      <c r="O42" s="74"/>
    </row>
    <row r="43" spans="1:15" x14ac:dyDescent="0.35">
      <c r="A43" s="74"/>
      <c r="B43" s="74"/>
      <c r="C43" s="74"/>
      <c r="D43" s="74"/>
      <c r="E43" s="74"/>
      <c r="F43" s="74"/>
      <c r="G43" s="74"/>
      <c r="H43" s="74"/>
      <c r="I43" s="74"/>
      <c r="J43" s="74"/>
      <c r="K43" s="74"/>
      <c r="L43" s="74" t="s">
        <v>63</v>
      </c>
      <c r="M43" s="77">
        <f>'Tabel 1.1'!B42</f>
        <v>74308.707999999999</v>
      </c>
      <c r="N43" s="77">
        <f>'Tabel 1.1'!C42</f>
        <v>135009.071</v>
      </c>
      <c r="O43" s="74"/>
    </row>
    <row r="44" spans="1:15" x14ac:dyDescent="0.35">
      <c r="A44" s="74"/>
      <c r="B44" s="74"/>
      <c r="C44" s="74"/>
      <c r="D44" s="74"/>
      <c r="E44" s="74"/>
      <c r="F44" s="74"/>
      <c r="G44" s="74"/>
      <c r="H44" s="74"/>
      <c r="I44" s="74"/>
      <c r="J44" s="74"/>
      <c r="K44" s="74"/>
      <c r="L44" s="78" t="s">
        <v>66</v>
      </c>
      <c r="M44" s="77">
        <f>'Tabel 1.1'!B43</f>
        <v>12668233</v>
      </c>
      <c r="N44" s="77">
        <f>'Tabel 1.1'!C43</f>
        <v>17865814</v>
      </c>
      <c r="O44" s="74"/>
    </row>
    <row r="45" spans="1:15" x14ac:dyDescent="0.35">
      <c r="A45" s="74"/>
      <c r="B45" s="74"/>
      <c r="C45" s="74"/>
      <c r="D45" s="74"/>
      <c r="E45" s="74"/>
      <c r="F45" s="74"/>
      <c r="G45" s="74"/>
      <c r="H45" s="74"/>
      <c r="I45" s="74"/>
      <c r="J45" s="74"/>
      <c r="K45" s="74"/>
      <c r="L45" s="78" t="s">
        <v>72</v>
      </c>
      <c r="M45" s="77">
        <f>'Tabel 1.1'!B44</f>
        <v>146915.30192</v>
      </c>
      <c r="N45" s="77">
        <f>'Tabel 1.1'!C44</f>
        <v>178297.44472</v>
      </c>
      <c r="O45" s="74"/>
    </row>
    <row r="46" spans="1:15" x14ac:dyDescent="0.35">
      <c r="A46" s="74"/>
      <c r="B46" s="74"/>
      <c r="C46" s="74"/>
      <c r="D46" s="74"/>
      <c r="E46" s="74"/>
      <c r="F46" s="74"/>
      <c r="G46" s="74"/>
      <c r="H46" s="74"/>
      <c r="I46" s="74"/>
      <c r="J46" s="74"/>
      <c r="K46" s="74"/>
      <c r="L46" s="78" t="s">
        <v>68</v>
      </c>
      <c r="M46" s="77">
        <f>'Tabel 1.1'!B45</f>
        <v>4778935.5708499998</v>
      </c>
      <c r="N46" s="77">
        <f>'Tabel 1.1'!C45</f>
        <v>5555744.3693300001</v>
      </c>
      <c r="O46" s="74"/>
    </row>
    <row r="47" spans="1:15" x14ac:dyDescent="0.35">
      <c r="A47" s="74"/>
      <c r="B47" s="74"/>
      <c r="C47" s="74"/>
      <c r="D47" s="74"/>
      <c r="E47" s="74"/>
      <c r="F47" s="74"/>
      <c r="G47" s="74"/>
      <c r="H47" s="74"/>
      <c r="I47" s="74"/>
      <c r="J47" s="74"/>
      <c r="K47" s="74"/>
      <c r="L47" s="78" t="s">
        <v>73</v>
      </c>
      <c r="M47" s="77">
        <f>'Tabel 1.1'!B46</f>
        <v>12778507.596999999</v>
      </c>
      <c r="N47" s="77">
        <f>'Tabel 1.1'!C46</f>
        <v>13164375.305</v>
      </c>
      <c r="O47" s="74"/>
    </row>
    <row r="48" spans="1:15" x14ac:dyDescent="0.35">
      <c r="A48" s="74"/>
      <c r="B48" s="74"/>
      <c r="C48" s="74"/>
      <c r="D48" s="74"/>
      <c r="E48" s="74"/>
      <c r="F48" s="74"/>
      <c r="G48" s="74"/>
      <c r="H48" s="74"/>
      <c r="I48" s="74"/>
      <c r="J48" s="74"/>
      <c r="K48" s="74"/>
      <c r="L48" s="78"/>
      <c r="M48" s="77"/>
      <c r="N48" s="77"/>
      <c r="O48" s="74"/>
    </row>
    <row r="49" spans="1:15" x14ac:dyDescent="0.35">
      <c r="A49" s="74"/>
      <c r="B49" s="74"/>
      <c r="C49" s="74"/>
      <c r="D49" s="74"/>
      <c r="E49" s="74"/>
      <c r="F49" s="74"/>
      <c r="G49" s="74"/>
      <c r="H49" s="74"/>
      <c r="I49" s="74"/>
      <c r="J49" s="74"/>
      <c r="K49" s="74"/>
      <c r="M49" s="76"/>
      <c r="N49" s="76"/>
      <c r="O49" s="74"/>
    </row>
    <row r="50" spans="1:15" x14ac:dyDescent="0.35">
      <c r="A50" s="74"/>
      <c r="B50" s="74"/>
      <c r="C50" s="74"/>
      <c r="D50" s="74"/>
      <c r="E50" s="74"/>
      <c r="F50" s="74"/>
      <c r="G50" s="74"/>
      <c r="H50" s="74"/>
      <c r="I50" s="74"/>
      <c r="J50" s="74"/>
      <c r="K50" s="74"/>
      <c r="M50" s="76"/>
      <c r="N50" s="76"/>
      <c r="O50" s="74"/>
    </row>
    <row r="51" spans="1:15" x14ac:dyDescent="0.35">
      <c r="A51" s="74"/>
      <c r="B51" s="74"/>
      <c r="C51" s="74"/>
      <c r="D51" s="74"/>
      <c r="E51" s="74"/>
      <c r="F51" s="74"/>
      <c r="G51" s="74"/>
      <c r="H51" s="74"/>
      <c r="I51" s="74"/>
      <c r="J51" s="74"/>
      <c r="K51" s="74"/>
      <c r="M51" s="76"/>
      <c r="N51" s="76"/>
      <c r="O51" s="74"/>
    </row>
    <row r="52" spans="1:15" x14ac:dyDescent="0.35">
      <c r="A52" s="74"/>
      <c r="B52" s="74"/>
      <c r="C52" s="74"/>
      <c r="D52" s="74"/>
      <c r="E52" s="74"/>
      <c r="F52" s="74"/>
      <c r="G52" s="74"/>
      <c r="H52" s="74"/>
      <c r="I52" s="74"/>
      <c r="J52" s="74"/>
      <c r="K52" s="74"/>
      <c r="M52" s="76"/>
      <c r="N52" s="76"/>
      <c r="O52" s="74"/>
    </row>
    <row r="53" spans="1:15" x14ac:dyDescent="0.35">
      <c r="A53" s="74"/>
      <c r="B53" s="74"/>
      <c r="C53" s="74"/>
      <c r="D53" s="74"/>
      <c r="E53" s="74"/>
      <c r="F53" s="74"/>
      <c r="G53" s="74"/>
      <c r="H53" s="74"/>
      <c r="I53" s="74"/>
      <c r="J53" s="74"/>
      <c r="K53" s="74"/>
      <c r="O53" s="74"/>
    </row>
    <row r="54" spans="1:15" x14ac:dyDescent="0.35">
      <c r="A54" s="74"/>
      <c r="B54" s="74"/>
      <c r="C54" s="74"/>
      <c r="D54" s="74"/>
      <c r="E54" s="74"/>
      <c r="F54" s="74"/>
      <c r="G54" s="74"/>
      <c r="H54" s="74"/>
      <c r="I54" s="74"/>
      <c r="J54" s="74"/>
      <c r="K54" s="74"/>
      <c r="L54" s="74" t="s">
        <v>74</v>
      </c>
      <c r="O54" s="74"/>
    </row>
    <row r="55" spans="1:15" x14ac:dyDescent="0.35">
      <c r="A55" s="74"/>
      <c r="B55" s="74"/>
      <c r="C55" s="74"/>
      <c r="D55" s="74"/>
      <c r="E55" s="74"/>
      <c r="F55" s="74"/>
      <c r="G55" s="74"/>
      <c r="H55" s="74"/>
      <c r="I55" s="74"/>
      <c r="J55" s="74"/>
      <c r="K55" s="74"/>
      <c r="L55" s="74" t="s">
        <v>0</v>
      </c>
      <c r="O55" s="74"/>
    </row>
    <row r="56" spans="1:15" x14ac:dyDescent="0.35">
      <c r="A56" s="75" t="s">
        <v>502</v>
      </c>
      <c r="B56" s="74"/>
      <c r="C56" s="74"/>
      <c r="D56" s="74"/>
      <c r="E56" s="74"/>
      <c r="F56" s="74"/>
      <c r="G56" s="74"/>
      <c r="H56" s="74"/>
      <c r="I56" s="78"/>
      <c r="J56" s="74"/>
      <c r="K56" s="74"/>
      <c r="M56" s="74">
        <f>M6</f>
        <v>2020</v>
      </c>
      <c r="N56" s="74">
        <f>N6</f>
        <v>2021</v>
      </c>
      <c r="O56" s="74"/>
    </row>
    <row r="57" spans="1:15" x14ac:dyDescent="0.35">
      <c r="A57" s="74"/>
      <c r="B57" s="74"/>
      <c r="C57" s="74"/>
      <c r="D57" s="74"/>
      <c r="E57" s="74"/>
      <c r="F57" s="74"/>
      <c r="G57" s="74"/>
      <c r="H57" s="74"/>
      <c r="I57" s="74"/>
      <c r="J57" s="74"/>
      <c r="K57" s="74"/>
      <c r="L57" s="74" t="s">
        <v>493</v>
      </c>
      <c r="M57" s="76">
        <f>'Tabel 1.1'!G9</f>
        <v>0</v>
      </c>
      <c r="N57" s="76">
        <f>'Tabel 1.1'!H9</f>
        <v>0</v>
      </c>
      <c r="O57" s="74"/>
    </row>
    <row r="58" spans="1:15" x14ac:dyDescent="0.35">
      <c r="A58" s="74"/>
      <c r="B58" s="74"/>
      <c r="C58" s="74"/>
      <c r="D58" s="74"/>
      <c r="E58" s="74"/>
      <c r="F58" s="74"/>
      <c r="G58" s="74"/>
      <c r="H58" s="74"/>
      <c r="I58" s="74"/>
      <c r="J58" s="74"/>
      <c r="K58" s="74"/>
      <c r="L58" s="74" t="s">
        <v>54</v>
      </c>
      <c r="M58" s="76">
        <f>'Tabel 1.1'!G10</f>
        <v>1320149.652</v>
      </c>
      <c r="N58" s="76">
        <f>'Tabel 1.1'!H10</f>
        <v>1398802.868</v>
      </c>
      <c r="O58" s="74"/>
    </row>
    <row r="59" spans="1:15" x14ac:dyDescent="0.35">
      <c r="A59" s="74"/>
      <c r="B59" s="74"/>
      <c r="C59" s="74"/>
      <c r="D59" s="74"/>
      <c r="E59" s="74"/>
      <c r="F59" s="74"/>
      <c r="G59" s="74"/>
      <c r="H59" s="74"/>
      <c r="I59" s="74"/>
      <c r="J59" s="74"/>
      <c r="K59" s="74"/>
      <c r="L59" s="74" t="s">
        <v>491</v>
      </c>
      <c r="M59" s="76">
        <f>'Tabel 1.1'!G11</f>
        <v>1799572</v>
      </c>
      <c r="N59" s="76">
        <f>'Tabel 1.1'!H11</f>
        <v>0</v>
      </c>
      <c r="O59" s="74"/>
    </row>
    <row r="60" spans="1:15" x14ac:dyDescent="0.35">
      <c r="A60" s="74"/>
      <c r="B60" s="74"/>
      <c r="C60" s="74"/>
      <c r="D60" s="74"/>
      <c r="E60" s="74"/>
      <c r="F60" s="74"/>
      <c r="G60" s="74"/>
      <c r="H60" s="74"/>
      <c r="I60" s="74"/>
      <c r="J60" s="74"/>
      <c r="K60" s="74"/>
      <c r="L60" s="74" t="s">
        <v>55</v>
      </c>
      <c r="M60" s="76">
        <f>'Tabel 1.1'!G12</f>
        <v>193584584.22384</v>
      </c>
      <c r="N60" s="76">
        <f>'Tabel 1.1'!H12</f>
        <v>193517916</v>
      </c>
      <c r="O60" s="74"/>
    </row>
    <row r="61" spans="1:15" x14ac:dyDescent="0.35">
      <c r="A61" s="74"/>
      <c r="B61" s="74"/>
      <c r="C61" s="74"/>
      <c r="D61" s="74"/>
      <c r="E61" s="74"/>
      <c r="F61" s="74"/>
      <c r="G61" s="74"/>
      <c r="H61" s="74"/>
      <c r="I61" s="74"/>
      <c r="J61" s="74"/>
      <c r="K61" s="74"/>
      <c r="L61" s="74" t="s">
        <v>56</v>
      </c>
      <c r="M61" s="76">
        <f>'Tabel 1.1'!G13</f>
        <v>543598</v>
      </c>
      <c r="N61" s="76">
        <f>'Tabel 1.1'!H13</f>
        <v>572507</v>
      </c>
      <c r="O61" s="74"/>
    </row>
    <row r="62" spans="1:15" x14ac:dyDescent="0.35">
      <c r="A62" s="74"/>
      <c r="B62" s="74"/>
      <c r="C62" s="74"/>
      <c r="D62" s="74"/>
      <c r="E62" s="74"/>
      <c r="F62" s="74"/>
      <c r="G62" s="74"/>
      <c r="H62" s="74"/>
      <c r="I62" s="74"/>
      <c r="J62" s="74"/>
      <c r="K62" s="74"/>
      <c r="L62" s="74" t="s">
        <v>494</v>
      </c>
      <c r="M62" s="76">
        <f>'Tabel 1.1'!G14</f>
        <v>0</v>
      </c>
      <c r="N62" s="76">
        <f>'Tabel 1.1'!H14</f>
        <v>0</v>
      </c>
      <c r="O62" s="74"/>
    </row>
    <row r="63" spans="1:15" x14ac:dyDescent="0.35">
      <c r="A63" s="74"/>
      <c r="B63" s="74"/>
      <c r="C63" s="74"/>
      <c r="D63" s="74"/>
      <c r="E63" s="74"/>
      <c r="F63" s="74"/>
      <c r="G63" s="74"/>
      <c r="H63" s="74"/>
      <c r="I63" s="74"/>
      <c r="J63" s="74"/>
      <c r="K63" s="74"/>
      <c r="L63" s="74" t="s">
        <v>482</v>
      </c>
      <c r="M63" s="76">
        <f>'Tabel 1.1'!G15</f>
        <v>3822716.1325900001</v>
      </c>
      <c r="N63" s="76">
        <f>'Tabel 1.1'!H15</f>
        <v>4274504.1585400002</v>
      </c>
      <c r="O63" s="74"/>
    </row>
    <row r="64" spans="1:15" x14ac:dyDescent="0.35">
      <c r="A64" s="74"/>
      <c r="B64" s="74"/>
      <c r="C64" s="74"/>
      <c r="D64" s="74"/>
      <c r="E64" s="74"/>
      <c r="F64" s="74"/>
      <c r="G64" s="74"/>
      <c r="H64" s="74"/>
      <c r="I64" s="74"/>
      <c r="J64" s="74"/>
      <c r="K64" s="74"/>
      <c r="L64" s="74" t="s">
        <v>57</v>
      </c>
      <c r="M64" s="76">
        <f>'Tabel 1.1'!G16</f>
        <v>790605</v>
      </c>
      <c r="N64" s="76">
        <f>'Tabel 1.1'!H16</f>
        <v>1050219</v>
      </c>
      <c r="O64" s="74"/>
    </row>
    <row r="65" spans="1:15" x14ac:dyDescent="0.35">
      <c r="A65" s="74"/>
      <c r="B65" s="74"/>
      <c r="C65" s="74"/>
      <c r="D65" s="74"/>
      <c r="E65" s="74"/>
      <c r="F65" s="74"/>
      <c r="G65" s="74"/>
      <c r="H65" s="74"/>
      <c r="I65" s="74"/>
      <c r="J65" s="74"/>
      <c r="K65" s="74"/>
      <c r="L65" s="74" t="s">
        <v>59</v>
      </c>
      <c r="M65" s="76">
        <f>'Tabel 1.1'!G17</f>
        <v>0</v>
      </c>
      <c r="N65" s="76">
        <f>'Tabel 1.1'!H17</f>
        <v>0</v>
      </c>
      <c r="O65" s="74"/>
    </row>
    <row r="66" spans="1:15" x14ac:dyDescent="0.35">
      <c r="A66" s="74"/>
      <c r="B66" s="74"/>
      <c r="C66" s="74"/>
      <c r="D66" s="74"/>
      <c r="E66" s="74"/>
      <c r="F66" s="74"/>
      <c r="G66" s="74"/>
      <c r="H66" s="74"/>
      <c r="I66" s="74"/>
      <c r="J66" s="74"/>
      <c r="K66" s="74"/>
      <c r="L66" s="74" t="s">
        <v>60</v>
      </c>
      <c r="M66" s="76">
        <f>'Tabel 1.1'!G19</f>
        <v>7662525</v>
      </c>
      <c r="N66" s="76">
        <f>'Tabel 1.1'!H19</f>
        <v>8230173</v>
      </c>
      <c r="O66" s="74"/>
    </row>
    <row r="67" spans="1:15" x14ac:dyDescent="0.35">
      <c r="A67" s="74"/>
      <c r="B67" s="74"/>
      <c r="C67" s="74"/>
      <c r="D67" s="74"/>
      <c r="E67" s="74"/>
      <c r="F67" s="74"/>
      <c r="G67" s="74"/>
      <c r="H67" s="74"/>
      <c r="I67" s="74"/>
      <c r="J67" s="74"/>
      <c r="K67" s="74"/>
      <c r="L67" s="74" t="s">
        <v>61</v>
      </c>
      <c r="M67" s="76">
        <f>'Tabel 1.1'!G20</f>
        <v>22414.323470655629</v>
      </c>
      <c r="N67" s="76">
        <f>'Tabel 1.1'!H20</f>
        <v>22010.537</v>
      </c>
      <c r="O67" s="74"/>
    </row>
    <row r="68" spans="1:15" x14ac:dyDescent="0.35">
      <c r="A68" s="74"/>
      <c r="B68" s="74"/>
      <c r="C68" s="74"/>
      <c r="D68" s="74"/>
      <c r="E68" s="74"/>
      <c r="F68" s="74"/>
      <c r="G68" s="74"/>
      <c r="H68" s="74"/>
      <c r="I68" s="74"/>
      <c r="J68" s="74"/>
      <c r="K68" s="74"/>
      <c r="L68" s="74" t="s">
        <v>62</v>
      </c>
      <c r="M68" s="76">
        <f>'Tabel 1.1'!G21</f>
        <v>513146.81849719601</v>
      </c>
      <c r="N68" s="76">
        <f>'Tabel 1.1'!H21</f>
        <v>556565.27800000005</v>
      </c>
      <c r="O68" s="74"/>
    </row>
    <row r="69" spans="1:15" x14ac:dyDescent="0.35">
      <c r="A69" s="74"/>
      <c r="B69" s="74"/>
      <c r="C69" s="74"/>
      <c r="D69" s="74"/>
      <c r="E69" s="74"/>
      <c r="F69" s="74"/>
      <c r="G69" s="74"/>
      <c r="H69" s="74"/>
      <c r="I69" s="74"/>
      <c r="J69" s="74"/>
      <c r="K69" s="74"/>
      <c r="L69" s="74" t="s">
        <v>484</v>
      </c>
      <c r="M69" s="76">
        <f>'Tabel 1.1'!G22</f>
        <v>2056</v>
      </c>
      <c r="N69" s="76">
        <f>'Tabel 1.1'!H22</f>
        <v>0</v>
      </c>
      <c r="O69" s="74"/>
    </row>
    <row r="70" spans="1:15" x14ac:dyDescent="0.35">
      <c r="A70" s="74"/>
      <c r="B70" s="74"/>
      <c r="C70" s="74"/>
      <c r="D70" s="74"/>
      <c r="E70" s="74"/>
      <c r="F70" s="74"/>
      <c r="G70" s="74"/>
      <c r="H70" s="74"/>
      <c r="I70" s="74"/>
      <c r="J70" s="74"/>
      <c r="K70" s="74"/>
      <c r="L70" s="74" t="s">
        <v>63</v>
      </c>
      <c r="M70" s="76">
        <f>'Tabel 1.1'!G23</f>
        <v>537548840.24074996</v>
      </c>
      <c r="N70" s="76">
        <f>'Tabel 1.1'!H23</f>
        <v>574122994.44806004</v>
      </c>
      <c r="O70" s="74"/>
    </row>
    <row r="71" spans="1:15" x14ac:dyDescent="0.35">
      <c r="A71" s="74"/>
      <c r="B71" s="74"/>
      <c r="C71" s="74"/>
      <c r="D71" s="74"/>
      <c r="E71" s="74"/>
      <c r="F71" s="74"/>
      <c r="G71" s="74"/>
      <c r="H71" s="74"/>
      <c r="I71" s="74"/>
      <c r="J71" s="74"/>
      <c r="K71" s="74"/>
      <c r="L71" s="74" t="s">
        <v>65</v>
      </c>
      <c r="M71" s="76">
        <f>'Tabel 1.1'!G24</f>
        <v>52996</v>
      </c>
      <c r="N71" s="76">
        <f>'Tabel 1.1'!H24</f>
        <v>72087.316999999995</v>
      </c>
      <c r="O71" s="74"/>
    </row>
    <row r="72" spans="1:15" x14ac:dyDescent="0.35">
      <c r="A72" s="74"/>
      <c r="B72" s="74"/>
      <c r="C72" s="74"/>
      <c r="D72" s="74"/>
      <c r="E72" s="74"/>
      <c r="F72" s="74"/>
      <c r="G72" s="74"/>
      <c r="H72" s="74"/>
      <c r="I72" s="74"/>
      <c r="J72" s="74"/>
      <c r="K72" s="74"/>
      <c r="L72" s="74" t="s">
        <v>492</v>
      </c>
      <c r="M72" s="76">
        <f>'Tabel 1.1'!G25</f>
        <v>0</v>
      </c>
      <c r="N72" s="76">
        <f>'Tabel 1.1'!H25</f>
        <v>0</v>
      </c>
      <c r="O72" s="74"/>
    </row>
    <row r="73" spans="1:15" x14ac:dyDescent="0.35">
      <c r="A73" s="74"/>
      <c r="B73" s="74"/>
      <c r="C73" s="74"/>
      <c r="D73" s="74"/>
      <c r="E73" s="74"/>
      <c r="F73" s="74"/>
      <c r="G73" s="74"/>
      <c r="H73" s="74"/>
      <c r="I73" s="74"/>
      <c r="J73" s="74"/>
      <c r="K73" s="74"/>
      <c r="L73" s="74" t="s">
        <v>66</v>
      </c>
      <c r="M73" s="76">
        <f>'Tabel 1.1'!G26</f>
        <v>53026780</v>
      </c>
      <c r="N73" s="76">
        <f>'Tabel 1.1'!H26</f>
        <v>55808862</v>
      </c>
      <c r="O73" s="74"/>
    </row>
    <row r="74" spans="1:15" x14ac:dyDescent="0.35">
      <c r="A74" s="74"/>
      <c r="B74" s="74"/>
      <c r="C74" s="74"/>
      <c r="D74" s="74"/>
      <c r="E74" s="74"/>
      <c r="F74" s="74"/>
      <c r="G74" s="74"/>
      <c r="H74" s="74"/>
      <c r="I74" s="74"/>
      <c r="J74" s="74"/>
      <c r="K74" s="74"/>
      <c r="L74" s="74" t="s">
        <v>67</v>
      </c>
      <c r="M74" s="76">
        <f>'Tabel 1.1'!G27</f>
        <v>82047000</v>
      </c>
      <c r="N74" s="76">
        <f>'Tabel 1.1'!H27</f>
        <v>102259830</v>
      </c>
      <c r="O74" s="74"/>
    </row>
    <row r="75" spans="1:15" x14ac:dyDescent="0.35">
      <c r="A75" s="74"/>
      <c r="B75" s="74"/>
      <c r="C75" s="74"/>
      <c r="D75" s="74"/>
      <c r="E75" s="74"/>
      <c r="F75" s="74"/>
      <c r="G75" s="74"/>
      <c r="H75" s="74"/>
      <c r="I75" s="74"/>
      <c r="J75" s="74"/>
      <c r="K75" s="74"/>
      <c r="L75" s="74" t="s">
        <v>68</v>
      </c>
      <c r="M75" s="76">
        <f>'Tabel 1.1'!G29</f>
        <v>19298850.99636</v>
      </c>
      <c r="N75" s="76">
        <f>'Tabel 1.1'!H29</f>
        <v>20710069.296859998</v>
      </c>
      <c r="O75" s="74"/>
    </row>
    <row r="76" spans="1:15" x14ac:dyDescent="0.35">
      <c r="A76" s="74"/>
      <c r="B76" s="74"/>
      <c r="C76" s="74"/>
      <c r="D76" s="74"/>
      <c r="E76" s="74"/>
      <c r="F76" s="74"/>
      <c r="G76" s="74"/>
      <c r="H76" s="74"/>
      <c r="I76" s="74"/>
      <c r="J76" s="74"/>
      <c r="K76" s="74"/>
      <c r="L76" s="74" t="s">
        <v>69</v>
      </c>
      <c r="M76" s="76">
        <f>'Tabel 1.1'!G30</f>
        <v>183812146.52500001</v>
      </c>
      <c r="N76" s="76">
        <f>'Tabel 1.1'!H30</f>
        <v>196253398.08000004</v>
      </c>
      <c r="O76" s="74"/>
    </row>
    <row r="77" spans="1:15" x14ac:dyDescent="0.35">
      <c r="A77" s="74"/>
      <c r="B77" s="74"/>
      <c r="C77" s="74"/>
      <c r="D77" s="74"/>
      <c r="E77" s="74"/>
      <c r="F77" s="74"/>
      <c r="G77" s="74"/>
      <c r="H77" s="74"/>
      <c r="I77" s="74"/>
      <c r="J77" s="74"/>
      <c r="K77" s="74"/>
      <c r="L77" s="74" t="s">
        <v>97</v>
      </c>
      <c r="M77" s="76">
        <f>'Tabel 1.1'!G31</f>
        <v>0</v>
      </c>
      <c r="N77" s="76">
        <f>'Tabel 1.1'!H31</f>
        <v>0</v>
      </c>
      <c r="O77" s="74"/>
    </row>
    <row r="78" spans="1:15" x14ac:dyDescent="0.35">
      <c r="A78" s="74"/>
      <c r="B78" s="74"/>
      <c r="C78" s="74"/>
      <c r="D78" s="74"/>
      <c r="E78" s="74"/>
      <c r="F78" s="74"/>
      <c r="G78" s="74"/>
      <c r="H78" s="74"/>
      <c r="I78" s="74"/>
      <c r="J78" s="74"/>
      <c r="K78" s="74"/>
      <c r="L78" s="74" t="s">
        <v>98</v>
      </c>
      <c r="M78" s="76">
        <f>'Tabel 1.1'!G32</f>
        <v>0</v>
      </c>
      <c r="N78" s="76">
        <f>'Tabel 1.1'!H32</f>
        <v>0</v>
      </c>
      <c r="O78" s="74"/>
    </row>
    <row r="79" spans="1:15" x14ac:dyDescent="0.35">
      <c r="A79" s="74"/>
      <c r="B79" s="74"/>
      <c r="C79" s="74"/>
      <c r="D79" s="74"/>
      <c r="E79" s="74"/>
      <c r="F79" s="74"/>
      <c r="G79" s="74"/>
      <c r="H79" s="74"/>
      <c r="I79" s="74"/>
      <c r="J79" s="74"/>
      <c r="K79" s="74"/>
      <c r="L79" s="74" t="s">
        <v>488</v>
      </c>
      <c r="M79" s="76">
        <f>'Tabel 1.1'!G33</f>
        <v>0</v>
      </c>
      <c r="N79" s="76">
        <f>'Tabel 1.1'!H33</f>
        <v>0</v>
      </c>
      <c r="O79" s="74"/>
    </row>
    <row r="80" spans="1:15" x14ac:dyDescent="0.35">
      <c r="A80" s="75" t="s">
        <v>503</v>
      </c>
      <c r="B80" s="74"/>
      <c r="C80" s="74"/>
      <c r="D80" s="74"/>
      <c r="E80" s="74"/>
      <c r="F80" s="74"/>
      <c r="G80" s="74"/>
      <c r="H80" s="74"/>
      <c r="I80" s="78"/>
      <c r="J80" s="74"/>
      <c r="K80" s="74"/>
      <c r="O80" s="74"/>
    </row>
    <row r="81" spans="1:15" x14ac:dyDescent="0.35">
      <c r="B81" s="74"/>
      <c r="C81" s="74"/>
      <c r="D81" s="74"/>
      <c r="E81" s="74"/>
      <c r="F81" s="74"/>
      <c r="G81" s="74"/>
      <c r="H81" s="74"/>
      <c r="I81" s="74"/>
      <c r="J81" s="74"/>
      <c r="K81" s="74"/>
      <c r="O81" s="74"/>
    </row>
    <row r="82" spans="1:15" x14ac:dyDescent="0.35">
      <c r="A82" s="74"/>
      <c r="B82" s="74"/>
      <c r="C82" s="74"/>
      <c r="D82" s="74"/>
      <c r="E82" s="74"/>
      <c r="F82" s="74"/>
      <c r="G82" s="74"/>
      <c r="H82" s="74"/>
      <c r="I82" s="74"/>
      <c r="J82" s="74"/>
      <c r="K82" s="74"/>
      <c r="O82" s="74"/>
    </row>
    <row r="83" spans="1:15" x14ac:dyDescent="0.35">
      <c r="A83" s="74"/>
      <c r="B83" s="74"/>
      <c r="C83" s="74"/>
      <c r="D83" s="74"/>
      <c r="E83" s="74"/>
      <c r="F83" s="74"/>
      <c r="G83" s="74"/>
      <c r="H83" s="74"/>
      <c r="I83" s="74"/>
      <c r="J83" s="74"/>
      <c r="K83" s="74"/>
      <c r="O83" s="74"/>
    </row>
    <row r="84" spans="1:15" x14ac:dyDescent="0.35">
      <c r="A84" s="74"/>
      <c r="B84" s="74"/>
      <c r="C84" s="74"/>
      <c r="D84" s="74"/>
      <c r="E84" s="74"/>
      <c r="F84" s="74"/>
      <c r="G84" s="74"/>
      <c r="H84" s="74"/>
      <c r="I84" s="74"/>
      <c r="J84" s="74"/>
      <c r="K84" s="74"/>
      <c r="L84" s="74" t="s">
        <v>74</v>
      </c>
      <c r="O84" s="74"/>
    </row>
    <row r="85" spans="1:15" x14ac:dyDescent="0.35">
      <c r="B85" s="74"/>
      <c r="C85" s="74"/>
      <c r="D85" s="74"/>
      <c r="E85" s="74"/>
      <c r="F85" s="74"/>
      <c r="G85" s="74"/>
      <c r="H85" s="74"/>
      <c r="I85" s="74"/>
      <c r="J85" s="74"/>
      <c r="K85" s="74"/>
      <c r="L85" s="74" t="s">
        <v>1</v>
      </c>
      <c r="O85" s="74"/>
    </row>
    <row r="86" spans="1:15" x14ac:dyDescent="0.35">
      <c r="B86" s="74"/>
      <c r="C86" s="74"/>
      <c r="D86" s="74"/>
      <c r="E86" s="74"/>
      <c r="F86" s="74"/>
      <c r="G86" s="74"/>
      <c r="H86" s="74"/>
      <c r="I86" s="74"/>
      <c r="J86" s="74"/>
      <c r="K86" s="74"/>
      <c r="M86" s="74">
        <f>M6</f>
        <v>2020</v>
      </c>
      <c r="N86" s="74">
        <f>N6</f>
        <v>2021</v>
      </c>
      <c r="O86" s="74"/>
    </row>
    <row r="87" spans="1:15" x14ac:dyDescent="0.35">
      <c r="B87" s="74"/>
      <c r="C87" s="74"/>
      <c r="D87" s="74"/>
      <c r="E87" s="74"/>
      <c r="F87" s="74"/>
      <c r="G87" s="74"/>
      <c r="H87" s="74"/>
      <c r="I87" s="74"/>
      <c r="J87" s="74"/>
      <c r="K87" s="74"/>
      <c r="L87" s="74" t="s">
        <v>54</v>
      </c>
      <c r="M87" s="76">
        <f>'Tabel 1.1'!G37</f>
        <v>24084123.675000001</v>
      </c>
      <c r="N87" s="76">
        <f>'Tabel 1.1'!H37</f>
        <v>29361437.739999998</v>
      </c>
      <c r="O87" s="74"/>
    </row>
    <row r="88" spans="1:15" x14ac:dyDescent="0.35">
      <c r="B88" s="74"/>
      <c r="C88" s="74"/>
      <c r="D88" s="74"/>
      <c r="E88" s="74"/>
      <c r="F88" s="74"/>
      <c r="G88" s="74"/>
      <c r="H88" s="74"/>
      <c r="I88" s="74"/>
      <c r="J88" s="74"/>
      <c r="K88" s="74"/>
      <c r="L88" s="74" t="s">
        <v>491</v>
      </c>
      <c r="M88" s="76">
        <f>'Tabel 1.1'!G38</f>
        <v>5959168</v>
      </c>
      <c r="N88" s="76">
        <f>'Tabel 1.1'!H38</f>
        <v>0</v>
      </c>
      <c r="O88" s="74"/>
    </row>
    <row r="89" spans="1:15" x14ac:dyDescent="0.35">
      <c r="B89" s="74"/>
      <c r="C89" s="74"/>
      <c r="D89" s="74"/>
      <c r="E89" s="74"/>
      <c r="F89" s="74"/>
      <c r="G89" s="74"/>
      <c r="H89" s="74"/>
      <c r="I89" s="74"/>
      <c r="J89" s="74"/>
      <c r="K89" s="74"/>
      <c r="L89" s="74" t="s">
        <v>55</v>
      </c>
      <c r="M89" s="76">
        <f>'Tabel 1.1'!G39</f>
        <v>110860381.59099999</v>
      </c>
      <c r="N89" s="76">
        <f>'Tabel 1.1'!H39</f>
        <v>138747409.08115</v>
      </c>
      <c r="O89" s="74"/>
    </row>
    <row r="90" spans="1:15" x14ac:dyDescent="0.35">
      <c r="B90" s="74"/>
      <c r="C90" s="74"/>
      <c r="D90" s="74"/>
      <c r="E90" s="74"/>
      <c r="F90" s="74"/>
      <c r="G90" s="74"/>
      <c r="H90" s="74"/>
      <c r="I90" s="74"/>
      <c r="J90" s="74"/>
      <c r="K90" s="74"/>
      <c r="L90" s="74" t="s">
        <v>57</v>
      </c>
      <c r="M90" s="76">
        <f>'Tabel 1.1'!G40</f>
        <v>0</v>
      </c>
      <c r="N90" s="76">
        <f>'Tabel 1.1'!H40</f>
        <v>0</v>
      </c>
      <c r="O90" s="74"/>
    </row>
    <row r="91" spans="1:15" x14ac:dyDescent="0.35">
      <c r="A91" s="74"/>
      <c r="B91" s="74"/>
      <c r="C91" s="74"/>
      <c r="D91" s="74"/>
      <c r="E91" s="74"/>
      <c r="F91" s="74"/>
      <c r="G91" s="74"/>
      <c r="H91" s="74"/>
      <c r="I91" s="74"/>
      <c r="J91" s="74"/>
      <c r="K91" s="74"/>
      <c r="L91" s="78" t="s">
        <v>60</v>
      </c>
      <c r="M91" s="76">
        <f>'Tabel 1.1'!G41</f>
        <v>34697528</v>
      </c>
      <c r="N91" s="76">
        <f>'Tabel 1.1'!H41</f>
        <v>43184431</v>
      </c>
      <c r="O91" s="74"/>
    </row>
    <row r="92" spans="1:15" ht="18.75" customHeight="1" x14ac:dyDescent="0.35">
      <c r="A92" s="74"/>
      <c r="B92" s="74"/>
      <c r="C92" s="74"/>
      <c r="D92" s="74"/>
      <c r="E92" s="74"/>
      <c r="F92" s="74"/>
      <c r="G92" s="74"/>
      <c r="H92" s="74"/>
      <c r="I92" s="74"/>
      <c r="J92" s="74"/>
      <c r="K92" s="74"/>
      <c r="L92" s="74" t="s">
        <v>63</v>
      </c>
      <c r="M92" s="76">
        <f>'Tabel 1.1'!G42</f>
        <v>2013752.24184</v>
      </c>
      <c r="N92" s="76">
        <f>'Tabel 1.1'!H42</f>
        <v>2234333.4679299998</v>
      </c>
      <c r="O92" s="74"/>
    </row>
    <row r="93" spans="1:15" ht="18.75" customHeight="1" x14ac:dyDescent="0.35">
      <c r="A93" s="74"/>
      <c r="B93" s="74"/>
      <c r="C93" s="74"/>
      <c r="D93" s="74"/>
      <c r="E93" s="74"/>
      <c r="F93" s="74"/>
      <c r="G93" s="74"/>
      <c r="H93" s="74"/>
      <c r="I93" s="74"/>
      <c r="J93" s="74"/>
      <c r="K93" s="74"/>
      <c r="L93" s="74" t="s">
        <v>66</v>
      </c>
      <c r="M93" s="76">
        <f>'Tabel 1.1'!G43</f>
        <v>98862690</v>
      </c>
      <c r="N93" s="76">
        <f>'Tabel 1.1'!H43</f>
        <v>125405208.52</v>
      </c>
      <c r="O93" s="74"/>
    </row>
    <row r="94" spans="1:15" ht="18.75" customHeight="1" x14ac:dyDescent="0.35">
      <c r="A94" s="74"/>
      <c r="B94" s="74"/>
      <c r="C94" s="74"/>
      <c r="D94" s="74"/>
      <c r="E94" s="74"/>
      <c r="F94" s="74"/>
      <c r="G94" s="74"/>
      <c r="H94" s="74"/>
      <c r="I94" s="74"/>
      <c r="J94" s="74"/>
      <c r="K94" s="74"/>
      <c r="L94" s="74" t="s">
        <v>72</v>
      </c>
      <c r="M94" s="76">
        <f>'Tabel 1.1'!G44</f>
        <v>2931716.44123</v>
      </c>
      <c r="N94" s="76">
        <f>'Tabel 1.1'!H44</f>
        <v>3211246.3059999999</v>
      </c>
      <c r="O94" s="74"/>
    </row>
    <row r="95" spans="1:15" ht="18.75" customHeight="1" x14ac:dyDescent="0.35">
      <c r="A95" s="74"/>
      <c r="B95" s="74"/>
      <c r="C95" s="74"/>
      <c r="D95" s="74"/>
      <c r="E95" s="74"/>
      <c r="F95" s="74"/>
      <c r="G95" s="74"/>
      <c r="H95" s="74"/>
      <c r="I95" s="74"/>
      <c r="J95" s="74"/>
      <c r="K95" s="74"/>
      <c r="L95" s="74" t="s">
        <v>68</v>
      </c>
      <c r="M95" s="76">
        <f>'Tabel 1.1'!G45</f>
        <v>43584932.280090004</v>
      </c>
      <c r="N95" s="76">
        <f>'Tabel 1.1'!H45</f>
        <v>56140255.507399999</v>
      </c>
      <c r="O95" s="74"/>
    </row>
    <row r="96" spans="1:15" ht="18.75" customHeight="1" x14ac:dyDescent="0.35">
      <c r="A96" s="74"/>
      <c r="B96" s="74"/>
      <c r="C96" s="74"/>
      <c r="D96" s="74"/>
      <c r="E96" s="74"/>
      <c r="F96" s="74"/>
      <c r="G96" s="74"/>
      <c r="H96" s="74"/>
      <c r="I96" s="74"/>
      <c r="J96" s="74"/>
      <c r="K96" s="74"/>
      <c r="L96" s="74" t="s">
        <v>73</v>
      </c>
      <c r="M96" s="76">
        <f>'Tabel 1.1'!G46</f>
        <v>137052793.507</v>
      </c>
      <c r="N96" s="76">
        <f>'Tabel 1.1'!H46</f>
        <v>157892391.24199998</v>
      </c>
      <c r="O96" s="74"/>
    </row>
    <row r="97" spans="1:17" ht="18.75" customHeight="1" x14ac:dyDescent="0.35">
      <c r="A97" s="74"/>
      <c r="B97" s="74"/>
      <c r="C97" s="74"/>
      <c r="D97" s="74"/>
      <c r="E97" s="74"/>
      <c r="F97" s="74"/>
      <c r="G97" s="74"/>
      <c r="H97" s="74"/>
      <c r="I97" s="74"/>
      <c r="J97" s="74"/>
      <c r="K97" s="74"/>
      <c r="M97" s="76"/>
      <c r="O97" s="74"/>
      <c r="Q97" s="74"/>
    </row>
    <row r="98" spans="1:17" ht="18.75" customHeight="1" x14ac:dyDescent="0.35">
      <c r="A98" s="74"/>
      <c r="B98" s="74"/>
      <c r="C98" s="74"/>
      <c r="D98" s="74"/>
      <c r="E98" s="74"/>
      <c r="F98" s="74"/>
      <c r="G98" s="74"/>
      <c r="H98" s="74"/>
      <c r="I98" s="74"/>
      <c r="J98" s="74"/>
      <c r="K98" s="74"/>
      <c r="O98" s="74"/>
      <c r="Q98" s="74"/>
    </row>
    <row r="99" spans="1:17" ht="18.75" customHeight="1" x14ac:dyDescent="0.35">
      <c r="A99" s="74"/>
      <c r="B99" s="74"/>
      <c r="C99" s="74"/>
      <c r="D99" s="74"/>
      <c r="E99" s="74"/>
      <c r="F99" s="74"/>
      <c r="G99" s="74"/>
      <c r="H99" s="74"/>
      <c r="I99" s="74"/>
      <c r="J99" s="74"/>
      <c r="K99" s="74"/>
      <c r="O99" s="74"/>
      <c r="Q99" s="74"/>
    </row>
    <row r="100" spans="1:17" ht="18.75" customHeight="1" x14ac:dyDescent="0.35">
      <c r="A100" s="74"/>
      <c r="B100" s="74"/>
      <c r="C100" s="74"/>
      <c r="D100" s="74"/>
      <c r="E100" s="74"/>
      <c r="F100" s="74"/>
      <c r="G100" s="74"/>
      <c r="H100" s="74"/>
      <c r="I100" s="74"/>
      <c r="J100" s="74"/>
      <c r="K100" s="74"/>
      <c r="O100" s="74"/>
      <c r="Q100" s="74"/>
    </row>
    <row r="101" spans="1:17" ht="18.75" customHeight="1" x14ac:dyDescent="0.35">
      <c r="A101" s="74"/>
      <c r="B101" s="74"/>
      <c r="C101" s="74"/>
      <c r="D101" s="74"/>
      <c r="E101" s="74"/>
      <c r="F101" s="74"/>
      <c r="G101" s="74"/>
      <c r="H101" s="74"/>
      <c r="I101" s="74"/>
      <c r="J101" s="74"/>
      <c r="K101" s="74"/>
      <c r="O101" s="74"/>
      <c r="Q101" s="74"/>
    </row>
    <row r="102" spans="1:17" ht="18.75" customHeight="1" x14ac:dyDescent="0.35">
      <c r="A102" s="74"/>
      <c r="B102" s="74"/>
      <c r="C102" s="74"/>
      <c r="D102" s="74"/>
      <c r="E102" s="74"/>
      <c r="F102" s="74"/>
      <c r="G102" s="74"/>
      <c r="H102" s="74"/>
      <c r="I102" s="74"/>
      <c r="J102" s="74"/>
      <c r="K102" s="74"/>
      <c r="O102" s="74"/>
      <c r="Q102" s="74"/>
    </row>
    <row r="103" spans="1:17" ht="18.75" customHeight="1" x14ac:dyDescent="0.35">
      <c r="A103" s="74"/>
      <c r="B103" s="74"/>
      <c r="C103" s="74"/>
      <c r="D103" s="74"/>
      <c r="E103" s="74"/>
      <c r="F103" s="74"/>
      <c r="G103" s="74"/>
      <c r="H103" s="74"/>
      <c r="I103" s="74"/>
      <c r="J103" s="74"/>
      <c r="K103" s="74"/>
      <c r="O103" s="74"/>
      <c r="Q103" s="74"/>
    </row>
    <row r="104" spans="1:17" ht="18.75" customHeight="1" x14ac:dyDescent="0.35">
      <c r="A104" s="74"/>
      <c r="B104" s="74"/>
      <c r="C104" s="74"/>
      <c r="D104" s="74"/>
      <c r="E104" s="74"/>
      <c r="F104" s="74"/>
      <c r="G104" s="74"/>
      <c r="H104" s="74"/>
      <c r="I104" s="74"/>
      <c r="J104" s="74"/>
      <c r="K104" s="74"/>
      <c r="O104" s="74"/>
      <c r="Q104" s="74"/>
    </row>
    <row r="105" spans="1:17" ht="18.75" customHeight="1" x14ac:dyDescent="0.35">
      <c r="A105" s="74"/>
      <c r="B105" s="74"/>
      <c r="C105" s="74"/>
      <c r="D105" s="74"/>
      <c r="E105" s="74"/>
      <c r="F105" s="74"/>
      <c r="G105" s="74"/>
      <c r="H105" s="74"/>
      <c r="I105" s="74"/>
      <c r="J105" s="74"/>
      <c r="K105" s="74"/>
      <c r="O105" s="74"/>
      <c r="Q105" s="74"/>
    </row>
    <row r="106" spans="1:17" ht="18.75" customHeight="1" x14ac:dyDescent="0.35">
      <c r="A106" s="75" t="s">
        <v>504</v>
      </c>
      <c r="B106" s="74"/>
      <c r="C106" s="74"/>
      <c r="D106" s="74"/>
      <c r="E106" s="74"/>
      <c r="F106" s="74"/>
      <c r="G106" s="74"/>
      <c r="H106" s="78"/>
      <c r="I106" s="74"/>
      <c r="J106" s="74"/>
      <c r="K106" s="74"/>
      <c r="O106" s="74"/>
      <c r="Q106" s="74"/>
    </row>
    <row r="107" spans="1:17" ht="18.75" customHeight="1" x14ac:dyDescent="0.35">
      <c r="A107" s="74"/>
      <c r="B107" s="74"/>
      <c r="C107" s="74"/>
      <c r="D107" s="74"/>
      <c r="E107" s="74"/>
      <c r="F107" s="74"/>
      <c r="G107" s="74"/>
      <c r="H107" s="74"/>
      <c r="I107" s="74"/>
      <c r="J107" s="74"/>
      <c r="K107" s="74"/>
      <c r="O107" s="74"/>
      <c r="Q107" s="74"/>
    </row>
    <row r="108" spans="1:17" ht="18.75" customHeight="1" x14ac:dyDescent="0.35">
      <c r="A108" s="74"/>
      <c r="B108" s="74"/>
      <c r="C108" s="74"/>
      <c r="D108" s="74"/>
      <c r="E108" s="74"/>
      <c r="F108" s="74"/>
      <c r="G108" s="74"/>
      <c r="H108" s="74"/>
      <c r="I108" s="74"/>
      <c r="J108" s="74"/>
      <c r="K108" s="74"/>
      <c r="O108" s="74"/>
      <c r="Q108" s="74"/>
    </row>
    <row r="109" spans="1:17" ht="18.75" customHeight="1" x14ac:dyDescent="0.35">
      <c r="A109" s="74"/>
      <c r="B109" s="74"/>
      <c r="C109" s="74"/>
      <c r="D109" s="74"/>
      <c r="E109" s="74"/>
      <c r="F109" s="74"/>
      <c r="G109" s="74"/>
      <c r="H109" s="74"/>
      <c r="I109" s="74"/>
      <c r="J109" s="74"/>
      <c r="K109" s="74"/>
      <c r="O109" s="74"/>
      <c r="Q109" s="74"/>
    </row>
    <row r="110" spans="1:17" ht="18.75" customHeight="1" x14ac:dyDescent="0.35">
      <c r="A110" s="74"/>
      <c r="B110" s="74"/>
      <c r="C110" s="74"/>
      <c r="D110" s="74"/>
      <c r="E110" s="74"/>
      <c r="F110" s="74"/>
      <c r="G110" s="74"/>
      <c r="H110" s="74"/>
      <c r="I110" s="74"/>
      <c r="J110" s="74"/>
      <c r="K110" s="74"/>
      <c r="L110" s="78" t="s">
        <v>75</v>
      </c>
      <c r="O110" s="74"/>
      <c r="Q110" s="74"/>
    </row>
    <row r="111" spans="1:17" ht="18.75" customHeight="1" x14ac:dyDescent="0.35">
      <c r="A111" s="74"/>
      <c r="B111" s="74"/>
      <c r="C111" s="74"/>
      <c r="D111" s="74"/>
      <c r="E111" s="74"/>
      <c r="F111" s="74"/>
      <c r="G111" s="74"/>
      <c r="H111" s="74"/>
      <c r="I111" s="74"/>
      <c r="J111" s="74"/>
      <c r="K111" s="74"/>
      <c r="L111" s="74" t="s">
        <v>0</v>
      </c>
      <c r="O111" s="74"/>
      <c r="Q111" s="74"/>
    </row>
    <row r="112" spans="1:17" ht="18.75" customHeight="1" x14ac:dyDescent="0.35">
      <c r="A112" s="74"/>
      <c r="B112" s="74"/>
      <c r="C112" s="74"/>
      <c r="D112" s="74"/>
      <c r="E112" s="74"/>
      <c r="F112" s="74"/>
      <c r="G112" s="74"/>
      <c r="H112" s="74"/>
      <c r="I112" s="74"/>
      <c r="J112" s="74"/>
      <c r="K112" s="74"/>
      <c r="M112" s="74">
        <f>M6</f>
        <v>2020</v>
      </c>
      <c r="N112" s="74">
        <f>N6</f>
        <v>2021</v>
      </c>
      <c r="O112" s="74"/>
      <c r="Q112" s="74"/>
    </row>
    <row r="113" spans="1:17" ht="18.75" customHeight="1" x14ac:dyDescent="0.35">
      <c r="A113" s="74"/>
      <c r="B113" s="74"/>
      <c r="C113" s="74"/>
      <c r="D113" s="74"/>
      <c r="E113" s="74"/>
      <c r="F113" s="74"/>
      <c r="G113" s="74"/>
      <c r="H113" s="74"/>
      <c r="I113" s="74"/>
      <c r="J113" s="74"/>
      <c r="K113" s="74"/>
      <c r="L113" s="74" t="s">
        <v>54</v>
      </c>
      <c r="M113" s="76">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36499.558999999994</v>
      </c>
      <c r="N113" s="76">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917.59400000000096</v>
      </c>
      <c r="O113" s="74"/>
      <c r="Q113" s="74"/>
    </row>
    <row r="114" spans="1:17" ht="18.75" customHeight="1" x14ac:dyDescent="0.35">
      <c r="A114" s="74"/>
      <c r="B114" s="74"/>
      <c r="C114" s="74"/>
      <c r="D114" s="74"/>
      <c r="E114" s="74"/>
      <c r="F114" s="74"/>
      <c r="G114" s="74"/>
      <c r="H114" s="74"/>
      <c r="I114" s="74"/>
      <c r="J114" s="74"/>
      <c r="K114" s="74"/>
      <c r="L114" s="78" t="s">
        <v>491</v>
      </c>
      <c r="M114" s="76">
        <f>'DNB Bedriftspensjon'!B11-'DNB Bedriftspensjon'!B12+'DNB Bedriftspensjon'!B34-'DNB Bedriftspensjon'!B35+'DNB Bedriftspensjon'!B38-'DNB Bedriftspensjon'!B39+'DNB Bedriftspensjon'!B111-'DNB Bedriftspensjon'!B119+'DNB Bedriftspensjon'!B136-'DNB Bedriftspensjon'!B137</f>
        <v>7508</v>
      </c>
      <c r="N114" s="76">
        <f>'DNB Bedriftspensjon'!C11-'DNB Bedriftspensjon'!C12+'DNB Bedriftspensjon'!C34-'DNB Bedriftspensjon'!C35+'DNB Bedriftspensjon'!C38-'DNB Bedriftspensjon'!C39+'DNB Bedriftspensjon'!C111-'DNB Bedriftspensjon'!C119+'DNB Bedriftspensjon'!C136-'DNB Bedriftspensjon'!C137</f>
        <v>0</v>
      </c>
      <c r="O114" s="74"/>
      <c r="Q114" s="74"/>
    </row>
    <row r="115" spans="1:17" ht="18.75" customHeight="1" x14ac:dyDescent="0.35">
      <c r="A115" s="74"/>
      <c r="B115" s="74"/>
      <c r="C115" s="74"/>
      <c r="D115" s="74"/>
      <c r="E115" s="74"/>
      <c r="F115" s="74"/>
      <c r="G115" s="74"/>
      <c r="H115" s="74"/>
      <c r="I115" s="74"/>
      <c r="J115" s="74"/>
      <c r="K115" s="74"/>
      <c r="L115" s="74" t="s">
        <v>55</v>
      </c>
      <c r="M115" s="76">
        <f>'DNB Livsforsikring'!B11-'DNB Livsforsikring'!B12+'DNB Livsforsikring'!B34-'DNB Livsforsikring'!B35+'DNB Livsforsikring'!B38-'DNB Livsforsikring'!B39+'DNB Livsforsikring'!B111-'DNB Livsforsikring'!B119+'DNB Livsforsikring'!B136-'DNB Livsforsikring'!B137</f>
        <v>13951.68644000002</v>
      </c>
      <c r="N115" s="76">
        <f>'DNB Livsforsikring'!C11-'DNB Livsforsikring'!C12+'DNB Livsforsikring'!C34-'DNB Livsforsikring'!C35+'DNB Livsforsikring'!C38-'DNB Livsforsikring'!C39+'DNB Livsforsikring'!C111-'DNB Livsforsikring'!C119+'DNB Livsforsikring'!C136-'DNB Livsforsikring'!C137</f>
        <v>408944.98053999996</v>
      </c>
      <c r="O115" s="74"/>
      <c r="Q115" s="74"/>
    </row>
    <row r="116" spans="1:17" ht="18.75" customHeight="1" x14ac:dyDescent="0.35">
      <c r="A116" s="74"/>
      <c r="B116" s="74"/>
      <c r="C116" s="74"/>
      <c r="D116" s="74"/>
      <c r="E116" s="74"/>
      <c r="F116" s="74"/>
      <c r="G116" s="74"/>
      <c r="H116" s="74"/>
      <c r="I116" s="74"/>
      <c r="J116" s="74"/>
      <c r="K116" s="74"/>
      <c r="L116" s="78" t="s">
        <v>60</v>
      </c>
      <c r="M116" s="76">
        <f>'Gjensidige Pensjon'!B11-'Gjensidige Pensjon'!B12+'Gjensidige Pensjon'!B34-'Gjensidige Pensjon'!B35+'Gjensidige Pensjon'!B38-'Gjensidige Pensjon'!B39+'Gjensidige Pensjon'!B111-'Gjensidige Pensjon'!B119+'Gjensidige Pensjon'!B136-'Gjensidige Pensjon'!B137</f>
        <v>-55290</v>
      </c>
      <c r="N116" s="76">
        <f>'Gjensidige Pensjon'!C11-'Gjensidige Pensjon'!C12+'Gjensidige Pensjon'!C34-'Gjensidige Pensjon'!C35+'Gjensidige Pensjon'!C38-'Gjensidige Pensjon'!C39+'Gjensidige Pensjon'!C111-'Gjensidige Pensjon'!C119+'Gjensidige Pensjon'!C136-'Gjensidige Pensjon'!C137</f>
        <v>-1853</v>
      </c>
      <c r="O116" s="74"/>
      <c r="Q116" s="74"/>
    </row>
    <row r="117" spans="1:17" ht="18.75" customHeight="1" x14ac:dyDescent="0.35">
      <c r="A117" s="74"/>
      <c r="B117" s="74"/>
      <c r="C117" s="74"/>
      <c r="D117" s="74"/>
      <c r="E117" s="74"/>
      <c r="F117" s="74"/>
      <c r="G117" s="74"/>
      <c r="H117" s="74"/>
      <c r="I117" s="74"/>
      <c r="J117" s="74"/>
      <c r="K117" s="74"/>
      <c r="L117" s="78" t="s">
        <v>63</v>
      </c>
      <c r="M117" s="76">
        <f>KLP!B11-KLP!B12+KLP!B34-KLP!B35+KLP!B38-KLP!B39+KLP!B111-KLP!B119+KLP!B136-KLP!B137</f>
        <v>-4298472.7489999998</v>
      </c>
      <c r="N117" s="76">
        <f>KLP!C11-KLP!C12+KLP!C34-KLP!C35+KLP!C38-KLP!C39+KLP!C111-KLP!C119+KLP!C136-KLP!C137</f>
        <v>-8346122.3590000002</v>
      </c>
      <c r="O117" s="74"/>
    </row>
    <row r="118" spans="1:17" ht="18.75" customHeight="1" x14ac:dyDescent="0.35">
      <c r="A118" s="74"/>
      <c r="B118" s="74"/>
      <c r="C118" s="74"/>
      <c r="D118" s="74"/>
      <c r="E118" s="74"/>
      <c r="F118" s="74"/>
      <c r="G118" s="74"/>
      <c r="H118" s="74"/>
      <c r="I118" s="74"/>
      <c r="J118" s="74"/>
      <c r="K118" s="74"/>
      <c r="L118" s="74" t="s">
        <v>66</v>
      </c>
      <c r="M118" s="76">
        <f>'Nordea Liv '!B11-'Nordea Liv '!B12+'Nordea Liv '!B34-'Nordea Liv '!B35+'Nordea Liv '!B38-'Nordea Liv '!B39+'Nordea Liv '!B111-'Nordea Liv '!B119+'Nordea Liv '!B136-'Nordea Liv '!B137</f>
        <v>62384</v>
      </c>
      <c r="N118" s="76">
        <f>'Nordea Liv '!C11-'Nordea Liv '!C12+'Nordea Liv '!C34-'Nordea Liv '!C35+'Nordea Liv '!C38-'Nordea Liv '!C39+'Nordea Liv '!C111-'Nordea Liv '!C119+'Nordea Liv '!C136-'Nordea Liv '!C137</f>
        <v>1913</v>
      </c>
      <c r="O118" s="74"/>
    </row>
    <row r="119" spans="1:17" ht="18.75" customHeight="1" x14ac:dyDescent="0.35">
      <c r="A119" s="74"/>
      <c r="B119" s="74"/>
      <c r="C119" s="74"/>
      <c r="D119" s="74"/>
      <c r="E119" s="74"/>
      <c r="F119" s="74"/>
      <c r="G119" s="74"/>
      <c r="H119" s="74"/>
      <c r="I119" s="74"/>
      <c r="J119" s="74"/>
      <c r="K119" s="74"/>
      <c r="L119" s="74" t="s">
        <v>68</v>
      </c>
      <c r="M119" s="76">
        <f>'Sparebank 1'!B11-'Sparebank 1'!B12+'Sparebank 1'!B34-'Sparebank 1'!B35+'Sparebank 1'!B38-'Sparebank 1'!B39+'Sparebank 1'!B111-'Sparebank 1'!B119+'Sparebank 1'!B136-'Sparebank 1'!B137</f>
        <v>-14340.871080000004</v>
      </c>
      <c r="N119" s="76">
        <f>'Sparebank 1'!C11-'Sparebank 1'!C12+'Sparebank 1'!C34-'Sparebank 1'!C35+'Sparebank 1'!C38-'Sparebank 1'!C39+'Sparebank 1'!C111-'Sparebank 1'!C119+'Sparebank 1'!C136-'Sparebank 1'!C137</f>
        <v>-4756.5401499999971</v>
      </c>
      <c r="O119" s="74"/>
    </row>
    <row r="120" spans="1:17" ht="18.75" customHeight="1" x14ac:dyDescent="0.35">
      <c r="A120" s="74"/>
      <c r="B120" s="74"/>
      <c r="C120" s="74"/>
      <c r="D120" s="74"/>
      <c r="E120" s="74"/>
      <c r="F120" s="74"/>
      <c r="G120" s="74"/>
      <c r="H120" s="74"/>
      <c r="I120" s="74"/>
      <c r="J120" s="74"/>
      <c r="K120" s="74"/>
      <c r="L120" s="74" t="s">
        <v>69</v>
      </c>
      <c r="M120" s="76">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572543.80900000001</v>
      </c>
      <c r="N120" s="76">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6662972.6740000006</v>
      </c>
      <c r="O120" s="74"/>
    </row>
    <row r="121" spans="1:17" ht="18.75" customHeight="1" x14ac:dyDescent="0.35">
      <c r="A121" s="74"/>
      <c r="B121" s="74"/>
      <c r="C121" s="74"/>
      <c r="D121" s="74"/>
      <c r="E121" s="74"/>
      <c r="F121" s="74"/>
      <c r="G121" s="74"/>
      <c r="H121" s="74"/>
      <c r="I121" s="74"/>
      <c r="J121" s="74"/>
      <c r="K121" s="74"/>
      <c r="M121" s="76"/>
      <c r="N121" s="76"/>
      <c r="O121" s="74"/>
    </row>
    <row r="122" spans="1:17" ht="18.75" customHeight="1" x14ac:dyDescent="0.35">
      <c r="A122" s="74"/>
      <c r="B122" s="74"/>
      <c r="C122" s="74"/>
      <c r="D122" s="74"/>
      <c r="E122" s="74"/>
      <c r="F122" s="74"/>
      <c r="G122" s="74"/>
      <c r="H122" s="74"/>
      <c r="I122" s="74"/>
      <c r="J122" s="74"/>
      <c r="K122" s="74"/>
      <c r="M122" s="76"/>
      <c r="N122" s="76"/>
      <c r="O122" s="74"/>
    </row>
    <row r="123" spans="1:17" x14ac:dyDescent="0.35">
      <c r="A123" s="74"/>
      <c r="B123" s="74"/>
      <c r="C123" s="74"/>
      <c r="D123" s="74"/>
      <c r="E123" s="74"/>
      <c r="F123" s="74"/>
      <c r="G123" s="74"/>
      <c r="H123" s="74"/>
      <c r="I123" s="74"/>
      <c r="J123" s="74"/>
      <c r="K123" s="74"/>
      <c r="M123" s="76"/>
      <c r="N123" s="76"/>
      <c r="O123" s="74"/>
    </row>
    <row r="124" spans="1:17" x14ac:dyDescent="0.35">
      <c r="A124" s="74"/>
      <c r="B124" s="74"/>
      <c r="C124" s="74"/>
      <c r="D124" s="74"/>
      <c r="E124" s="74"/>
      <c r="F124" s="74"/>
      <c r="G124" s="74"/>
      <c r="H124" s="74"/>
      <c r="I124" s="74"/>
      <c r="J124" s="74"/>
      <c r="K124" s="74"/>
      <c r="M124" s="76"/>
      <c r="N124" s="76"/>
      <c r="O124" s="74"/>
    </row>
    <row r="125" spans="1:17" x14ac:dyDescent="0.35">
      <c r="A125" s="74"/>
      <c r="B125" s="74"/>
      <c r="C125" s="74"/>
      <c r="D125" s="74"/>
      <c r="E125" s="74"/>
      <c r="F125" s="74"/>
      <c r="G125" s="74"/>
      <c r="H125" s="74"/>
      <c r="I125" s="74"/>
      <c r="J125" s="74"/>
      <c r="K125" s="74"/>
      <c r="M125" s="76"/>
      <c r="N125" s="76"/>
      <c r="O125" s="74"/>
    </row>
    <row r="126" spans="1:17" x14ac:dyDescent="0.35">
      <c r="A126" s="74"/>
      <c r="B126" s="74"/>
      <c r="C126" s="74"/>
      <c r="D126" s="74"/>
      <c r="E126" s="74"/>
      <c r="F126" s="74"/>
      <c r="G126" s="74"/>
      <c r="H126" s="74"/>
      <c r="I126" s="74"/>
      <c r="J126" s="74"/>
      <c r="K126" s="74"/>
      <c r="M126" s="76"/>
      <c r="N126" s="76"/>
      <c r="O126" s="74"/>
    </row>
    <row r="127" spans="1:17" x14ac:dyDescent="0.35">
      <c r="A127" s="74"/>
      <c r="B127" s="74"/>
      <c r="C127" s="74"/>
      <c r="D127" s="74"/>
      <c r="E127" s="74"/>
      <c r="F127" s="74"/>
      <c r="G127" s="74"/>
      <c r="H127" s="74"/>
      <c r="I127" s="74"/>
      <c r="J127" s="74"/>
      <c r="K127" s="74"/>
      <c r="M127" s="76"/>
      <c r="N127" s="76"/>
      <c r="O127" s="74"/>
    </row>
    <row r="128" spans="1:17" x14ac:dyDescent="0.35">
      <c r="A128" s="74"/>
      <c r="B128" s="74"/>
      <c r="C128" s="74"/>
      <c r="D128" s="74"/>
      <c r="E128" s="74"/>
      <c r="F128" s="74"/>
      <c r="G128" s="74"/>
      <c r="H128" s="74"/>
      <c r="I128" s="74"/>
      <c r="J128" s="74"/>
      <c r="K128" s="74"/>
      <c r="O128" s="74"/>
    </row>
    <row r="129" spans="1:15" x14ac:dyDescent="0.35">
      <c r="A129" s="74"/>
      <c r="B129" s="74"/>
      <c r="C129" s="74"/>
      <c r="D129" s="74"/>
      <c r="E129" s="74"/>
      <c r="F129" s="74"/>
      <c r="G129" s="74"/>
      <c r="H129" s="74"/>
      <c r="I129" s="74"/>
      <c r="J129" s="74"/>
      <c r="K129" s="74"/>
      <c r="O129" s="74"/>
    </row>
    <row r="130" spans="1:15" x14ac:dyDescent="0.35">
      <c r="A130" s="75" t="s">
        <v>505</v>
      </c>
      <c r="B130" s="74"/>
      <c r="C130" s="74"/>
      <c r="D130" s="74"/>
      <c r="E130" s="74"/>
      <c r="F130" s="74"/>
      <c r="G130" s="74"/>
      <c r="H130" s="78"/>
      <c r="I130" s="74"/>
      <c r="J130" s="74"/>
      <c r="K130" s="74"/>
      <c r="O130" s="74"/>
    </row>
    <row r="131" spans="1:15" x14ac:dyDescent="0.35">
      <c r="B131" s="74"/>
      <c r="C131" s="74"/>
      <c r="D131" s="74"/>
      <c r="E131" s="74"/>
      <c r="F131" s="74"/>
      <c r="G131" s="74"/>
      <c r="H131" s="74"/>
      <c r="I131" s="74"/>
      <c r="J131" s="74"/>
      <c r="K131" s="74"/>
      <c r="O131" s="74"/>
    </row>
    <row r="132" spans="1:15" x14ac:dyDescent="0.35">
      <c r="A132" s="74"/>
      <c r="B132" s="74"/>
      <c r="C132" s="74"/>
      <c r="D132" s="74"/>
      <c r="E132" s="74"/>
      <c r="F132" s="74"/>
      <c r="G132" s="74"/>
      <c r="H132" s="74"/>
      <c r="I132" s="74"/>
      <c r="J132" s="74"/>
      <c r="K132" s="74"/>
      <c r="O132" s="74"/>
    </row>
    <row r="133" spans="1:15" x14ac:dyDescent="0.35">
      <c r="A133" s="74"/>
      <c r="B133" s="74"/>
      <c r="C133" s="74"/>
      <c r="D133" s="74"/>
      <c r="E133" s="74"/>
      <c r="F133" s="74"/>
      <c r="G133" s="74"/>
      <c r="H133" s="74"/>
      <c r="I133" s="74"/>
      <c r="J133" s="74"/>
      <c r="K133" s="74"/>
      <c r="O133" s="74"/>
    </row>
    <row r="134" spans="1:15" x14ac:dyDescent="0.35">
      <c r="A134" s="74"/>
      <c r="B134" s="74"/>
      <c r="C134" s="74"/>
      <c r="D134" s="74"/>
      <c r="E134" s="74"/>
      <c r="F134" s="74"/>
      <c r="G134" s="74"/>
      <c r="H134" s="74"/>
      <c r="I134" s="74"/>
      <c r="J134" s="74"/>
      <c r="K134" s="74"/>
      <c r="L134" s="78" t="s">
        <v>76</v>
      </c>
      <c r="O134" s="74"/>
    </row>
    <row r="135" spans="1:15" x14ac:dyDescent="0.35">
      <c r="A135" s="74"/>
      <c r="B135" s="74"/>
      <c r="C135" s="74"/>
      <c r="D135" s="74"/>
      <c r="E135" s="74"/>
      <c r="F135" s="74"/>
      <c r="G135" s="74"/>
      <c r="H135" s="74"/>
      <c r="I135" s="74"/>
      <c r="J135" s="74"/>
      <c r="K135" s="74"/>
      <c r="L135" s="74" t="s">
        <v>1</v>
      </c>
      <c r="O135" s="74"/>
    </row>
    <row r="136" spans="1:15" x14ac:dyDescent="0.35">
      <c r="A136" s="74"/>
      <c r="B136" s="74"/>
      <c r="C136" s="74"/>
      <c r="D136" s="74"/>
      <c r="E136" s="74"/>
      <c r="F136" s="74"/>
      <c r="G136" s="74"/>
      <c r="H136" s="74"/>
      <c r="I136" s="74"/>
      <c r="J136" s="74"/>
      <c r="K136" s="74"/>
      <c r="M136" s="74">
        <f>M6</f>
        <v>2020</v>
      </c>
      <c r="N136" s="74">
        <f>N6</f>
        <v>2021</v>
      </c>
      <c r="O136" s="74"/>
    </row>
    <row r="137" spans="1:15" x14ac:dyDescent="0.35">
      <c r="A137" s="74"/>
      <c r="B137" s="74"/>
      <c r="C137" s="74"/>
      <c r="D137" s="74"/>
      <c r="E137" s="74"/>
      <c r="F137" s="74"/>
      <c r="G137" s="74"/>
      <c r="H137" s="74"/>
      <c r="I137" s="74"/>
      <c r="J137" s="74"/>
      <c r="K137" s="74"/>
      <c r="L137" s="74" t="s">
        <v>54</v>
      </c>
      <c r="M137" s="76">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119419.5</v>
      </c>
      <c r="N137" s="76">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587775.53799999971</v>
      </c>
      <c r="O137" s="74"/>
    </row>
    <row r="138" spans="1:15" x14ac:dyDescent="0.35">
      <c r="A138" s="74"/>
      <c r="B138" s="74"/>
      <c r="C138" s="74"/>
      <c r="D138" s="74"/>
      <c r="E138" s="74"/>
      <c r="F138" s="74"/>
      <c r="G138" s="74"/>
      <c r="H138" s="74"/>
      <c r="I138" s="74"/>
      <c r="J138" s="74"/>
      <c r="K138" s="74"/>
      <c r="L138" s="74" t="s">
        <v>491</v>
      </c>
      <c r="M138" s="76">
        <f>'DNB Bedriftspensjon'!F11-'DNB Bedriftspensjon'!F12+'DNB Bedriftspensjon'!F34-'DNB Bedriftspensjon'!F35+'DNB Bedriftspensjon'!F38-'DNB Bedriftspensjon'!F39+'DNB Bedriftspensjon'!F111-'DNB Bedriftspensjon'!F119+'DNB Bedriftspensjon'!F136-'DNB Bedriftspensjon'!F137</f>
        <v>143940</v>
      </c>
      <c r="N138" s="76">
        <f>'DNB Bedriftspensjon'!G11-'DNB Bedriftspensjon'!G12+'DNB Bedriftspensjon'!G34-'DNB Bedriftspensjon'!G35+'DNB Bedriftspensjon'!G38-'DNB Bedriftspensjon'!G39+'DNB Bedriftspensjon'!G111-'DNB Bedriftspensjon'!G119+'DNB Bedriftspensjon'!G136-'DNB Bedriftspensjon'!G137</f>
        <v>0</v>
      </c>
      <c r="O138" s="74"/>
    </row>
    <row r="139" spans="1:15" x14ac:dyDescent="0.35">
      <c r="A139" s="74"/>
      <c r="B139" s="74"/>
      <c r="C139" s="74"/>
      <c r="D139" s="74"/>
      <c r="E139" s="74"/>
      <c r="F139" s="74"/>
      <c r="G139" s="74"/>
      <c r="H139" s="74"/>
      <c r="I139" s="74"/>
      <c r="J139" s="74"/>
      <c r="K139" s="74"/>
      <c r="L139" s="74" t="s">
        <v>55</v>
      </c>
      <c r="M139" s="76">
        <f>'DNB Livsforsikring'!F11-'DNB Livsforsikring'!F12+'DNB Livsforsikring'!F34-'DNB Livsforsikring'!F35+'DNB Livsforsikring'!F38-'DNB Livsforsikring'!F39+'DNB Livsforsikring'!F111-'DNB Livsforsikring'!F119+'DNB Livsforsikring'!F136-'DNB Livsforsikring'!F137</f>
        <v>-3431819</v>
      </c>
      <c r="N139" s="76">
        <f>'DNB Livsforsikring'!G11-'DNB Livsforsikring'!G12+'DNB Livsforsikring'!G34-'DNB Livsforsikring'!G35+'DNB Livsforsikring'!G38-'DNB Livsforsikring'!G39+'DNB Livsforsikring'!G111-'DNB Livsforsikring'!G119+'DNB Livsforsikring'!G136-'DNB Livsforsikring'!G137</f>
        <v>-1350455</v>
      </c>
      <c r="O139" s="74"/>
    </row>
    <row r="140" spans="1:15" x14ac:dyDescent="0.35">
      <c r="A140" s="74"/>
      <c r="B140" s="74"/>
      <c r="C140" s="74"/>
      <c r="D140" s="74"/>
      <c r="E140" s="74"/>
      <c r="F140" s="74"/>
      <c r="G140" s="74"/>
      <c r="H140" s="74"/>
      <c r="I140" s="74"/>
      <c r="J140" s="74"/>
      <c r="K140" s="74"/>
      <c r="L140" s="74" t="s">
        <v>57</v>
      </c>
      <c r="M140" s="76">
        <f>'Frende Livsforsikring'!F11-'Frende Livsforsikring'!F12+'Frende Livsforsikring'!F34-'Frende Livsforsikring'!F35+'Frende Livsforsikring'!F38-'Frende Livsforsikring'!F39+'Frende Livsforsikring'!F111-'Frende Livsforsikring'!F119+'Frende Livsforsikring'!F136-'Frende Livsforsikring'!F137</f>
        <v>-4640062</v>
      </c>
      <c r="N140" s="76">
        <f>'Frende Livsforsikring'!G11-'Frende Livsforsikring'!G12+'Frende Livsforsikring'!G34-'Frende Livsforsikring'!G35+'Frende Livsforsikring'!G38-'Frende Livsforsikring'!G39+'Frende Livsforsikring'!G111-'Frende Livsforsikring'!G119+'Frende Livsforsikring'!G136-'Frende Livsforsikring'!G137</f>
        <v>0</v>
      </c>
      <c r="O140" s="74"/>
    </row>
    <row r="141" spans="1:15" x14ac:dyDescent="0.35">
      <c r="A141" s="74"/>
      <c r="B141" s="74"/>
      <c r="C141" s="74"/>
      <c r="D141" s="74"/>
      <c r="E141" s="74"/>
      <c r="F141" s="74"/>
      <c r="G141" s="74"/>
      <c r="H141" s="74"/>
      <c r="I141" s="74"/>
      <c r="J141" s="74"/>
      <c r="K141" s="74"/>
      <c r="L141" s="78" t="s">
        <v>60</v>
      </c>
      <c r="M141" s="76">
        <f>'Gjensidige Pensjon'!F11-'Gjensidige Pensjon'!F12+'Gjensidige Pensjon'!F34-'Gjensidige Pensjon'!F35+'Gjensidige Pensjon'!F38-'Gjensidige Pensjon'!F39+'Gjensidige Pensjon'!F111-'Gjensidige Pensjon'!F119+'Gjensidige Pensjon'!F136-'Gjensidige Pensjon'!F137</f>
        <v>-914343</v>
      </c>
      <c r="N141" s="76">
        <f>'Gjensidige Pensjon'!G11-'Gjensidige Pensjon'!G12+'Gjensidige Pensjon'!G34-'Gjensidige Pensjon'!G35+'Gjensidige Pensjon'!G38-'Gjensidige Pensjon'!G39+'Gjensidige Pensjon'!G111-'Gjensidige Pensjon'!G119+'Gjensidige Pensjon'!G136-'Gjensidige Pensjon'!G137</f>
        <v>671451</v>
      </c>
      <c r="O141" s="74"/>
    </row>
    <row r="142" spans="1:15" x14ac:dyDescent="0.35">
      <c r="A142" s="74"/>
      <c r="B142" s="74"/>
      <c r="C142" s="74"/>
      <c r="D142" s="74"/>
      <c r="E142" s="74"/>
      <c r="F142" s="74"/>
      <c r="G142" s="74"/>
      <c r="H142" s="74"/>
      <c r="I142" s="74"/>
      <c r="J142" s="74"/>
      <c r="K142" s="74"/>
      <c r="L142" s="74" t="s">
        <v>63</v>
      </c>
      <c r="M142" s="76">
        <f>KLP!F11-KLP!F12+KLP!F34-KLP!F35+KLP!F38-KLP!F39+KLP!F111-KLP!F119+KLP!F136-KLP!F137</f>
        <v>-507465.17200000002</v>
      </c>
      <c r="N142" s="76">
        <f>KLP!G11-KLP!G12+KLP!G34-KLP!G35+KLP!G38-KLP!G39+KLP!G111-KLP!G119+KLP!G136-KLP!G137</f>
        <v>0</v>
      </c>
      <c r="O142" s="74"/>
    </row>
    <row r="143" spans="1:15" x14ac:dyDescent="0.35">
      <c r="A143" s="74"/>
      <c r="B143" s="74"/>
      <c r="C143" s="74"/>
      <c r="D143" s="74"/>
      <c r="E143" s="74"/>
      <c r="F143" s="74"/>
      <c r="G143" s="74"/>
      <c r="H143" s="74"/>
      <c r="I143" s="74"/>
      <c r="J143" s="74"/>
      <c r="K143" s="74"/>
      <c r="L143" s="74" t="s">
        <v>66</v>
      </c>
      <c r="M143" s="76">
        <f>'Nordea Liv '!F11-'Nordea Liv '!F12+'Nordea Liv '!F34-'Nordea Liv '!F35+'Nordea Liv '!F38-'Nordea Liv '!F39+'Nordea Liv '!F111-'Nordea Liv '!F119+'Nordea Liv '!F136-'Nordea Liv '!F137</f>
        <v>8176088.129999999</v>
      </c>
      <c r="N143" s="76">
        <f>'Nordea Liv '!G11-'Nordea Liv '!G12+'Nordea Liv '!G34-'Nordea Liv '!G35+'Nordea Liv '!G38-'Nordea Liv '!G39+'Nordea Liv '!G111-'Nordea Liv '!G119+'Nordea Liv '!G136-'Nordea Liv '!G137</f>
        <v>638296</v>
      </c>
      <c r="O143" s="74"/>
    </row>
    <row r="144" spans="1:15" x14ac:dyDescent="0.35">
      <c r="A144" s="74"/>
      <c r="B144" s="74"/>
      <c r="C144" s="74"/>
      <c r="D144" s="74"/>
      <c r="E144" s="74"/>
      <c r="F144" s="74"/>
      <c r="G144" s="74"/>
      <c r="H144" s="74"/>
      <c r="I144" s="74"/>
      <c r="J144" s="74"/>
      <c r="K144" s="74"/>
      <c r="L144" s="74" t="s">
        <v>72</v>
      </c>
      <c r="M144" s="76">
        <f>'SHB Liv'!F11-'SHB Liv'!F12+'SHB Liv'!F34-'SHB Liv'!F35+'SHB Liv'!F38-'SHB Liv'!F39+'SHB Liv'!F111-'SHB Liv'!F119+'SHB Liv'!F136-'SHB Liv'!F137</f>
        <v>82451.075599999996</v>
      </c>
      <c r="N144" s="76">
        <f>'SHB Liv'!G11-'SHB Liv'!G12+'SHB Liv'!G34-'SHB Liv'!G35+'SHB Liv'!G38-'SHB Liv'!G39+'SHB Liv'!G111-'SHB Liv'!G119+'SHB Liv'!G136-'SHB Liv'!G137</f>
        <v>-166180.45599999998</v>
      </c>
      <c r="O144" s="74"/>
    </row>
    <row r="145" spans="1:15" x14ac:dyDescent="0.35">
      <c r="A145" s="74"/>
      <c r="B145" s="74"/>
      <c r="C145" s="74"/>
      <c r="D145" s="74"/>
      <c r="E145" s="74"/>
      <c r="F145" s="74"/>
      <c r="G145" s="74"/>
      <c r="H145" s="74"/>
      <c r="I145" s="74"/>
      <c r="J145" s="74"/>
      <c r="K145" s="74"/>
      <c r="L145" s="74" t="s">
        <v>68</v>
      </c>
      <c r="M145" s="76">
        <f>'Sparebank 1'!F11-'Sparebank 1'!F12+'Sparebank 1'!F34-'Sparebank 1'!F35+'Sparebank 1'!F38-'Sparebank 1'!F39+'Sparebank 1'!F111-'Sparebank 1'!F119+'Sparebank 1'!F136-'Sparebank 1'!F137</f>
        <v>-162317.0085</v>
      </c>
      <c r="N145" s="76">
        <f>'Sparebank 1'!G11-'Sparebank 1'!G12+'Sparebank 1'!G34-'Sparebank 1'!G35+'Sparebank 1'!G38-'Sparebank 1'!G39+'Sparebank 1'!G111-'Sparebank 1'!G119+'Sparebank 1'!G136-'Sparebank 1'!G137</f>
        <v>2226185.1658699987</v>
      </c>
      <c r="O145" s="74"/>
    </row>
    <row r="146" spans="1:15" x14ac:dyDescent="0.35">
      <c r="A146" s="74"/>
      <c r="B146" s="74"/>
      <c r="C146" s="74"/>
      <c r="D146" s="74"/>
      <c r="E146" s="74"/>
      <c r="F146" s="74"/>
      <c r="G146" s="74"/>
      <c r="H146" s="74"/>
      <c r="I146" s="74"/>
      <c r="J146" s="74"/>
      <c r="K146" s="74"/>
      <c r="L146" s="74" t="s">
        <v>73</v>
      </c>
      <c r="M146" s="76">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507642.65799999982</v>
      </c>
      <c r="N146" s="76">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-9298668.8359999992</v>
      </c>
      <c r="O146" s="74"/>
    </row>
    <row r="147" spans="1:15" x14ac:dyDescent="0.35">
      <c r="A147" s="74"/>
      <c r="B147" s="74"/>
      <c r="C147" s="74"/>
      <c r="D147" s="74"/>
      <c r="E147" s="74"/>
      <c r="F147" s="74"/>
      <c r="G147" s="74"/>
      <c r="H147" s="74"/>
      <c r="I147" s="74"/>
      <c r="J147" s="74"/>
      <c r="K147" s="74"/>
      <c r="O147" s="74"/>
    </row>
    <row r="148" spans="1:15" x14ac:dyDescent="0.35">
      <c r="A148" s="74"/>
      <c r="B148" s="74"/>
      <c r="C148" s="74"/>
      <c r="D148" s="74"/>
      <c r="E148" s="74"/>
      <c r="F148" s="74"/>
      <c r="G148" s="74"/>
      <c r="H148" s="74"/>
      <c r="I148" s="74"/>
      <c r="J148" s="74"/>
      <c r="K148" s="74"/>
      <c r="O148" s="74"/>
    </row>
    <row r="149" spans="1:15" x14ac:dyDescent="0.35">
      <c r="A149" s="74"/>
      <c r="B149" s="74"/>
      <c r="C149" s="74"/>
      <c r="D149" s="74"/>
      <c r="E149" s="74"/>
      <c r="F149" s="74"/>
      <c r="G149" s="74"/>
      <c r="H149" s="74"/>
      <c r="I149" s="74"/>
      <c r="J149" s="74"/>
      <c r="K149" s="74"/>
      <c r="O149" s="74"/>
    </row>
    <row r="150" spans="1:15" x14ac:dyDescent="0.35">
      <c r="A150" s="74"/>
      <c r="B150" s="74"/>
      <c r="C150" s="74"/>
      <c r="D150" s="74"/>
      <c r="E150" s="74"/>
      <c r="F150" s="74"/>
      <c r="G150" s="74"/>
      <c r="H150" s="74"/>
      <c r="I150" s="74"/>
      <c r="J150" s="74"/>
      <c r="K150" s="74"/>
      <c r="O150" s="74"/>
    </row>
    <row r="151" spans="1:15" x14ac:dyDescent="0.35">
      <c r="A151" s="74"/>
      <c r="B151" s="74"/>
      <c r="C151" s="74"/>
      <c r="D151" s="74"/>
      <c r="E151" s="74"/>
      <c r="F151" s="74"/>
      <c r="G151" s="74"/>
      <c r="H151" s="74"/>
      <c r="I151" s="74"/>
      <c r="J151" s="74"/>
      <c r="K151" s="74"/>
      <c r="O151" s="74"/>
    </row>
    <row r="152" spans="1:15" x14ac:dyDescent="0.35">
      <c r="A152" s="74"/>
      <c r="B152" s="74"/>
      <c r="C152" s="74"/>
      <c r="D152" s="74"/>
      <c r="E152" s="74"/>
      <c r="F152" s="74"/>
      <c r="G152" s="74"/>
      <c r="H152" s="74"/>
      <c r="I152" s="74"/>
      <c r="J152" s="74"/>
      <c r="K152" s="74"/>
      <c r="O152" s="74"/>
    </row>
    <row r="153" spans="1:15" x14ac:dyDescent="0.35">
      <c r="A153" s="74"/>
      <c r="B153" s="74"/>
      <c r="C153" s="74"/>
      <c r="D153" s="74"/>
      <c r="E153" s="74"/>
      <c r="F153" s="74"/>
      <c r="G153" s="74"/>
      <c r="H153" s="74"/>
      <c r="I153" s="74"/>
      <c r="J153" s="74"/>
      <c r="K153" s="74"/>
      <c r="O153" s="74"/>
    </row>
    <row r="154" spans="1:15" x14ac:dyDescent="0.35">
      <c r="O154" s="74"/>
    </row>
    <row r="155" spans="1:15" x14ac:dyDescent="0.35">
      <c r="O155" s="74"/>
    </row>
    <row r="156" spans="1:15" x14ac:dyDescent="0.35">
      <c r="O156" s="74"/>
    </row>
    <row r="157" spans="1:15" x14ac:dyDescent="0.35">
      <c r="O157" s="74"/>
    </row>
    <row r="158" spans="1:15" x14ac:dyDescent="0.35">
      <c r="O158" s="74"/>
    </row>
    <row r="159" spans="1:15" x14ac:dyDescent="0.35">
      <c r="O159" s="74"/>
    </row>
    <row r="160" spans="1:15" x14ac:dyDescent="0.35">
      <c r="O160" s="74"/>
    </row>
    <row r="161" spans="1:15" x14ac:dyDescent="0.35">
      <c r="O161" s="74"/>
    </row>
    <row r="162" spans="1:15" x14ac:dyDescent="0.35">
      <c r="O162" s="74"/>
    </row>
    <row r="163" spans="1:15" x14ac:dyDescent="0.35">
      <c r="O163" s="74"/>
    </row>
    <row r="164" spans="1:15" x14ac:dyDescent="0.35">
      <c r="O164" s="74"/>
    </row>
    <row r="165" spans="1:15" x14ac:dyDescent="0.35">
      <c r="O165" s="74"/>
    </row>
    <row r="166" spans="1:15" x14ac:dyDescent="0.35">
      <c r="O166" s="74"/>
    </row>
    <row r="167" spans="1:15" x14ac:dyDescent="0.35">
      <c r="O167" s="74"/>
    </row>
    <row r="168" spans="1:15" x14ac:dyDescent="0.35">
      <c r="O168" s="74"/>
    </row>
    <row r="169" spans="1:15" x14ac:dyDescent="0.35">
      <c r="O169" s="74"/>
    </row>
    <row r="170" spans="1:15" x14ac:dyDescent="0.35">
      <c r="A170" s="74"/>
      <c r="B170" s="74"/>
      <c r="C170" s="74"/>
      <c r="D170" s="74"/>
      <c r="E170" s="74"/>
      <c r="F170" s="74"/>
      <c r="G170" s="74"/>
      <c r="H170" s="74"/>
      <c r="I170" s="74"/>
      <c r="J170" s="74"/>
      <c r="K170" s="74"/>
      <c r="O170" s="74"/>
    </row>
    <row r="171" spans="1:15" x14ac:dyDescent="0.35">
      <c r="A171" s="74"/>
      <c r="B171" s="74"/>
      <c r="C171" s="74"/>
      <c r="D171" s="74"/>
      <c r="E171" s="74"/>
      <c r="F171" s="74"/>
      <c r="G171" s="74"/>
      <c r="H171" s="74"/>
      <c r="I171" s="74"/>
      <c r="J171" s="74"/>
      <c r="K171" s="74"/>
      <c r="O171" s="74"/>
    </row>
    <row r="172" spans="1:15" x14ac:dyDescent="0.35">
      <c r="A172" s="74"/>
      <c r="B172" s="74"/>
      <c r="C172" s="74"/>
      <c r="D172" s="74"/>
      <c r="E172" s="74"/>
      <c r="F172" s="74"/>
      <c r="G172" s="74"/>
      <c r="H172" s="74"/>
      <c r="I172" s="74"/>
      <c r="J172" s="74"/>
      <c r="K172" s="74"/>
      <c r="O172" s="74"/>
    </row>
    <row r="173" spans="1:15" x14ac:dyDescent="0.35">
      <c r="A173" s="74"/>
      <c r="B173" s="74"/>
      <c r="C173" s="74"/>
      <c r="D173" s="74"/>
      <c r="E173" s="74"/>
      <c r="F173" s="74"/>
      <c r="G173" s="74"/>
      <c r="H173" s="74"/>
      <c r="I173" s="74"/>
      <c r="J173" s="74"/>
      <c r="K173" s="74"/>
      <c r="O173" s="74"/>
    </row>
    <row r="174" spans="1:15" x14ac:dyDescent="0.35">
      <c r="A174" s="74"/>
      <c r="B174" s="74"/>
      <c r="C174" s="74"/>
      <c r="D174" s="74"/>
      <c r="E174" s="74"/>
      <c r="F174" s="74"/>
      <c r="G174" s="74"/>
      <c r="H174" s="74"/>
      <c r="I174" s="74"/>
      <c r="J174" s="74"/>
      <c r="K174" s="74"/>
      <c r="O174" s="74"/>
    </row>
    <row r="175" spans="1:15" x14ac:dyDescent="0.35">
      <c r="A175" s="74"/>
      <c r="B175" s="74"/>
      <c r="C175" s="74"/>
      <c r="D175" s="74"/>
      <c r="E175" s="74"/>
      <c r="F175" s="74"/>
      <c r="G175" s="74"/>
      <c r="H175" s="74"/>
      <c r="I175" s="74"/>
      <c r="J175" s="74"/>
      <c r="K175" s="74"/>
      <c r="O175" s="74"/>
    </row>
    <row r="176" spans="1:15" x14ac:dyDescent="0.35">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topLeftCell="A91" zoomScaleNormal="100" workbookViewId="0">
      <selection activeCell="C110" sqref="C110"/>
    </sheetView>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134</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714277.73199999996</v>
      </c>
      <c r="C7" s="304">
        <v>781497.89300000004</v>
      </c>
      <c r="D7" s="345">
        <f t="shared" ref="D7:D10" si="0">IF(B7=0, "    ---- ", IF(ABS(ROUND(100/B7*C7-100,1))&lt;999,ROUND(100/B7*C7-100,1),IF(ROUND(100/B7*C7-100,1)&gt;999,999,-999)))</f>
        <v>9.4</v>
      </c>
      <c r="E7" s="11">
        <f>IFERROR(100/'Skjema total MA'!C7*C7,0)</f>
        <v>15.879586147400786</v>
      </c>
      <c r="F7" s="303">
        <v>1477997.915</v>
      </c>
      <c r="G7" s="304">
        <v>1677692.3089999999</v>
      </c>
      <c r="H7" s="345">
        <f t="shared" ref="H7:H12" si="1">IF(F7=0, "    ---- ", IF(ABS(ROUND(100/F7*G7-100,1))&lt;999,ROUND(100/F7*G7-100,1),IF(ROUND(100/F7*G7-100,1)&gt;999,999,-999)))</f>
        <v>13.5</v>
      </c>
      <c r="I7" s="159">
        <f>IFERROR(100/'Skjema total MA'!F7*G7,0)</f>
        <v>11.383831600531536</v>
      </c>
      <c r="J7" s="305">
        <f t="shared" ref="J7:K12" si="2">SUM(B7,F7)</f>
        <v>2192275.6469999999</v>
      </c>
      <c r="K7" s="306">
        <f t="shared" si="2"/>
        <v>2459190.202</v>
      </c>
      <c r="L7" s="421">
        <f t="shared" ref="L7:L12" si="3">IF(J7=0, "    ---- ", IF(ABS(ROUND(100/J7*K7-100,1))&lt;999,ROUND(100/J7*K7-100,1),IF(ROUND(100/J7*K7-100,1)&gt;999,999,-999)))</f>
        <v>12.2</v>
      </c>
      <c r="M7" s="11">
        <f>IFERROR(100/'Skjema total MA'!I7*K7,0)</f>
        <v>12.509296601444877</v>
      </c>
    </row>
    <row r="8" spans="1:14" ht="15.6" x14ac:dyDescent="0.25">
      <c r="A8" s="21" t="s">
        <v>25</v>
      </c>
      <c r="B8" s="278">
        <v>276364.62800000003</v>
      </c>
      <c r="C8" s="279">
        <v>356557.69900000002</v>
      </c>
      <c r="D8" s="165">
        <f t="shared" si="0"/>
        <v>29</v>
      </c>
      <c r="E8" s="27">
        <f>IFERROR(100/'Skjema total MA'!C8*C8,0)</f>
        <v>11.008152355487688</v>
      </c>
      <c r="F8" s="282"/>
      <c r="G8" s="283"/>
      <c r="H8" s="165"/>
      <c r="I8" s="174"/>
      <c r="J8" s="232">
        <f t="shared" si="2"/>
        <v>276364.62800000003</v>
      </c>
      <c r="K8" s="284">
        <f t="shared" si="2"/>
        <v>356557.69900000002</v>
      </c>
      <c r="L8" s="165">
        <f t="shared" si="3"/>
        <v>29</v>
      </c>
      <c r="M8" s="27">
        <f>IFERROR(100/'Skjema total MA'!I8*K8,0)</f>
        <v>11.008152355487688</v>
      </c>
    </row>
    <row r="9" spans="1:14" ht="15.6" x14ac:dyDescent="0.25">
      <c r="A9" s="21" t="s">
        <v>24</v>
      </c>
      <c r="B9" s="278">
        <v>58622.487999999998</v>
      </c>
      <c r="C9" s="279">
        <v>55439.631000000001</v>
      </c>
      <c r="D9" s="165">
        <f t="shared" si="0"/>
        <v>-5.4</v>
      </c>
      <c r="E9" s="27">
        <f>IFERROR(100/'Skjema total MA'!C9*C9,0)</f>
        <v>5.5602333025043178</v>
      </c>
      <c r="F9" s="282"/>
      <c r="G9" s="283"/>
      <c r="H9" s="165"/>
      <c r="I9" s="174"/>
      <c r="J9" s="232">
        <f t="shared" si="2"/>
        <v>58622.487999999998</v>
      </c>
      <c r="K9" s="284">
        <f t="shared" si="2"/>
        <v>55439.631000000001</v>
      </c>
      <c r="L9" s="165">
        <f t="shared" si="3"/>
        <v>-5.4</v>
      </c>
      <c r="M9" s="27">
        <f>IFERROR(100/'Skjema total MA'!I9*K9,0)</f>
        <v>5.5602333025043178</v>
      </c>
    </row>
    <row r="10" spans="1:14" ht="15.6" x14ac:dyDescent="0.25">
      <c r="A10" s="13" t="s">
        <v>444</v>
      </c>
      <c r="B10" s="307">
        <v>4055092.72</v>
      </c>
      <c r="C10" s="308">
        <v>4136361.9980000001</v>
      </c>
      <c r="D10" s="170">
        <f t="shared" si="0"/>
        <v>2</v>
      </c>
      <c r="E10" s="11">
        <f>IFERROR(100/'Skjema total MA'!C10*C10,0)</f>
        <v>21.928772967459327</v>
      </c>
      <c r="F10" s="307">
        <v>9082091.9360000007</v>
      </c>
      <c r="G10" s="308">
        <v>10991542.947000001</v>
      </c>
      <c r="H10" s="170">
        <f t="shared" si="1"/>
        <v>21</v>
      </c>
      <c r="I10" s="159">
        <f>IFERROR(100/'Skjema total MA'!F10*G10,0)</f>
        <v>14.214836982813429</v>
      </c>
      <c r="J10" s="305">
        <f t="shared" si="2"/>
        <v>13137184.656000001</v>
      </c>
      <c r="K10" s="306">
        <f t="shared" si="2"/>
        <v>15127904.945</v>
      </c>
      <c r="L10" s="422">
        <f t="shared" si="3"/>
        <v>15.2</v>
      </c>
      <c r="M10" s="11">
        <f>IFERROR(100/'Skjema total MA'!I10*K10,0)</f>
        <v>15.727573054359095</v>
      </c>
    </row>
    <row r="11" spans="1:14" s="43" customFormat="1" ht="15.6" x14ac:dyDescent="0.25">
      <c r="A11" s="13" t="s">
        <v>445</v>
      </c>
      <c r="B11" s="307"/>
      <c r="C11" s="308"/>
      <c r="D11" s="170"/>
      <c r="E11" s="11"/>
      <c r="F11" s="307">
        <v>19082.621999999999</v>
      </c>
      <c r="G11" s="308">
        <v>13551.844999999999</v>
      </c>
      <c r="H11" s="170">
        <f t="shared" si="1"/>
        <v>-29</v>
      </c>
      <c r="I11" s="159">
        <f>IFERROR(100/'Skjema total MA'!F11*G11,0)</f>
        <v>2.023046569201234</v>
      </c>
      <c r="J11" s="305">
        <f t="shared" si="2"/>
        <v>19082.621999999999</v>
      </c>
      <c r="K11" s="306">
        <f t="shared" si="2"/>
        <v>13551.844999999999</v>
      </c>
      <c r="L11" s="422">
        <f t="shared" si="3"/>
        <v>-29</v>
      </c>
      <c r="M11" s="11">
        <f>IFERROR(100/'Skjema total MA'!I11*K11,0)</f>
        <v>1.7737584778393671</v>
      </c>
      <c r="N11" s="142"/>
    </row>
    <row r="12" spans="1:14" s="43" customFormat="1" ht="15.6" x14ac:dyDescent="0.25">
      <c r="A12" s="41" t="s">
        <v>446</v>
      </c>
      <c r="B12" s="309"/>
      <c r="C12" s="310"/>
      <c r="D12" s="168"/>
      <c r="E12" s="36"/>
      <c r="F12" s="309">
        <v>27061.306</v>
      </c>
      <c r="G12" s="310">
        <v>30250.344000000001</v>
      </c>
      <c r="H12" s="168">
        <f t="shared" si="1"/>
        <v>11.8</v>
      </c>
      <c r="I12" s="168">
        <f>IFERROR(100/'Skjema total MA'!F12*G12,0)</f>
        <v>16.914357653097586</v>
      </c>
      <c r="J12" s="311">
        <f t="shared" si="2"/>
        <v>27061.306</v>
      </c>
      <c r="K12" s="312">
        <f t="shared" si="2"/>
        <v>30250.344000000001</v>
      </c>
      <c r="L12" s="423">
        <f t="shared" si="3"/>
        <v>11.8</v>
      </c>
      <c r="M12" s="36">
        <f>IFERROR(100/'Skjema total MA'!I12*K12,0)</f>
        <v>16.262473571728687</v>
      </c>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v>8491.3340000000007</v>
      </c>
      <c r="C22" s="307">
        <v>7655.3639999999996</v>
      </c>
      <c r="D22" s="345">
        <f t="shared" ref="D22:D37" si="4">IF(B22=0, "    ---- ", IF(ABS(ROUND(100/B22*C22-100,1))&lt;999,ROUND(100/B22*C22-100,1),IF(ROUND(100/B22*C22-100,1)&gt;999,999,-999)))</f>
        <v>-9.8000000000000007</v>
      </c>
      <c r="E22" s="11">
        <f>IFERROR(100/'Skjema total MA'!C22*C22,0)</f>
        <v>0.39635710279795044</v>
      </c>
      <c r="F22" s="315">
        <v>429508.15899999999</v>
      </c>
      <c r="G22" s="315">
        <v>510839.83600000001</v>
      </c>
      <c r="H22" s="345">
        <f t="shared" ref="H22:H35" si="5">IF(F22=0, "    ---- ", IF(ABS(ROUND(100/F22*G22-100,1))&lt;999,ROUND(100/F22*G22-100,1),IF(ROUND(100/F22*G22-100,1)&gt;999,999,-999)))</f>
        <v>18.899999999999999</v>
      </c>
      <c r="I22" s="11">
        <f>IFERROR(100/'Skjema total MA'!F22*G22,0)</f>
        <v>29.771233237941988</v>
      </c>
      <c r="J22" s="313">
        <f t="shared" ref="J22:J37" si="6">SUM(B22,F22)</f>
        <v>437999.49299999996</v>
      </c>
      <c r="K22" s="313">
        <f t="shared" ref="K22:K37" si="7">SUM(C22,G22)</f>
        <v>518495.2</v>
      </c>
      <c r="L22" s="421">
        <f t="shared" ref="L22:L35" si="8">IF(J22=0, "    ---- ", IF(ABS(ROUND(100/J22*K22-100,1))&lt;999,ROUND(100/J22*K22-100,1),IF(ROUND(100/J22*K22-100,1)&gt;999,999,-999)))</f>
        <v>18.399999999999999</v>
      </c>
      <c r="M22" s="24">
        <f>IFERROR(100/'Skjema total MA'!I22*K22,0)</f>
        <v>14.215805171955321</v>
      </c>
    </row>
    <row r="23" spans="1:14" ht="15.6" x14ac:dyDescent="0.25">
      <c r="A23" s="782" t="s">
        <v>447</v>
      </c>
      <c r="B23" s="278">
        <v>1138.817</v>
      </c>
      <c r="C23" s="278">
        <v>1085.163</v>
      </c>
      <c r="D23" s="165">
        <f t="shared" si="4"/>
        <v>-4.7</v>
      </c>
      <c r="E23" s="11">
        <f>IFERROR(100/'Skjema total MA'!C23*C23,0)</f>
        <v>9.7830113510404521E-2</v>
      </c>
      <c r="F23" s="287">
        <v>21541.452000000001</v>
      </c>
      <c r="G23" s="287">
        <v>61397.754130000001</v>
      </c>
      <c r="H23" s="165">
        <f t="shared" si="5"/>
        <v>185</v>
      </c>
      <c r="I23" s="411">
        <f>IFERROR(100/'Skjema total MA'!F23*G23,0)</f>
        <v>29.900291441491429</v>
      </c>
      <c r="J23" s="287">
        <f t="shared" si="6"/>
        <v>22680.269</v>
      </c>
      <c r="K23" s="287">
        <f t="shared" si="7"/>
        <v>62482.917130000002</v>
      </c>
      <c r="L23" s="165">
        <f t="shared" si="8"/>
        <v>175.5</v>
      </c>
      <c r="M23" s="23">
        <f>IFERROR(100/'Skjema total MA'!I23*K23,0)</f>
        <v>4.753093377534654</v>
      </c>
    </row>
    <row r="24" spans="1:14" ht="15.6" x14ac:dyDescent="0.25">
      <c r="A24" s="782" t="s">
        <v>448</v>
      </c>
      <c r="B24" s="278">
        <v>7352.5169999999998</v>
      </c>
      <c r="C24" s="278">
        <v>6570.201</v>
      </c>
      <c r="D24" s="165">
        <f t="shared" si="4"/>
        <v>-10.6</v>
      </c>
      <c r="E24" s="11">
        <f>IFERROR(100/'Skjema total MA'!C24*C24,0)</f>
        <v>27.249737545614298</v>
      </c>
      <c r="F24" s="287">
        <v>0</v>
      </c>
      <c r="G24" s="287">
        <v>0.95399999999999996</v>
      </c>
      <c r="H24" s="165" t="str">
        <f t="shared" si="5"/>
        <v xml:space="preserve">    ---- </v>
      </c>
      <c r="I24" s="411">
        <f>IFERROR(100/'Skjema total MA'!F24*G24,0)</f>
        <v>0.74774354277598609</v>
      </c>
      <c r="J24" s="287">
        <f t="shared" si="6"/>
        <v>7352.5169999999998</v>
      </c>
      <c r="K24" s="287">
        <f t="shared" si="7"/>
        <v>6571.1549999999997</v>
      </c>
      <c r="L24" s="165">
        <f t="shared" si="8"/>
        <v>-10.6</v>
      </c>
      <c r="M24" s="23">
        <f>IFERROR(100/'Skjema total MA'!I24*K24,0)</f>
        <v>27.110240211189002</v>
      </c>
    </row>
    <row r="25" spans="1:14" ht="15.6" x14ac:dyDescent="0.25">
      <c r="A25" s="782" t="s">
        <v>449</v>
      </c>
      <c r="B25" s="278"/>
      <c r="C25" s="278"/>
      <c r="D25" s="165"/>
      <c r="E25" s="11"/>
      <c r="F25" s="287">
        <v>345.233</v>
      </c>
      <c r="G25" s="287">
        <v>325.86446999999998</v>
      </c>
      <c r="H25" s="165">
        <f t="shared" si="5"/>
        <v>-5.6</v>
      </c>
      <c r="I25" s="411">
        <f>IFERROR(100/'Skjema total MA'!F25*G25,0)</f>
        <v>1.7576157854791625</v>
      </c>
      <c r="J25" s="287">
        <f t="shared" si="6"/>
        <v>345.233</v>
      </c>
      <c r="K25" s="287">
        <f t="shared" si="7"/>
        <v>325.86446999999998</v>
      </c>
      <c r="L25" s="165">
        <f t="shared" si="8"/>
        <v>-5.6</v>
      </c>
      <c r="M25" s="23">
        <f>IFERROR(100/'Skjema total MA'!I25*K25,0)</f>
        <v>0.67367554311571654</v>
      </c>
    </row>
    <row r="26" spans="1:14" ht="15.6" x14ac:dyDescent="0.25">
      <c r="A26" s="782" t="s">
        <v>450</v>
      </c>
      <c r="B26" s="278"/>
      <c r="C26" s="278"/>
      <c r="D26" s="165"/>
      <c r="E26" s="11"/>
      <c r="F26" s="287">
        <v>407621.47399999999</v>
      </c>
      <c r="G26" s="287">
        <v>449115.2634</v>
      </c>
      <c r="H26" s="165">
        <f t="shared" si="5"/>
        <v>10.199999999999999</v>
      </c>
      <c r="I26" s="411">
        <f>IFERROR(100/'Skjema total MA'!F26*G26,0)</f>
        <v>30.104088523560449</v>
      </c>
      <c r="J26" s="287">
        <f t="shared" si="6"/>
        <v>407621.47399999999</v>
      </c>
      <c r="K26" s="287">
        <f t="shared" si="7"/>
        <v>449115.2634</v>
      </c>
      <c r="L26" s="165">
        <f t="shared" si="8"/>
        <v>10.199999999999999</v>
      </c>
      <c r="M26" s="23">
        <f>IFERROR(100/'Skjema total MA'!I26*K26,0)</f>
        <v>30.104088523560449</v>
      </c>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v>199971.033</v>
      </c>
      <c r="C28" s="284">
        <v>222045.68400000001</v>
      </c>
      <c r="D28" s="165">
        <f t="shared" si="4"/>
        <v>11</v>
      </c>
      <c r="E28" s="11">
        <f>IFERROR(100/'Skjema total MA'!C28*C28,0)</f>
        <v>10.184963006732577</v>
      </c>
      <c r="F28" s="232"/>
      <c r="G28" s="284"/>
      <c r="H28" s="165"/>
      <c r="I28" s="27"/>
      <c r="J28" s="44">
        <f t="shared" si="6"/>
        <v>199971.033</v>
      </c>
      <c r="K28" s="44">
        <f t="shared" si="7"/>
        <v>222045.68400000001</v>
      </c>
      <c r="L28" s="252">
        <f t="shared" si="8"/>
        <v>11</v>
      </c>
      <c r="M28" s="23">
        <f>IFERROR(100/'Skjema total MA'!I28*K28,0)</f>
        <v>10.184963006732577</v>
      </c>
    </row>
    <row r="29" spans="1:14" s="3" customFormat="1" ht="15.6" x14ac:dyDescent="0.25">
      <c r="A29" s="13" t="s">
        <v>444</v>
      </c>
      <c r="B29" s="234">
        <v>9016633.9240000006</v>
      </c>
      <c r="C29" s="234">
        <v>8379435.4440000001</v>
      </c>
      <c r="D29" s="170">
        <f t="shared" si="4"/>
        <v>-7.1</v>
      </c>
      <c r="E29" s="11">
        <f>IFERROR(100/'Skjema total MA'!C29*C29,0)</f>
        <v>18.490616642238486</v>
      </c>
      <c r="F29" s="305">
        <v>5737312.943</v>
      </c>
      <c r="G29" s="305">
        <v>6723163.199</v>
      </c>
      <c r="H29" s="170">
        <f t="shared" si="5"/>
        <v>17.2</v>
      </c>
      <c r="I29" s="11">
        <f>IFERROR(100/'Skjema total MA'!F29*G29,0)</f>
        <v>25.146947798450469</v>
      </c>
      <c r="J29" s="234">
        <f t="shared" si="6"/>
        <v>14753946.867000001</v>
      </c>
      <c r="K29" s="234">
        <f t="shared" si="7"/>
        <v>15102598.642999999</v>
      </c>
      <c r="L29" s="422">
        <f t="shared" si="8"/>
        <v>2.4</v>
      </c>
      <c r="M29" s="24">
        <f>IFERROR(100/'Skjema total MA'!I29*K29,0)</f>
        <v>20.960479414768898</v>
      </c>
      <c r="N29" s="147"/>
    </row>
    <row r="30" spans="1:14" s="3" customFormat="1" ht="15.6" x14ac:dyDescent="0.25">
      <c r="A30" s="782" t="s">
        <v>447</v>
      </c>
      <c r="B30" s="278">
        <v>1209268.1270000001</v>
      </c>
      <c r="C30" s="278">
        <v>1187801.9480000001</v>
      </c>
      <c r="D30" s="165">
        <f t="shared" si="4"/>
        <v>-1.8</v>
      </c>
      <c r="E30" s="11">
        <f>IFERROR(100/'Skjema total MA'!C30*C30,0)</f>
        <v>7.4415157375366743</v>
      </c>
      <c r="F30" s="287">
        <v>518747.55699999997</v>
      </c>
      <c r="G30" s="287">
        <v>564339.58799999999</v>
      </c>
      <c r="H30" s="165">
        <f t="shared" si="5"/>
        <v>8.8000000000000007</v>
      </c>
      <c r="I30" s="411">
        <f>IFERROR(100/'Skjema total MA'!F30*G30,0)</f>
        <v>13.596751504394298</v>
      </c>
      <c r="J30" s="287">
        <f t="shared" si="6"/>
        <v>1728015.6840000001</v>
      </c>
      <c r="K30" s="287">
        <f t="shared" si="7"/>
        <v>1752141.5360000001</v>
      </c>
      <c r="L30" s="165">
        <f t="shared" si="8"/>
        <v>1.4</v>
      </c>
      <c r="M30" s="23">
        <f>IFERROR(100/'Skjema total MA'!I30*K30,0)</f>
        <v>8.7117583717748932</v>
      </c>
      <c r="N30" s="147"/>
    </row>
    <row r="31" spans="1:14" s="3" customFormat="1" ht="15.6" x14ac:dyDescent="0.25">
      <c r="A31" s="782" t="s">
        <v>448</v>
      </c>
      <c r="B31" s="278">
        <v>7807365.7970000003</v>
      </c>
      <c r="C31" s="278">
        <v>7191633.4960000003</v>
      </c>
      <c r="D31" s="165">
        <f t="shared" si="4"/>
        <v>-7.9</v>
      </c>
      <c r="E31" s="11">
        <f>IFERROR(100/'Skjema total MA'!C31*C31,0)</f>
        <v>31.953645019816729</v>
      </c>
      <c r="F31" s="287">
        <v>1779726.335</v>
      </c>
      <c r="G31" s="287">
        <v>1709440.736</v>
      </c>
      <c r="H31" s="165">
        <f t="shared" si="5"/>
        <v>-3.9</v>
      </c>
      <c r="I31" s="411">
        <f>IFERROR(100/'Skjema total MA'!F31*G31,0)</f>
        <v>18.211486838007243</v>
      </c>
      <c r="J31" s="287">
        <f t="shared" si="6"/>
        <v>9587092.1319999993</v>
      </c>
      <c r="K31" s="287">
        <f t="shared" si="7"/>
        <v>8901074.2320000008</v>
      </c>
      <c r="L31" s="165">
        <f t="shared" si="8"/>
        <v>-7.2</v>
      </c>
      <c r="M31" s="23">
        <f>IFERROR(100/'Skjema total MA'!I31*K31,0)</f>
        <v>27.909121775672521</v>
      </c>
      <c r="N31" s="147"/>
    </row>
    <row r="32" spans="1:14" ht="15.6" x14ac:dyDescent="0.25">
      <c r="A32" s="782" t="s">
        <v>449</v>
      </c>
      <c r="B32" s="278"/>
      <c r="C32" s="278"/>
      <c r="D32" s="165"/>
      <c r="E32" s="11"/>
      <c r="F32" s="287">
        <v>1750156.5560000001</v>
      </c>
      <c r="G32" s="287">
        <v>2064004.43</v>
      </c>
      <c r="H32" s="165">
        <f t="shared" si="5"/>
        <v>17.899999999999999</v>
      </c>
      <c r="I32" s="411">
        <f>IFERROR(100/'Skjema total MA'!F32*G32,0)</f>
        <v>35.029647803941458</v>
      </c>
      <c r="J32" s="287">
        <f t="shared" si="6"/>
        <v>1750156.5560000001</v>
      </c>
      <c r="K32" s="287">
        <f t="shared" si="7"/>
        <v>2064004.43</v>
      </c>
      <c r="L32" s="165">
        <f t="shared" si="8"/>
        <v>17.899999999999999</v>
      </c>
      <c r="M32" s="23">
        <f>IFERROR(100/'Skjema total MA'!I32*K32,0)</f>
        <v>23.290201529772915</v>
      </c>
    </row>
    <row r="33" spans="1:14" ht="15.6" x14ac:dyDescent="0.25">
      <c r="A33" s="782" t="s">
        <v>450</v>
      </c>
      <c r="B33" s="278"/>
      <c r="C33" s="278"/>
      <c r="D33" s="165"/>
      <c r="E33" s="11"/>
      <c r="F33" s="287">
        <v>1688682.4950000001</v>
      </c>
      <c r="G33" s="287">
        <v>2385378.4449999998</v>
      </c>
      <c r="H33" s="165">
        <f t="shared" si="5"/>
        <v>41.3</v>
      </c>
      <c r="I33" s="411">
        <f>IFERROR(100/'Skjema total MA'!F33*G33,0)</f>
        <v>32.648754707764049</v>
      </c>
      <c r="J33" s="287">
        <f t="shared" si="6"/>
        <v>1688682.4950000001</v>
      </c>
      <c r="K33" s="287">
        <f t="shared" si="7"/>
        <v>2385378.4449999998</v>
      </c>
      <c r="L33" s="165">
        <f t="shared" si="8"/>
        <v>41.3</v>
      </c>
      <c r="M33" s="23">
        <f>IFERROR(100/'Skjema total MA'!I33*K33,0)</f>
        <v>32.648754707764049</v>
      </c>
    </row>
    <row r="34" spans="1:14" ht="15.6" x14ac:dyDescent="0.25">
      <c r="A34" s="13" t="s">
        <v>445</v>
      </c>
      <c r="B34" s="234">
        <v>8961.1149999999998</v>
      </c>
      <c r="C34" s="306">
        <v>10821.306</v>
      </c>
      <c r="D34" s="170">
        <f t="shared" si="4"/>
        <v>20.8</v>
      </c>
      <c r="E34" s="11">
        <f>IFERROR(100/'Skjema total MA'!C34*C34,0)</f>
        <v>51.535122818319167</v>
      </c>
      <c r="F34" s="305">
        <v>21048.477999999999</v>
      </c>
      <c r="G34" s="306">
        <v>18477.473000000002</v>
      </c>
      <c r="H34" s="170">
        <f t="shared" si="5"/>
        <v>-12.2</v>
      </c>
      <c r="I34" s="11">
        <f>IFERROR(100/'Skjema total MA'!F34*G34,0)</f>
        <v>72.817326014865387</v>
      </c>
      <c r="J34" s="234">
        <f t="shared" si="6"/>
        <v>30009.593000000001</v>
      </c>
      <c r="K34" s="234">
        <f t="shared" si="7"/>
        <v>29298.779000000002</v>
      </c>
      <c r="L34" s="422">
        <f t="shared" si="8"/>
        <v>-2.4</v>
      </c>
      <c r="M34" s="24">
        <f>IFERROR(100/'Skjema total MA'!I34*K34,0)</f>
        <v>63.180645043407566</v>
      </c>
    </row>
    <row r="35" spans="1:14" ht="15.6" x14ac:dyDescent="0.25">
      <c r="A35" s="13" t="s">
        <v>446</v>
      </c>
      <c r="B35" s="234">
        <v>2771.748</v>
      </c>
      <c r="C35" s="306">
        <v>752.60199999999998</v>
      </c>
      <c r="D35" s="170">
        <f t="shared" si="4"/>
        <v>-72.8</v>
      </c>
      <c r="E35" s="11">
        <f>IFERROR(100/'Skjema total MA'!C35*C35,0)</f>
        <v>-0.90978227815543367</v>
      </c>
      <c r="F35" s="305">
        <v>30440.102999999999</v>
      </c>
      <c r="G35" s="306">
        <v>35697.862000000001</v>
      </c>
      <c r="H35" s="170">
        <f t="shared" si="5"/>
        <v>17.3</v>
      </c>
      <c r="I35" s="11">
        <f>IFERROR(100/'Skjema total MA'!F35*G35,0)</f>
        <v>21.53138156131066</v>
      </c>
      <c r="J35" s="234">
        <f t="shared" si="6"/>
        <v>33211.851000000002</v>
      </c>
      <c r="K35" s="234">
        <f t="shared" si="7"/>
        <v>36450.464</v>
      </c>
      <c r="L35" s="422">
        <f t="shared" si="8"/>
        <v>9.8000000000000007</v>
      </c>
      <c r="M35" s="24">
        <f>IFERROR(100/'Skjema total MA'!I35*K35,0)</f>
        <v>43.878547454884227</v>
      </c>
    </row>
    <row r="36" spans="1:14" ht="15.6" x14ac:dyDescent="0.25">
      <c r="A36" s="12" t="s">
        <v>282</v>
      </c>
      <c r="B36" s="234">
        <v>58.33</v>
      </c>
      <c r="C36" s="306">
        <v>64.135000000000005</v>
      </c>
      <c r="D36" s="170">
        <f t="shared" si="4"/>
        <v>10</v>
      </c>
      <c r="E36" s="11">
        <f>100/'Skjema total MA'!C36*C36</f>
        <v>0.70084658355184593</v>
      </c>
      <c r="F36" s="316"/>
      <c r="G36" s="317"/>
      <c r="H36" s="170"/>
      <c r="I36" s="428"/>
      <c r="J36" s="234">
        <f t="shared" si="6"/>
        <v>58.33</v>
      </c>
      <c r="K36" s="234">
        <f t="shared" si="7"/>
        <v>64.135000000000005</v>
      </c>
      <c r="L36" s="422"/>
      <c r="M36" s="24">
        <f>IFERROR(100/'Skjema total MA'!I36*K36,0)</f>
        <v>0.70084658355184593</v>
      </c>
    </row>
    <row r="37" spans="1:14" ht="15.6" x14ac:dyDescent="0.25">
      <c r="A37" s="12" t="s">
        <v>452</v>
      </c>
      <c r="B37" s="234">
        <v>456586.90299999999</v>
      </c>
      <c r="C37" s="306">
        <v>444432.64299999998</v>
      </c>
      <c r="D37" s="170">
        <f t="shared" si="4"/>
        <v>-2.7</v>
      </c>
      <c r="E37" s="11">
        <f>100/'Skjema total MA'!C37*C37</f>
        <v>14.109565650724074</v>
      </c>
      <c r="F37" s="316"/>
      <c r="G37" s="318"/>
      <c r="H37" s="170"/>
      <c r="I37" s="428"/>
      <c r="J37" s="234">
        <f t="shared" si="6"/>
        <v>456586.90299999999</v>
      </c>
      <c r="K37" s="234">
        <f t="shared" si="7"/>
        <v>444432.64299999998</v>
      </c>
      <c r="L37" s="422"/>
      <c r="M37" s="24">
        <f>IFERROR(100/'Skjema total MA'!I37*K37,0)</f>
        <v>14.109565650724074</v>
      </c>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837247.27399999998</v>
      </c>
      <c r="C47" s="308">
        <v>695694.28499999992</v>
      </c>
      <c r="D47" s="421">
        <f t="shared" ref="D47:D57" si="9">IF(B47=0, "    ---- ", IF(ABS(ROUND(100/B47*C47-100,1))&lt;999,ROUND(100/B47*C47-100,1),IF(ROUND(100/B47*C47-100,1)&gt;999,999,-999)))</f>
        <v>-16.899999999999999</v>
      </c>
      <c r="E47" s="11">
        <f>IFERROR(100/'Skjema total MA'!C47*C47,0)</f>
        <v>13.65711923753658</v>
      </c>
      <c r="F47" s="144"/>
      <c r="G47" s="33"/>
      <c r="H47" s="158"/>
      <c r="I47" s="158"/>
      <c r="J47" s="37"/>
      <c r="K47" s="37"/>
      <c r="L47" s="158"/>
      <c r="M47" s="158"/>
      <c r="N47" s="147"/>
    </row>
    <row r="48" spans="1:14" s="3" customFormat="1" ht="15.6" x14ac:dyDescent="0.25">
      <c r="A48" s="38" t="s">
        <v>455</v>
      </c>
      <c r="B48" s="278">
        <v>468642.538</v>
      </c>
      <c r="C48" s="279">
        <v>249055.215</v>
      </c>
      <c r="D48" s="252">
        <f t="shared" si="9"/>
        <v>-46.9</v>
      </c>
      <c r="E48" s="27">
        <f>IFERROR(100/'Skjema total MA'!C48*C48,0)</f>
        <v>8.7936092559625187</v>
      </c>
      <c r="F48" s="144"/>
      <c r="G48" s="33"/>
      <c r="H48" s="144"/>
      <c r="I48" s="144"/>
      <c r="J48" s="33"/>
      <c r="K48" s="33"/>
      <c r="L48" s="158"/>
      <c r="M48" s="158"/>
      <c r="N48" s="147"/>
    </row>
    <row r="49" spans="1:14" s="3" customFormat="1" ht="15.6" x14ac:dyDescent="0.25">
      <c r="A49" s="38" t="s">
        <v>456</v>
      </c>
      <c r="B49" s="44">
        <v>368604.73599999998</v>
      </c>
      <c r="C49" s="284">
        <v>446639.06999999995</v>
      </c>
      <c r="D49" s="252">
        <f>IF(B49=0, "    ---- ", IF(ABS(ROUND(100/B49*C49-100,1))&lt;999,ROUND(100/B49*C49-100,1),IF(ROUND(100/B49*C49-100,1)&gt;999,999,-999)))</f>
        <v>21.2</v>
      </c>
      <c r="E49" s="27">
        <f>IFERROR(100/'Skjema total MA'!C49*C49,0)</f>
        <v>19.747282115208801</v>
      </c>
      <c r="F49" s="144"/>
      <c r="G49" s="33"/>
      <c r="H49" s="144"/>
      <c r="I49" s="144"/>
      <c r="J49" s="37"/>
      <c r="K49" s="37"/>
      <c r="L49" s="158"/>
      <c r="M49" s="158"/>
      <c r="N49" s="147"/>
    </row>
    <row r="50" spans="1:14" s="3" customFormat="1" x14ac:dyDescent="0.25">
      <c r="A50" s="293" t="s">
        <v>6</v>
      </c>
      <c r="B50" s="287"/>
      <c r="C50" s="288"/>
      <c r="D50" s="252"/>
      <c r="E50" s="27"/>
      <c r="F50" s="144"/>
      <c r="G50" s="33"/>
      <c r="H50" s="144"/>
      <c r="I50" s="144"/>
      <c r="J50" s="33"/>
      <c r="K50" s="33"/>
      <c r="L50" s="158"/>
      <c r="M50" s="158"/>
      <c r="N50" s="147"/>
    </row>
    <row r="51" spans="1:14" s="3" customFormat="1" x14ac:dyDescent="0.25">
      <c r="A51" s="293" t="s">
        <v>7</v>
      </c>
      <c r="B51" s="287">
        <v>354480.32199999999</v>
      </c>
      <c r="C51" s="288">
        <v>432730.99200000003</v>
      </c>
      <c r="D51" s="252">
        <f t="shared" ref="D51:D52" si="10">IF(B51=0, "    ---- ", IF(ABS(ROUND(100/B51*C51-100,1))&lt;999,ROUND(100/B51*C51-100,1),IF(ROUND(100/B51*C51-100,1)&gt;999,999,-999)))</f>
        <v>22.1</v>
      </c>
      <c r="E51" s="27">
        <f>IFERROR(100/'Skjema total MA'!C51*C51,0)</f>
        <v>19.747939980739975</v>
      </c>
      <c r="F51" s="144"/>
      <c r="G51" s="33"/>
      <c r="H51" s="144"/>
      <c r="I51" s="144"/>
      <c r="J51" s="33"/>
      <c r="K51" s="33"/>
      <c r="L51" s="158"/>
      <c r="M51" s="158"/>
      <c r="N51" s="147"/>
    </row>
    <row r="52" spans="1:14" s="3" customFormat="1" x14ac:dyDescent="0.25">
      <c r="A52" s="293" t="s">
        <v>8</v>
      </c>
      <c r="B52" s="287">
        <v>14124.414000000001</v>
      </c>
      <c r="C52" s="288">
        <v>13908.077999999899</v>
      </c>
      <c r="D52" s="252">
        <f t="shared" si="10"/>
        <v>-1.5</v>
      </c>
      <c r="E52" s="27">
        <f>IFERROR(100/'Skjema total MA'!C52*C52,0)</f>
        <v>19.726835395811229</v>
      </c>
      <c r="F52" s="144"/>
      <c r="G52" s="33"/>
      <c r="H52" s="144"/>
      <c r="I52" s="144"/>
      <c r="J52" s="33"/>
      <c r="K52" s="33"/>
      <c r="L52" s="158"/>
      <c r="M52" s="158"/>
      <c r="N52" s="147"/>
    </row>
    <row r="53" spans="1:14" s="3" customFormat="1" ht="15.6" x14ac:dyDescent="0.25">
      <c r="A53" s="39" t="s">
        <v>457</v>
      </c>
      <c r="B53" s="307">
        <v>9225.4840000000004</v>
      </c>
      <c r="C53" s="308">
        <v>20151.143</v>
      </c>
      <c r="D53" s="422">
        <f t="shared" si="9"/>
        <v>118.4</v>
      </c>
      <c r="E53" s="11">
        <f>IFERROR(100/'Skjema total MA'!C53*C53,0)</f>
        <v>7.3685749279548469</v>
      </c>
      <c r="F53" s="144"/>
      <c r="G53" s="33"/>
      <c r="H53" s="144"/>
      <c r="I53" s="144"/>
      <c r="J53" s="33"/>
      <c r="K53" s="33"/>
      <c r="L53" s="158"/>
      <c r="M53" s="158"/>
      <c r="N53" s="147"/>
    </row>
    <row r="54" spans="1:14" s="3" customFormat="1" ht="15.6" x14ac:dyDescent="0.25">
      <c r="A54" s="38" t="s">
        <v>455</v>
      </c>
      <c r="B54" s="278">
        <v>9225.4840000000004</v>
      </c>
      <c r="C54" s="279">
        <v>14967.832</v>
      </c>
      <c r="D54" s="252">
        <f t="shared" si="9"/>
        <v>62.2</v>
      </c>
      <c r="E54" s="27">
        <f>IFERROR(100/'Skjema total MA'!C54*C54,0)</f>
        <v>5.5986162461207849</v>
      </c>
      <c r="F54" s="144"/>
      <c r="G54" s="33"/>
      <c r="H54" s="144"/>
      <c r="I54" s="144"/>
      <c r="J54" s="33"/>
      <c r="K54" s="33"/>
      <c r="L54" s="158"/>
      <c r="M54" s="158"/>
      <c r="N54" s="147"/>
    </row>
    <row r="55" spans="1:14" s="3" customFormat="1" ht="15.6" x14ac:dyDescent="0.25">
      <c r="A55" s="38" t="s">
        <v>456</v>
      </c>
      <c r="B55" s="278">
        <v>0</v>
      </c>
      <c r="C55" s="279">
        <v>5183.3109999999997</v>
      </c>
      <c r="D55" s="252" t="str">
        <f t="shared" si="9"/>
        <v xml:space="preserve">    ---- </v>
      </c>
      <c r="E55" s="27">
        <f>IFERROR(100/'Skjema total MA'!C55*C55,0)</f>
        <v>84.621189030238625</v>
      </c>
      <c r="F55" s="144"/>
      <c r="G55" s="33"/>
      <c r="H55" s="144"/>
      <c r="I55" s="144"/>
      <c r="J55" s="33"/>
      <c r="K55" s="33"/>
      <c r="L55" s="158"/>
      <c r="M55" s="158"/>
      <c r="N55" s="147"/>
    </row>
    <row r="56" spans="1:14" s="3" customFormat="1" ht="15.6" x14ac:dyDescent="0.25">
      <c r="A56" s="39" t="s">
        <v>458</v>
      </c>
      <c r="B56" s="307">
        <v>1460.376</v>
      </c>
      <c r="C56" s="308">
        <v>244207.54800000001</v>
      </c>
      <c r="D56" s="422">
        <f t="shared" si="9"/>
        <v>999</v>
      </c>
      <c r="E56" s="11">
        <f>IFERROR(100/'Skjema total MA'!C56*C56,0)</f>
        <v>68.381017445048855</v>
      </c>
      <c r="F56" s="144"/>
      <c r="G56" s="33"/>
      <c r="H56" s="144"/>
      <c r="I56" s="144"/>
      <c r="J56" s="33"/>
      <c r="K56" s="33"/>
      <c r="L56" s="158"/>
      <c r="M56" s="158"/>
      <c r="N56" s="147"/>
    </row>
    <row r="57" spans="1:14" s="3" customFormat="1" ht="15.6" x14ac:dyDescent="0.25">
      <c r="A57" s="38" t="s">
        <v>455</v>
      </c>
      <c r="B57" s="278">
        <v>1460.376</v>
      </c>
      <c r="C57" s="279">
        <v>244207.54800000001</v>
      </c>
      <c r="D57" s="252">
        <f t="shared" si="9"/>
        <v>999</v>
      </c>
      <c r="E57" s="27">
        <f>IFERROR(100/'Skjema total MA'!C57*C57,0)</f>
        <v>68.381017445048855</v>
      </c>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3117658.4810000001</v>
      </c>
      <c r="C66" s="348">
        <v>3564601.2709999997</v>
      </c>
      <c r="D66" s="345">
        <f>IF(B66=0, "    ---- ", IF(ABS(ROUND(100/B66*C66-100,1))&lt;999,ROUND(100/B66*C66-100,1),IF(ROUND(100/B66*C66-100,1)&gt;999,999,-999)))</f>
        <v>14.3</v>
      </c>
      <c r="E66" s="11">
        <f>IFERROR(100/'Skjema total MA'!C66*C66,0)</f>
        <v>46.895111424233171</v>
      </c>
      <c r="F66" s="347">
        <v>10871001.523</v>
      </c>
      <c r="G66" s="347">
        <v>10975843.16</v>
      </c>
      <c r="H66" s="345">
        <f>IF(F66=0, "    ---- ", IF(ABS(ROUND(100/F66*G66-100,1))&lt;999,ROUND(100/F66*G66-100,1),IF(ROUND(100/F66*G66-100,1)&gt;999,999,-999)))</f>
        <v>1</v>
      </c>
      <c r="I66" s="11">
        <f>IFERROR(100/'Skjema total MA'!F66*G66,0)</f>
        <v>28.748936135302262</v>
      </c>
      <c r="J66" s="306">
        <f t="shared" ref="J66:K68" si="11">SUM(B66,F66)</f>
        <v>13988660.004000001</v>
      </c>
      <c r="K66" s="313">
        <f t="shared" si="11"/>
        <v>14540444.431</v>
      </c>
      <c r="L66" s="422">
        <f>IF(J66=0, "    ---- ", IF(ABS(ROUND(100/J66*K66-100,1))&lt;999,ROUND(100/J66*K66-100,1),IF(ROUND(100/J66*K66-100,1)&gt;999,999,-999)))</f>
        <v>3.9</v>
      </c>
      <c r="M66" s="11">
        <f>IFERROR(100/'Skjema total MA'!I66*K66,0)</f>
        <v>31.761925732492209</v>
      </c>
    </row>
    <row r="67" spans="1:14" x14ac:dyDescent="0.25">
      <c r="A67" s="413" t="s">
        <v>9</v>
      </c>
      <c r="B67" s="44">
        <v>1958191.0319999999</v>
      </c>
      <c r="C67" s="144">
        <v>2283477.2609999999</v>
      </c>
      <c r="D67" s="165">
        <f>IF(B67=0, "    ---- ", IF(ABS(ROUND(100/B67*C67-100,1))&lt;999,ROUND(100/B67*C67-100,1),IF(ROUND(100/B67*C67-100,1)&gt;999,999,-999)))</f>
        <v>16.600000000000001</v>
      </c>
      <c r="E67" s="27">
        <f>IFERROR(100/'Skjema total MA'!C67*C67,0)</f>
        <v>44.125944762247713</v>
      </c>
      <c r="F67" s="232"/>
      <c r="G67" s="144"/>
      <c r="H67" s="165"/>
      <c r="I67" s="27"/>
      <c r="J67" s="284">
        <f t="shared" si="11"/>
        <v>1958191.0319999999</v>
      </c>
      <c r="K67" s="44">
        <f t="shared" si="11"/>
        <v>2283477.2609999999</v>
      </c>
      <c r="L67" s="252">
        <f>IF(J67=0, "    ---- ", IF(ABS(ROUND(100/J67*K67-100,1))&lt;999,ROUND(100/J67*K67-100,1),IF(ROUND(100/J67*K67-100,1)&gt;999,999,-999)))</f>
        <v>16.600000000000001</v>
      </c>
      <c r="M67" s="27">
        <f>IFERROR(100/'Skjema total MA'!I67*K67,0)</f>
        <v>44.125944762247713</v>
      </c>
    </row>
    <row r="68" spans="1:14" x14ac:dyDescent="0.25">
      <c r="A68" s="21" t="s">
        <v>10</v>
      </c>
      <c r="B68" s="289"/>
      <c r="C68" s="290"/>
      <c r="D68" s="165"/>
      <c r="E68" s="27"/>
      <c r="F68" s="289">
        <v>9775510.1469999999</v>
      </c>
      <c r="G68" s="290">
        <v>9777102.7430000007</v>
      </c>
      <c r="H68" s="165">
        <f>IF(F68=0, "    ---- ", IF(ABS(ROUND(100/F68*G68-100,1))&lt;999,ROUND(100/F68*G68-100,1),IF(ROUND(100/F68*G68-100,1)&gt;999,999,-999)))</f>
        <v>0</v>
      </c>
      <c r="I68" s="27">
        <f>IFERROR(100/'Skjema total MA'!F68*G68,0)</f>
        <v>26.668027350368313</v>
      </c>
      <c r="J68" s="284">
        <f t="shared" si="11"/>
        <v>9775510.1469999999</v>
      </c>
      <c r="K68" s="44">
        <f t="shared" si="11"/>
        <v>9777102.7430000007</v>
      </c>
      <c r="L68" s="252">
        <f>IF(J68=0, "    ---- ", IF(ABS(ROUND(100/J68*K68-100,1))&lt;999,ROUND(100/J68*K68-100,1),IF(ROUND(100/J68*K68-100,1)&gt;999,999,-999)))</f>
        <v>0</v>
      </c>
      <c r="M68" s="27">
        <f>IFERROR(100/'Skjema total MA'!I68*K68,0)</f>
        <v>26.6348261999673</v>
      </c>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v>9775510.1469999999</v>
      </c>
      <c r="G72" s="278">
        <v>9777102.7430000007</v>
      </c>
      <c r="H72" s="165">
        <f>IF(F72=0, "    ---- ", IF(ABS(ROUND(100/F72*G72-100,1))&lt;999,ROUND(100/F72*G72-100,1),IF(ROUND(100/F72*G72-100,1)&gt;999,999,-999)))</f>
        <v>0</v>
      </c>
      <c r="I72" s="27">
        <f>IFERROR(100/'Skjema total MA'!F72*G72,0)</f>
        <v>26.669587708581442</v>
      </c>
      <c r="J72" s="284">
        <f t="shared" ref="J72" si="12">SUM(B72,F72)</f>
        <v>9775510.1469999999</v>
      </c>
      <c r="K72" s="44">
        <f t="shared" ref="K72" si="13">SUM(C72,G72)</f>
        <v>9777102.7430000007</v>
      </c>
      <c r="L72" s="252">
        <f>IF(J72=0, "    ---- ", IF(ABS(ROUND(100/J72*K72-100,1))&lt;999,ROUND(100/J72*K72-100,1),IF(ROUND(100/J72*K72-100,1)&gt;999,999,-999)))</f>
        <v>0</v>
      </c>
      <c r="M72" s="23">
        <f>IFERROR(100/'Skjema total MA'!I72*K72,0)</f>
        <v>26.641856091611302</v>
      </c>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v>9775510.1469999999</v>
      </c>
      <c r="G74" s="278">
        <v>9777102.7430000007</v>
      </c>
      <c r="H74" s="165">
        <f>IF(F74=0, "    ---- ", IF(ABS(ROUND(100/F74*G74-100,1))&lt;999,ROUND(100/F74*G74-100,1),IF(ROUND(100/F74*G74-100,1)&gt;999,999,-999)))</f>
        <v>0</v>
      </c>
      <c r="I74" s="27">
        <f>IFERROR(100/'Skjema total MA'!F74*G74,0)</f>
        <v>26.669593528441023</v>
      </c>
      <c r="J74" s="284">
        <f t="shared" ref="J74" si="14">SUM(B74,F74)</f>
        <v>9775510.1469999999</v>
      </c>
      <c r="K74" s="44">
        <f t="shared" ref="K74" si="15">SUM(C74,G74)</f>
        <v>9777102.7430000007</v>
      </c>
      <c r="L74" s="252">
        <f t="shared" ref="L74:L79" si="16">IF(J74=0, "    ---- ", IF(ABS(ROUND(100/J74*K74-100,1))&lt;999,ROUND(100/J74*K74-100,1),IF(ROUND(100/J74*K74-100,1)&gt;999,999,-999)))</f>
        <v>0</v>
      </c>
      <c r="M74" s="23">
        <f>IFERROR(100/'Skjema total MA'!I74*K74,0)</f>
        <v>26.669593528441023</v>
      </c>
      <c r="N74" s="147"/>
    </row>
    <row r="75" spans="1:14" s="3" customFormat="1" x14ac:dyDescent="0.25">
      <c r="A75" s="21" t="s">
        <v>348</v>
      </c>
      <c r="B75" s="232">
        <v>124061.44100000001</v>
      </c>
      <c r="C75" s="144">
        <v>179902.49299999999</v>
      </c>
      <c r="D75" s="165">
        <f>IF(B75=0, "    ---- ", IF(ABS(ROUND(100/B75*C75-100,1))&lt;999,ROUND(100/B75*C75-100,1),IF(ROUND(100/B75*C75-100,1)&gt;999,999,-999)))</f>
        <v>45</v>
      </c>
      <c r="E75" s="27">
        <f>IFERROR(100/'Skjema total MA'!C75*C75,0)</f>
        <v>33.762770956893903</v>
      </c>
      <c r="F75" s="232">
        <v>1095491.3759999999</v>
      </c>
      <c r="G75" s="144">
        <v>1198740.4169999999</v>
      </c>
      <c r="H75" s="165">
        <f>IF(F75=0, "    ---- ", IF(ABS(ROUND(100/F75*G75-100,1))&lt;999,ROUND(100/F75*G75-100,1),IF(ROUND(100/F75*G75-100,1)&gt;999,999,-999)))</f>
        <v>9.4</v>
      </c>
      <c r="I75" s="27">
        <f>IFERROR(100/'Skjema total MA'!F75*G75,0)</f>
        <v>79.072902382055247</v>
      </c>
      <c r="J75" s="284">
        <f t="shared" ref="J75:K79" si="17">SUM(B75,F75)</f>
        <v>1219552.817</v>
      </c>
      <c r="K75" s="44">
        <f t="shared" si="17"/>
        <v>1378642.91</v>
      </c>
      <c r="L75" s="252">
        <f t="shared" si="16"/>
        <v>13</v>
      </c>
      <c r="M75" s="27">
        <f>IFERROR(100/'Skjema total MA'!I75*K75,0)</f>
        <v>67.289056171073952</v>
      </c>
      <c r="N75" s="147"/>
    </row>
    <row r="76" spans="1:14" s="3" customFormat="1" x14ac:dyDescent="0.25">
      <c r="A76" s="21" t="s">
        <v>347</v>
      </c>
      <c r="B76" s="232">
        <v>1035406.008</v>
      </c>
      <c r="C76" s="144">
        <v>1101221.517</v>
      </c>
      <c r="D76" s="165">
        <f>IF(B76=0, "    ---- ", IF(ABS(ROUND(100/B76*C76-100,1))&lt;999,ROUND(100/B76*C76-100,1),IF(ROUND(100/B76*C76-100,1)&gt;999,999,-999)))</f>
        <v>6.4</v>
      </c>
      <c r="E76" s="27">
        <f>IFERROR(100/'Skjema total MA'!C77*C76,0)</f>
        <v>21.491605627975925</v>
      </c>
      <c r="F76" s="232"/>
      <c r="G76" s="144"/>
      <c r="H76" s="165"/>
      <c r="I76" s="27"/>
      <c r="J76" s="284">
        <f t="shared" si="17"/>
        <v>1035406.008</v>
      </c>
      <c r="K76" s="44">
        <f t="shared" si="17"/>
        <v>1101221.517</v>
      </c>
      <c r="L76" s="252">
        <f t="shared" si="16"/>
        <v>6.4</v>
      </c>
      <c r="M76" s="27">
        <f>IFERROR(100/'Skjema total MA'!I77*K76,0)</f>
        <v>2.6361303412156247</v>
      </c>
      <c r="N76" s="147"/>
    </row>
    <row r="77" spans="1:14" ht="15.6" x14ac:dyDescent="0.25">
      <c r="A77" s="21" t="s">
        <v>461</v>
      </c>
      <c r="B77" s="232">
        <v>1851186.524</v>
      </c>
      <c r="C77" s="232">
        <v>2217264.835</v>
      </c>
      <c r="D77" s="165">
        <f>IF(B77=0, "    ---- ", IF(ABS(ROUND(100/B77*C77-100,1))&lt;999,ROUND(100/B77*C77-100,1),IF(ROUND(100/B77*C77-100,1)&gt;999,999,-999)))</f>
        <v>19.8</v>
      </c>
      <c r="E77" s="27">
        <f>IFERROR(100/'Skjema total MA'!C77*C77,0)</f>
        <v>43.27247576529065</v>
      </c>
      <c r="F77" s="232">
        <v>9775510.1469999999</v>
      </c>
      <c r="G77" s="144">
        <v>9777102.7430000007</v>
      </c>
      <c r="H77" s="165">
        <f>IF(F77=0, "    ---- ", IF(ABS(ROUND(100/F77*G77-100,1))&lt;999,ROUND(100/F77*G77-100,1),IF(ROUND(100/F77*G77-100,1)&gt;999,999,-999)))</f>
        <v>0</v>
      </c>
      <c r="I77" s="27">
        <f>IFERROR(100/'Skjema total MA'!F77*G77,0)</f>
        <v>26.676800979983852</v>
      </c>
      <c r="J77" s="284">
        <f t="shared" si="17"/>
        <v>11626696.671</v>
      </c>
      <c r="K77" s="44">
        <f t="shared" si="17"/>
        <v>11994367.578000002</v>
      </c>
      <c r="L77" s="252">
        <f t="shared" si="16"/>
        <v>3.2</v>
      </c>
      <c r="M77" s="27">
        <f>IFERROR(100/'Skjema total MA'!I77*K77,0)</f>
        <v>28.712403279401933</v>
      </c>
    </row>
    <row r="78" spans="1:14" x14ac:dyDescent="0.25">
      <c r="A78" s="21" t="s">
        <v>9</v>
      </c>
      <c r="B78" s="232">
        <v>1851186.524</v>
      </c>
      <c r="C78" s="144">
        <v>2217264.835</v>
      </c>
      <c r="D78" s="165">
        <f>IF(B78=0, "    ---- ", IF(ABS(ROUND(100/B78*C78-100,1))&lt;999,ROUND(100/B78*C78-100,1),IF(ROUND(100/B78*C78-100,1)&gt;999,999,-999)))</f>
        <v>19.8</v>
      </c>
      <c r="E78" s="27">
        <f>IFERROR(100/'Skjema total MA'!C78*C78,0)</f>
        <v>43.643402085729811</v>
      </c>
      <c r="F78" s="232"/>
      <c r="G78" s="144"/>
      <c r="H78" s="165"/>
      <c r="I78" s="27"/>
      <c r="J78" s="284">
        <f t="shared" si="17"/>
        <v>1851186.524</v>
      </c>
      <c r="K78" s="44">
        <f t="shared" si="17"/>
        <v>2217264.835</v>
      </c>
      <c r="L78" s="252">
        <f t="shared" si="16"/>
        <v>19.8</v>
      </c>
      <c r="M78" s="27">
        <f>IFERROR(100/'Skjema total MA'!I78*K78,0)</f>
        <v>43.643402085729811</v>
      </c>
    </row>
    <row r="79" spans="1:14" x14ac:dyDescent="0.25">
      <c r="A79" s="38" t="s">
        <v>495</v>
      </c>
      <c r="B79" s="289"/>
      <c r="C79" s="290"/>
      <c r="D79" s="165"/>
      <c r="E79" s="27"/>
      <c r="F79" s="289">
        <v>9775510.1469999999</v>
      </c>
      <c r="G79" s="290">
        <v>9777102.7430000007</v>
      </c>
      <c r="H79" s="165">
        <f>IF(F79=0, "    ---- ", IF(ABS(ROUND(100/F79*G79-100,1))&lt;999,ROUND(100/F79*G79-100,1),IF(ROUND(100/F79*G79-100,1)&gt;999,999,-999)))</f>
        <v>0</v>
      </c>
      <c r="I79" s="27">
        <f>IFERROR(100/'Skjema total MA'!F79*G79,0)</f>
        <v>26.676800979983852</v>
      </c>
      <c r="J79" s="284">
        <f t="shared" si="17"/>
        <v>9775510.1469999999</v>
      </c>
      <c r="K79" s="44">
        <f t="shared" si="17"/>
        <v>9777102.7430000007</v>
      </c>
      <c r="L79" s="252">
        <f t="shared" si="16"/>
        <v>0</v>
      </c>
      <c r="M79" s="27">
        <f>IFERROR(100/'Skjema total MA'!I79*K79,0)</f>
        <v>26.645140575015859</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v>9775510.1469999999</v>
      </c>
      <c r="G83" s="278">
        <v>9777102.7430000007</v>
      </c>
      <c r="H83" s="165">
        <f>IF(F83=0, "    ---- ", IF(ABS(ROUND(100/F83*G83-100,1))&lt;999,ROUND(100/F83*G83-100,1),IF(ROUND(100/F83*G83-100,1)&gt;999,999,-999)))</f>
        <v>0</v>
      </c>
      <c r="I83" s="27">
        <f>IFERROR(100/'Skjema total MA'!F83*G83,0)</f>
        <v>26.676800979983852</v>
      </c>
      <c r="J83" s="284">
        <f t="shared" ref="J83" si="18">SUM(B83,F83)</f>
        <v>9775510.1469999999</v>
      </c>
      <c r="K83" s="44">
        <f t="shared" ref="K83" si="19">SUM(C83,G83)</f>
        <v>9777102.7430000007</v>
      </c>
      <c r="L83" s="252">
        <f>IF(J83=0, "    ---- ", IF(ABS(ROUND(100/J83*K83-100,1))&lt;999,ROUND(100/J83*K83-100,1),IF(ROUND(100/J83*K83-100,1)&gt;999,999,-999)))</f>
        <v>0</v>
      </c>
      <c r="M83" s="23">
        <f>IFERROR(100/'Skjema total MA'!I83*K83,0)</f>
        <v>26.645140575015859</v>
      </c>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v>9775510.1469999999</v>
      </c>
      <c r="G85" s="278">
        <v>9777102.7430000007</v>
      </c>
      <c r="H85" s="165">
        <f>IF(F85=0, "    ---- ", IF(ABS(ROUND(100/F85*G85-100,1))&lt;999,ROUND(100/F85*G85-100,1),IF(ROUND(100/F85*G85-100,1)&gt;999,999,-999)))</f>
        <v>0</v>
      </c>
      <c r="I85" s="27">
        <f>IFERROR(100/'Skjema total MA'!F85*G85,0)</f>
        <v>26.676806802992033</v>
      </c>
      <c r="J85" s="284">
        <f t="shared" ref="J85" si="20">SUM(B85,F85)</f>
        <v>9775510.1469999999</v>
      </c>
      <c r="K85" s="44">
        <f t="shared" ref="K85" si="21">SUM(C85,G85)</f>
        <v>9777102.7430000007</v>
      </c>
      <c r="L85" s="252">
        <f>IF(J85=0, "    ---- ", IF(ABS(ROUND(100/J85*K85-100,1))&lt;999,ROUND(100/J85*K85-100,1),IF(ROUND(100/J85*K85-100,1)&gt;999,999,-999)))</f>
        <v>0</v>
      </c>
      <c r="M85" s="23">
        <f>IFERROR(100/'Skjema total MA'!I85*K85,0)</f>
        <v>26.676806802992033</v>
      </c>
    </row>
    <row r="86" spans="1:13" ht="15.6" x14ac:dyDescent="0.25">
      <c r="A86" s="21" t="s">
        <v>462</v>
      </c>
      <c r="B86" s="232">
        <v>107004.508</v>
      </c>
      <c r="C86" s="144">
        <v>66212.426000000007</v>
      </c>
      <c r="D86" s="165">
        <f>IF(B86=0, "    ---- ", IF(ABS(ROUND(100/B86*C86-100,1))&lt;999,ROUND(100/B86*C86-100,1),IF(ROUND(100/B86*C86-100,1)&gt;999,999,-999)))</f>
        <v>-38.1</v>
      </c>
      <c r="E86" s="27">
        <f>IFERROR(100/'Skjema total MA'!C86*C86,0)</f>
        <v>68.509064976475472</v>
      </c>
      <c r="F86" s="232"/>
      <c r="G86" s="144"/>
      <c r="H86" s="165"/>
      <c r="I86" s="27"/>
      <c r="J86" s="284">
        <f t="shared" ref="J86:K89" si="22">SUM(B86,F86)</f>
        <v>107004.508</v>
      </c>
      <c r="K86" s="44">
        <f t="shared" si="22"/>
        <v>66212.426000000007</v>
      </c>
      <c r="L86" s="252">
        <f>IF(J86=0, "    ---- ", IF(ABS(ROUND(100/J86*K86-100,1))&lt;999,ROUND(100/J86*K86-100,1),IF(ROUND(100/J86*K86-100,1)&gt;999,999,-999)))</f>
        <v>-38.1</v>
      </c>
      <c r="M86" s="27">
        <f>IFERROR(100/'Skjema total MA'!I86*K86,0)</f>
        <v>60.909971749616737</v>
      </c>
    </row>
    <row r="87" spans="1:13" ht="15.6" x14ac:dyDescent="0.25">
      <c r="A87" s="13" t="s">
        <v>444</v>
      </c>
      <c r="B87" s="348">
        <v>166916683.30500001</v>
      </c>
      <c r="C87" s="348">
        <v>171454478.76400003</v>
      </c>
      <c r="D87" s="170">
        <f>IF(B87=0, "    ---- ", IF(ABS(ROUND(100/B87*C87-100,1))&lt;999,ROUND(100/B87*C87-100,1),IF(ROUND(100/B87*C87-100,1)&gt;999,999,-999)))</f>
        <v>2.7</v>
      </c>
      <c r="E87" s="11">
        <f>IFERROR(100/'Skjema total MA'!C87*C87,0)</f>
        <v>42.393319805876096</v>
      </c>
      <c r="F87" s="347">
        <v>122233388.62800001</v>
      </c>
      <c r="G87" s="347">
        <v>140177685.09599999</v>
      </c>
      <c r="H87" s="170">
        <f>IF(F87=0, "    ---- ", IF(ABS(ROUND(100/F87*G87-100,1))&lt;999,ROUND(100/F87*G87-100,1),IF(ROUND(100/F87*G87-100,1)&gt;999,999,-999)))</f>
        <v>14.7</v>
      </c>
      <c r="I87" s="11">
        <f>IFERROR(100/'Skjema total MA'!F87*G87,0)</f>
        <v>31.158736972353275</v>
      </c>
      <c r="J87" s="306">
        <f t="shared" si="22"/>
        <v>289150071.93300003</v>
      </c>
      <c r="K87" s="234">
        <f t="shared" si="22"/>
        <v>311632163.86000001</v>
      </c>
      <c r="L87" s="422">
        <f>IF(J87=0, "    ---- ", IF(ABS(ROUND(100/J87*K87-100,1))&lt;999,ROUND(100/J87*K87-100,1),IF(ROUND(100/J87*K87-100,1)&gt;999,999,-999)))</f>
        <v>7.8</v>
      </c>
      <c r="M87" s="11">
        <f>IFERROR(100/'Skjema total MA'!I87*K87,0)</f>
        <v>36.477220533426582</v>
      </c>
    </row>
    <row r="88" spans="1:13" x14ac:dyDescent="0.25">
      <c r="A88" s="21" t="s">
        <v>9</v>
      </c>
      <c r="B88" s="232">
        <v>160820217.98899999</v>
      </c>
      <c r="C88" s="144">
        <v>164336765.57300001</v>
      </c>
      <c r="D88" s="165">
        <f>IF(B88=0, "    ---- ", IF(ABS(ROUND(100/B88*C88-100,1))&lt;999,ROUND(100/B88*C88-100,1),IF(ROUND(100/B88*C88-100,1)&gt;999,999,-999)))</f>
        <v>2.2000000000000002</v>
      </c>
      <c r="E88" s="27">
        <f>IFERROR(100/'Skjema total MA'!C88*C88,0)</f>
        <v>42.080211891595908</v>
      </c>
      <c r="F88" s="232"/>
      <c r="G88" s="144"/>
      <c r="H88" s="165"/>
      <c r="I88" s="27"/>
      <c r="J88" s="284">
        <f t="shared" si="22"/>
        <v>160820217.98899999</v>
      </c>
      <c r="K88" s="44">
        <f t="shared" si="22"/>
        <v>164336765.57300001</v>
      </c>
      <c r="L88" s="252">
        <f>IF(J88=0, "    ---- ", IF(ABS(ROUND(100/J88*K88-100,1))&lt;999,ROUND(100/J88*K88-100,1),IF(ROUND(100/J88*K88-100,1)&gt;999,999,-999)))</f>
        <v>2.2000000000000002</v>
      </c>
      <c r="M88" s="27">
        <f>IFERROR(100/'Skjema total MA'!I88*K88,0)</f>
        <v>42.080211891595908</v>
      </c>
    </row>
    <row r="89" spans="1:13" x14ac:dyDescent="0.25">
      <c r="A89" s="21" t="s">
        <v>10</v>
      </c>
      <c r="B89" s="232">
        <v>48051.506999999998</v>
      </c>
      <c r="C89" s="144">
        <v>48135.366999999998</v>
      </c>
      <c r="D89" s="165">
        <f>IF(B89=0, "    ---- ", IF(ABS(ROUND(100/B89*C89-100,1))&lt;999,ROUND(100/B89*C89-100,1),IF(ROUND(100/B89*C89-100,1)&gt;999,999,-999)))</f>
        <v>0.2</v>
      </c>
      <c r="E89" s="27">
        <f>IFERROR(100/'Skjema total MA'!C89*C89,0)</f>
        <v>1.5191690442935821</v>
      </c>
      <c r="F89" s="232">
        <v>120390060.287</v>
      </c>
      <c r="G89" s="144">
        <v>137037354.27599999</v>
      </c>
      <c r="H89" s="165">
        <f>IF(F89=0, "    ---- ", IF(ABS(ROUND(100/F89*G89-100,1))&lt;999,ROUND(100/F89*G89-100,1),IF(ROUND(100/F89*G89-100,1)&gt;999,999,-999)))</f>
        <v>13.8</v>
      </c>
      <c r="I89" s="27">
        <f>IFERROR(100/'Skjema total MA'!F89*G89,0)</f>
        <v>30.792506764017318</v>
      </c>
      <c r="J89" s="284">
        <f t="shared" si="22"/>
        <v>120438111.794</v>
      </c>
      <c r="K89" s="44">
        <f t="shared" si="22"/>
        <v>137085489.64300001</v>
      </c>
      <c r="L89" s="252">
        <f>IF(J89=0, "    ---- ", IF(ABS(ROUND(100/J89*K89-100,1))&lt;999,ROUND(100/J89*K89-100,1),IF(ROUND(100/J89*K89-100,1)&gt;999,999,-999)))</f>
        <v>13.8</v>
      </c>
      <c r="M89" s="27">
        <f>IFERROR(100/'Skjema total MA'!I89*K89,0)</f>
        <v>30.585561544267915</v>
      </c>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v>48051.506999999998</v>
      </c>
      <c r="C93" s="278">
        <v>48135.366999999998</v>
      </c>
      <c r="D93" s="165">
        <f>IF(B93=0, "    ---- ", IF(ABS(ROUND(100/B93*C93-100,1))&lt;999,ROUND(100/B93*C93-100,1),IF(ROUND(100/B93*C93-100,1)&gt;999,999,-999)))</f>
        <v>0.2</v>
      </c>
      <c r="E93" s="27">
        <f>IFERROR(100/'Skjema total MA'!C93*C93,0)</f>
        <v>1.5191690442935821</v>
      </c>
      <c r="F93" s="278">
        <v>120390060.287</v>
      </c>
      <c r="G93" s="278">
        <v>137037354.27599999</v>
      </c>
      <c r="H93" s="165">
        <f>IF(F93=0, "    ---- ", IF(ABS(ROUND(100/F93*G93-100,1))&lt;999,ROUND(100/F93*G93-100,1),IF(ROUND(100/F93*G93-100,1)&gt;999,999,-999)))</f>
        <v>13.8</v>
      </c>
      <c r="I93" s="27">
        <f>IFERROR(100/'Skjema total MA'!F93*G93,0)</f>
        <v>30.800484297131497</v>
      </c>
      <c r="J93" s="284">
        <f t="shared" ref="J93" si="23">SUM(B93,F93)</f>
        <v>120438111.794</v>
      </c>
      <c r="K93" s="44">
        <f t="shared" ref="K93" si="24">SUM(C93,G93)</f>
        <v>137085489.64300001</v>
      </c>
      <c r="L93" s="252">
        <f>IF(J93=0, "    ---- ", IF(ABS(ROUND(100/J93*K93-100,1))&lt;999,ROUND(100/J93*K93-100,1),IF(ROUND(100/J93*K93-100,1)&gt;999,999,-999)))</f>
        <v>13.8</v>
      </c>
      <c r="M93" s="23">
        <f>IFERROR(100/'Skjema total MA'!I93*K93,0)</f>
        <v>30.593429431447788</v>
      </c>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v>120390060.287</v>
      </c>
      <c r="G95" s="278">
        <v>137037354.27599999</v>
      </c>
      <c r="H95" s="165">
        <f>IF(F95=0, "    ---- ", IF(ABS(ROUND(100/F95*G95-100,1))&lt;999,ROUND(100/F95*G95-100,1),IF(ROUND(100/F95*G95-100,1)&gt;999,999,-999)))</f>
        <v>13.8</v>
      </c>
      <c r="I95" s="27">
        <f>IFERROR(100/'Skjema total MA'!F95*G95,0)</f>
        <v>30.853236805382718</v>
      </c>
      <c r="J95" s="284">
        <f t="shared" ref="J95" si="25">SUM(B95,F95)</f>
        <v>120390060.287</v>
      </c>
      <c r="K95" s="44">
        <f t="shared" ref="K95" si="26">SUM(C95,G95)</f>
        <v>137037354.27599999</v>
      </c>
      <c r="L95" s="252">
        <f t="shared" ref="L95:L100" si="27">IF(J95=0, "    ---- ", IF(ABS(ROUND(100/J95*K95-100,1))&lt;999,ROUND(100/J95*K95-100,1),IF(ROUND(100/J95*K95-100,1)&gt;999,999,-999)))</f>
        <v>13.8</v>
      </c>
      <c r="M95" s="23">
        <f>IFERROR(100/'Skjema total MA'!I95*K95,0)</f>
        <v>30.853236805382718</v>
      </c>
    </row>
    <row r="96" spans="1:13" x14ac:dyDescent="0.25">
      <c r="A96" s="21" t="s">
        <v>346</v>
      </c>
      <c r="B96" s="232">
        <v>432975.29100000003</v>
      </c>
      <c r="C96" s="144">
        <v>720179.11699999997</v>
      </c>
      <c r="D96" s="165">
        <f>IF(B96=0, "    ---- ", IF(ABS(ROUND(100/B96*C96-100,1))&lt;999,ROUND(100/B96*C96-100,1),IF(ROUND(100/B96*C96-100,1)&gt;999,999,-999)))</f>
        <v>66.3</v>
      </c>
      <c r="E96" s="27">
        <f>IFERROR(100/'Skjema total MA'!C96*C96,0)</f>
        <v>25.197087487886758</v>
      </c>
      <c r="F96" s="232">
        <v>1843328.341</v>
      </c>
      <c r="G96" s="144">
        <v>3140330.82</v>
      </c>
      <c r="H96" s="165">
        <f>IF(F96=0, "    ---- ", IF(ABS(ROUND(100/F96*G96-100,1))&lt;999,ROUND(100/F96*G96-100,1),IF(ROUND(100/F96*G96-100,1)&gt;999,999,-999)))</f>
        <v>70.400000000000006</v>
      </c>
      <c r="I96" s="27">
        <f>IFERROR(100/'Skjema total MA'!F96*G96,0)</f>
        <v>64.779935901635326</v>
      </c>
      <c r="J96" s="284">
        <f t="shared" ref="J96:K100" si="28">SUM(B96,F96)</f>
        <v>2276303.6320000002</v>
      </c>
      <c r="K96" s="44">
        <f t="shared" si="28"/>
        <v>3860509.9369999999</v>
      </c>
      <c r="L96" s="252">
        <f t="shared" si="27"/>
        <v>69.599999999999994</v>
      </c>
      <c r="M96" s="27">
        <f>IFERROR(100/'Skjema total MA'!I96*K96,0)</f>
        <v>50.098271552127223</v>
      </c>
    </row>
    <row r="97" spans="1:13" x14ac:dyDescent="0.25">
      <c r="A97" s="21" t="s">
        <v>345</v>
      </c>
      <c r="B97" s="232">
        <v>5615438.5180000002</v>
      </c>
      <c r="C97" s="144">
        <v>6349398.7070000004</v>
      </c>
      <c r="D97" s="165">
        <f>IF(B97=0, "    ---- ", IF(ABS(ROUND(100/B97*C97-100,1))&lt;999,ROUND(100/B97*C97-100,1),IF(ROUND(100/B97*C97-100,1)&gt;999,999,-999)))</f>
        <v>13.1</v>
      </c>
      <c r="E97" s="27">
        <f>IFERROR(100/'Skjema total MA'!C97*C97,0)</f>
        <v>80.590426699623691</v>
      </c>
      <c r="F97" s="232"/>
      <c r="G97" s="144"/>
      <c r="H97" s="165"/>
      <c r="I97" s="27"/>
      <c r="J97" s="284">
        <f t="shared" si="28"/>
        <v>5615438.5180000002</v>
      </c>
      <c r="K97" s="44">
        <f t="shared" si="28"/>
        <v>6349398.7070000004</v>
      </c>
      <c r="L97" s="252">
        <f t="shared" si="27"/>
        <v>13.1</v>
      </c>
      <c r="M97" s="27">
        <f>IFERROR(100/'Skjema total MA'!I97*K97,0)</f>
        <v>80.590426699623691</v>
      </c>
    </row>
    <row r="98" spans="1:13" ht="15.6" x14ac:dyDescent="0.25">
      <c r="A98" s="21" t="s">
        <v>461</v>
      </c>
      <c r="B98" s="232">
        <v>157613976.09900001</v>
      </c>
      <c r="C98" s="232">
        <v>161036116.99600002</v>
      </c>
      <c r="D98" s="165">
        <f>IF(B98=0, "    ---- ", IF(ABS(ROUND(100/B98*C98-100,1))&lt;999,ROUND(100/B98*C98-100,1),IF(ROUND(100/B98*C98-100,1)&gt;999,999,-999)))</f>
        <v>2.2000000000000002</v>
      </c>
      <c r="E98" s="27">
        <f>IFERROR(100/'Skjema total MA'!C98*C98,0)</f>
        <v>41.377848206235939</v>
      </c>
      <c r="F98" s="289">
        <v>120390060.287</v>
      </c>
      <c r="G98" s="289">
        <v>137037354.27599999</v>
      </c>
      <c r="H98" s="165">
        <f>IF(F98=0, "    ---- ", IF(ABS(ROUND(100/F98*G98-100,1))&lt;999,ROUND(100/F98*G98-100,1),IF(ROUND(100/F98*G98-100,1)&gt;999,999,-999)))</f>
        <v>13.8</v>
      </c>
      <c r="I98" s="27">
        <f>IFERROR(100/'Skjema total MA'!F98*G98,0)</f>
        <v>30.859202461155949</v>
      </c>
      <c r="J98" s="284">
        <f t="shared" si="28"/>
        <v>278004036.38600004</v>
      </c>
      <c r="K98" s="44">
        <f t="shared" si="28"/>
        <v>298073471.27200001</v>
      </c>
      <c r="L98" s="252">
        <f t="shared" si="27"/>
        <v>7.2</v>
      </c>
      <c r="M98" s="27">
        <f>IFERROR(100/'Skjema total MA'!I98*K98,0)</f>
        <v>35.772081915438925</v>
      </c>
    </row>
    <row r="99" spans="1:13" x14ac:dyDescent="0.25">
      <c r="A99" s="21" t="s">
        <v>9</v>
      </c>
      <c r="B99" s="289">
        <v>157565924.59200001</v>
      </c>
      <c r="C99" s="290">
        <v>160987981.62900001</v>
      </c>
      <c r="D99" s="165">
        <f>IF(B99=0, "    ---- ", IF(ABS(ROUND(100/B99*C99-100,1))&lt;999,ROUND(100/B99*C99-100,1),IF(ROUND(100/B99*C99-100,1)&gt;999,999,-999)))</f>
        <v>2.2000000000000002</v>
      </c>
      <c r="E99" s="27">
        <f>IFERROR(100/'Skjema total MA'!C99*C99,0)</f>
        <v>41.705020084449202</v>
      </c>
      <c r="F99" s="232"/>
      <c r="G99" s="144"/>
      <c r="H99" s="165"/>
      <c r="I99" s="27"/>
      <c r="J99" s="284">
        <f t="shared" si="28"/>
        <v>157565924.59200001</v>
      </c>
      <c r="K99" s="44">
        <f t="shared" si="28"/>
        <v>160987981.62900001</v>
      </c>
      <c r="L99" s="252">
        <f t="shared" si="27"/>
        <v>2.2000000000000002</v>
      </c>
      <c r="M99" s="27">
        <f>IFERROR(100/'Skjema total MA'!I99*K99,0)</f>
        <v>41.705020084449202</v>
      </c>
    </row>
    <row r="100" spans="1:13" x14ac:dyDescent="0.25">
      <c r="A100" s="38" t="s">
        <v>495</v>
      </c>
      <c r="B100" s="289">
        <v>48051.506999999998</v>
      </c>
      <c r="C100" s="290">
        <v>48135.366999999998</v>
      </c>
      <c r="D100" s="165">
        <f>IF(B100=0, "    ---- ", IF(ABS(ROUND(100/B100*C100-100,1))&lt;999,ROUND(100/B100*C100-100,1),IF(ROUND(100/B100*C100-100,1)&gt;999,999,-999)))</f>
        <v>0.2</v>
      </c>
      <c r="E100" s="27">
        <f>IFERROR(100/'Skjema total MA'!C100*C100,0)</f>
        <v>1.5191690442935821</v>
      </c>
      <c r="F100" s="232">
        <v>120390060.287</v>
      </c>
      <c r="G100" s="232">
        <v>137037354.27599999</v>
      </c>
      <c r="H100" s="165">
        <f>IF(F100=0, "    ---- ", IF(ABS(ROUND(100/F100*G100-100,1))&lt;999,ROUND(100/F100*G100-100,1),IF(ROUND(100/F100*G100-100,1)&gt;999,999,-999)))</f>
        <v>13.8</v>
      </c>
      <c r="I100" s="27">
        <f>IFERROR(100/'Skjema total MA'!F100*G100,0)</f>
        <v>30.859202461155949</v>
      </c>
      <c r="J100" s="284">
        <f t="shared" si="28"/>
        <v>120438111.794</v>
      </c>
      <c r="K100" s="44">
        <f t="shared" si="28"/>
        <v>137085489.64300001</v>
      </c>
      <c r="L100" s="252">
        <f t="shared" si="27"/>
        <v>13.8</v>
      </c>
      <c r="M100" s="27">
        <f>IFERROR(100/'Skjema total MA'!I100*K100,0)</f>
        <v>30.651339666281814</v>
      </c>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v>48051.506999999998</v>
      </c>
      <c r="C104" s="278">
        <v>48135.366999999998</v>
      </c>
      <c r="D104" s="165">
        <f>IF(B104=0, "    ---- ", IF(ABS(ROUND(100/B104*C104-100,1))&lt;999,ROUND(100/B104*C104-100,1),IF(ROUND(100/B104*C104-100,1)&gt;999,999,-999)))</f>
        <v>0.2</v>
      </c>
      <c r="E104" s="27">
        <f>IFERROR(100/'Skjema total MA'!C104*C104,0)</f>
        <v>1.5191690442935821</v>
      </c>
      <c r="F104" s="278">
        <v>120390060.287</v>
      </c>
      <c r="G104" s="278">
        <v>137037354.27599999</v>
      </c>
      <c r="H104" s="165">
        <f>IF(F104=0, "    ---- ", IF(ABS(ROUND(100/F104*G104-100,1))&lt;999,ROUND(100/F104*G104-100,1),IF(ROUND(100/F104*G104-100,1)&gt;999,999,-999)))</f>
        <v>13.8</v>
      </c>
      <c r="I104" s="27">
        <f>IFERROR(100/'Skjema total MA'!F104*G104,0)</f>
        <v>30.859202461155949</v>
      </c>
      <c r="J104" s="284">
        <f t="shared" ref="J104" si="29">SUM(B104,F104)</f>
        <v>120438111.794</v>
      </c>
      <c r="K104" s="44">
        <f t="shared" ref="K104" si="30">SUM(C104,G104)</f>
        <v>137085489.64300001</v>
      </c>
      <c r="L104" s="252">
        <f>IF(J104=0, "    ---- ", IF(ABS(ROUND(100/J104*K104-100,1))&lt;999,ROUND(100/J104*K104-100,1),IF(ROUND(100/J104*K104-100,1)&gt;999,999,-999)))</f>
        <v>13.8</v>
      </c>
      <c r="M104" s="23">
        <f>IFERROR(100/'Skjema total MA'!I104*K104,0)</f>
        <v>30.651339666281814</v>
      </c>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v>120390060.287</v>
      </c>
      <c r="G106" s="278">
        <v>137037354.27599999</v>
      </c>
      <c r="H106" s="165">
        <f>IF(F106=0, "    ---- ", IF(ABS(ROUND(100/F106*G106-100,1))&lt;999,ROUND(100/F106*G106-100,1),IF(ROUND(100/F106*G106-100,1)&gt;999,999,-999)))</f>
        <v>13.8</v>
      </c>
      <c r="I106" s="27">
        <f>IFERROR(100/'Skjema total MA'!F106*G106,0)</f>
        <v>30.859208873119442</v>
      </c>
      <c r="J106" s="284">
        <f t="shared" ref="J106" si="31">SUM(B106,F106)</f>
        <v>120390060.287</v>
      </c>
      <c r="K106" s="44">
        <f t="shared" ref="K106" si="32">SUM(C106,G106)</f>
        <v>137037354.27599999</v>
      </c>
      <c r="L106" s="252">
        <f t="shared" ref="L106:L111" si="33">IF(J106=0, "    ---- ", IF(ABS(ROUND(100/J106*K106-100,1))&lt;999,ROUND(100/J106*K106-100,1),IF(ROUND(100/J106*K106-100,1)&gt;999,999,-999)))</f>
        <v>13.8</v>
      </c>
      <c r="M106" s="23">
        <f>IFERROR(100/'Skjema total MA'!I106*K106,0)</f>
        <v>30.859208873119442</v>
      </c>
    </row>
    <row r="107" spans="1:13" ht="15.6" x14ac:dyDescent="0.25">
      <c r="A107" s="21" t="s">
        <v>462</v>
      </c>
      <c r="B107" s="232">
        <v>3254293.3969999999</v>
      </c>
      <c r="C107" s="144">
        <v>3348783.9440000001</v>
      </c>
      <c r="D107" s="165">
        <f>IF(B107=0, "    ---- ", IF(ABS(ROUND(100/B107*C107-100,1))&lt;999,ROUND(100/B107*C107-100,1),IF(ROUND(100/B107*C107-100,1)&gt;999,999,-999)))</f>
        <v>2.9</v>
      </c>
      <c r="E107" s="27">
        <f>IFERROR(100/'Skjema total MA'!C107*C107,0)</f>
        <v>74.148237763160978</v>
      </c>
      <c r="F107" s="232"/>
      <c r="G107" s="144"/>
      <c r="H107" s="165"/>
      <c r="I107" s="27"/>
      <c r="J107" s="284">
        <f t="shared" ref="J107:K111" si="34">SUM(B107,F107)</f>
        <v>3254293.3969999999</v>
      </c>
      <c r="K107" s="44">
        <f t="shared" si="34"/>
        <v>3348783.9440000001</v>
      </c>
      <c r="L107" s="252">
        <f t="shared" si="33"/>
        <v>2.9</v>
      </c>
      <c r="M107" s="27">
        <f>IFERROR(100/'Skjema total MA'!I107*K107,0)</f>
        <v>61.129433075345275</v>
      </c>
    </row>
    <row r="108" spans="1:13" ht="15.6" x14ac:dyDescent="0.25">
      <c r="A108" s="21" t="s">
        <v>463</v>
      </c>
      <c r="B108" s="232">
        <v>138964539.947</v>
      </c>
      <c r="C108" s="232">
        <v>143824402.62</v>
      </c>
      <c r="D108" s="165">
        <f>IF(B108=0, "    ---- ", IF(ABS(ROUND(100/B108*C108-100,1))&lt;999,ROUND(100/B108*C108-100,1),IF(ROUND(100/B108*C108-100,1)&gt;999,999,-999)))</f>
        <v>3.5</v>
      </c>
      <c r="E108" s="27">
        <f>IFERROR(100/'Skjema total MA'!C108*C108,0)</f>
        <v>42.755515308861831</v>
      </c>
      <c r="F108" s="232">
        <v>17760843.967999998</v>
      </c>
      <c r="G108" s="232">
        <v>19905186.077</v>
      </c>
      <c r="H108" s="165">
        <f>IF(F108=0, "    ---- ", IF(ABS(ROUND(100/F108*G108-100,1))&lt;999,ROUND(100/F108*G108-100,1),IF(ROUND(100/F108*G108-100,1)&gt;999,999,-999)))</f>
        <v>12.1</v>
      </c>
      <c r="I108" s="27">
        <f>IFERROR(100/'Skjema total MA'!F108*G108,0)</f>
        <v>94.542297945483384</v>
      </c>
      <c r="J108" s="284">
        <f t="shared" si="34"/>
        <v>156725383.91499999</v>
      </c>
      <c r="K108" s="44">
        <f t="shared" si="34"/>
        <v>163729588.697</v>
      </c>
      <c r="L108" s="252">
        <f t="shared" si="33"/>
        <v>4.5</v>
      </c>
      <c r="M108" s="27">
        <f>IFERROR(100/'Skjema total MA'!I108*K108,0)</f>
        <v>45.805889880802972</v>
      </c>
    </row>
    <row r="109" spans="1:13" ht="15.75" customHeight="1" x14ac:dyDescent="0.25">
      <c r="A109" s="21" t="s">
        <v>510</v>
      </c>
      <c r="B109" s="232">
        <v>0</v>
      </c>
      <c r="C109" s="232">
        <v>359794.54</v>
      </c>
      <c r="D109" s="165" t="str">
        <f>IF(B109=0, "    ---- ", IF(ABS(ROUND(100/B109*C109-100,1))&lt;999,ROUND(100/B109*C109-100,1),IF(ROUND(100/B109*C109-100,1)&gt;999,999,-999)))</f>
        <v xml:space="preserve">    ---- </v>
      </c>
      <c r="E109" s="27">
        <f>IFERROR(100/'Skjema total MA'!C109*C109,0)</f>
        <v>21.809584238954233</v>
      </c>
      <c r="F109" s="232">
        <v>38135318.649999999</v>
      </c>
      <c r="G109" s="232">
        <v>40181421.615000002</v>
      </c>
      <c r="H109" s="165">
        <f>IF(F109=0, "    ---- ", IF(ABS(ROUND(100/F109*G109-100,1))&lt;999,ROUND(100/F109*G109-100,1),IF(ROUND(100/F109*G109-100,1)&gt;999,999,-999)))</f>
        <v>5.4</v>
      </c>
      <c r="I109" s="27">
        <f>IFERROR(100/'Skjema total MA'!F109*G109,0)</f>
        <v>25.875898399369195</v>
      </c>
      <c r="J109" s="284">
        <f t="shared" si="34"/>
        <v>38135318.649999999</v>
      </c>
      <c r="K109" s="44">
        <f t="shared" si="34"/>
        <v>40541216.155000001</v>
      </c>
      <c r="L109" s="252">
        <f t="shared" si="33"/>
        <v>6.3</v>
      </c>
      <c r="M109" s="27">
        <f>IFERROR(100/'Skjema total MA'!I109*K109,0)</f>
        <v>25.833153061381438</v>
      </c>
    </row>
    <row r="110" spans="1:13" ht="15.6" x14ac:dyDescent="0.25">
      <c r="A110" s="21" t="s">
        <v>464</v>
      </c>
      <c r="B110" s="232">
        <v>149870.61300000001</v>
      </c>
      <c r="C110" s="232">
        <v>355704</v>
      </c>
      <c r="D110" s="165">
        <f>IF(B110=0, "    ---- ", IF(ABS(ROUND(100/B110*C110-100,1))&lt;999,ROUND(100/B110*C110-100,1),IF(ROUND(100/B110*C110-100,1)&gt;999,999,-999)))</f>
        <v>137.30000000000001</v>
      </c>
      <c r="E110" s="27">
        <f>IFERROR(100/'Skjema total MA'!C110*C110,0)</f>
        <v>39.338799354240045</v>
      </c>
      <c r="F110" s="232"/>
      <c r="G110" s="232"/>
      <c r="H110" s="165"/>
      <c r="I110" s="27"/>
      <c r="J110" s="284">
        <f t="shared" si="34"/>
        <v>149870.61300000001</v>
      </c>
      <c r="K110" s="44">
        <f t="shared" si="34"/>
        <v>355704</v>
      </c>
      <c r="L110" s="252">
        <f t="shared" si="33"/>
        <v>137.30000000000001</v>
      </c>
      <c r="M110" s="27">
        <f>IFERROR(100/'Skjema total MA'!I110*K110,0)</f>
        <v>39.338799354240045</v>
      </c>
    </row>
    <row r="111" spans="1:13" ht="15.6" x14ac:dyDescent="0.25">
      <c r="A111" s="13" t="s">
        <v>445</v>
      </c>
      <c r="B111" s="305">
        <v>433394.37200000003</v>
      </c>
      <c r="C111" s="158">
        <v>117249.001</v>
      </c>
      <c r="D111" s="170">
        <f>IF(B111=0, "    ---- ", IF(ABS(ROUND(100/B111*C111-100,1))&lt;999,ROUND(100/B111*C111-100,1),IF(ROUND(100/B111*C111-100,1)&gt;999,999,-999)))</f>
        <v>-72.900000000000006</v>
      </c>
      <c r="E111" s="11">
        <f>IFERROR(100/'Skjema total MA'!C111*C111,0)</f>
        <v>20.646258443667662</v>
      </c>
      <c r="F111" s="305">
        <v>5249196.7450000001</v>
      </c>
      <c r="G111" s="158">
        <v>12161231.388</v>
      </c>
      <c r="H111" s="170">
        <f>IF(F111=0, "    ---- ", IF(ABS(ROUND(100/F111*G111-100,1))&lt;999,ROUND(100/F111*G111-100,1),IF(ROUND(100/F111*G111-100,1)&gt;999,999,-999)))</f>
        <v>131.69999999999999</v>
      </c>
      <c r="I111" s="11">
        <f>IFERROR(100/'Skjema total MA'!F111*G111,0)</f>
        <v>14.442460420359291</v>
      </c>
      <c r="J111" s="306">
        <f t="shared" si="34"/>
        <v>5682591.1170000006</v>
      </c>
      <c r="K111" s="234">
        <f t="shared" si="34"/>
        <v>12278480.389</v>
      </c>
      <c r="L111" s="422">
        <f t="shared" si="33"/>
        <v>116.1</v>
      </c>
      <c r="M111" s="11">
        <f>IFERROR(100/'Skjema total MA'!I111*K111,0)</f>
        <v>14.484019883921588</v>
      </c>
    </row>
    <row r="112" spans="1:13" x14ac:dyDescent="0.25">
      <c r="A112" s="21" t="s">
        <v>9</v>
      </c>
      <c r="B112" s="232">
        <v>10049.135</v>
      </c>
      <c r="C112" s="144">
        <v>5605.4290000000001</v>
      </c>
      <c r="D112" s="165">
        <f t="shared" ref="D112:D125" si="35">IF(B112=0, "    ---- ", IF(ABS(ROUND(100/B112*C112-100,1))&lt;999,ROUND(100/B112*C112-100,1),IF(ROUND(100/B112*C112-100,1)&gt;999,999,-999)))</f>
        <v>-44.2</v>
      </c>
      <c r="E112" s="27">
        <f>IFERROR(100/'Skjema total MA'!C112*C112,0)</f>
        <v>1.2683250905647248</v>
      </c>
      <c r="F112" s="232">
        <v>19099.904999999999</v>
      </c>
      <c r="G112" s="144">
        <v>11434.885</v>
      </c>
      <c r="H112" s="165">
        <f t="shared" ref="H112:H125" si="36">IF(F112=0, "    ---- ", IF(ABS(ROUND(100/F112*G112-100,1))&lt;999,ROUND(100/F112*G112-100,1),IF(ROUND(100/F112*G112-100,1)&gt;999,999,-999)))</f>
        <v>-40.1</v>
      </c>
      <c r="I112" s="27">
        <f>IFERROR(100/'Skjema total MA'!F112*G112,0)</f>
        <v>100</v>
      </c>
      <c r="J112" s="284">
        <f t="shared" ref="J112:K125" si="37">SUM(B112,F112)</f>
        <v>29149.040000000001</v>
      </c>
      <c r="K112" s="44">
        <f t="shared" si="37"/>
        <v>17040.313999999998</v>
      </c>
      <c r="L112" s="252">
        <f t="shared" ref="L112:L125" si="38">IF(J112=0, "    ---- ", IF(ABS(ROUND(100/J112*K112-100,1))&lt;999,ROUND(100/J112*K112-100,1),IF(ROUND(100/J112*K112-100,1)&gt;999,999,-999)))</f>
        <v>-41.5</v>
      </c>
      <c r="M112" s="27">
        <f>IFERROR(100/'Skjema total MA'!I112*K112,0)</f>
        <v>3.758422084444315</v>
      </c>
    </row>
    <row r="113" spans="1:14" x14ac:dyDescent="0.25">
      <c r="A113" s="21" t="s">
        <v>495</v>
      </c>
      <c r="B113" s="232"/>
      <c r="C113" s="144"/>
      <c r="D113" s="165"/>
      <c r="E113" s="27"/>
      <c r="F113" s="232">
        <v>5161327.7549999999</v>
      </c>
      <c r="G113" s="144">
        <v>12149796.503</v>
      </c>
      <c r="H113" s="165">
        <f t="shared" si="36"/>
        <v>135.4</v>
      </c>
      <c r="I113" s="27">
        <f>IFERROR(100/'Skjema total MA'!F113*G113,0)</f>
        <v>14.430840244437315</v>
      </c>
      <c r="J113" s="284">
        <f t="shared" si="37"/>
        <v>5161327.7549999999</v>
      </c>
      <c r="K113" s="44">
        <f t="shared" si="37"/>
        <v>12149796.503</v>
      </c>
      <c r="L113" s="252">
        <f t="shared" si="38"/>
        <v>135.4</v>
      </c>
      <c r="M113" s="27">
        <f>IFERROR(100/'Skjema total MA'!I113*K113,0)</f>
        <v>14.430797502471941</v>
      </c>
    </row>
    <row r="114" spans="1:14" x14ac:dyDescent="0.25">
      <c r="A114" s="21" t="s">
        <v>26</v>
      </c>
      <c r="B114" s="232">
        <v>423345.23700000002</v>
      </c>
      <c r="C114" s="144">
        <v>111643.572</v>
      </c>
      <c r="D114" s="165">
        <f t="shared" si="35"/>
        <v>-73.599999999999994</v>
      </c>
      <c r="E114" s="27">
        <f>IFERROR(100/'Skjema total MA'!C114*C114,0)</f>
        <v>88.824492467348421</v>
      </c>
      <c r="F114" s="232">
        <v>68769.085000000006</v>
      </c>
      <c r="G114" s="144">
        <v>0</v>
      </c>
      <c r="H114" s="165">
        <f t="shared" si="36"/>
        <v>-100</v>
      </c>
      <c r="I114" s="27">
        <f>IFERROR(100/'Skjema total MA'!F114*G114,0)</f>
        <v>0</v>
      </c>
      <c r="J114" s="284">
        <f t="shared" si="37"/>
        <v>492114.32200000004</v>
      </c>
      <c r="K114" s="44">
        <f t="shared" si="37"/>
        <v>111643.572</v>
      </c>
      <c r="L114" s="252">
        <f t="shared" si="38"/>
        <v>-77.3</v>
      </c>
      <c r="M114" s="27">
        <f>IFERROR(100/'Skjema total MA'!I114*K114,0)</f>
        <v>88.824492467348421</v>
      </c>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v>2632.0619999999999</v>
      </c>
      <c r="C116" s="232">
        <v>502.11200000000002</v>
      </c>
      <c r="D116" s="165">
        <f t="shared" si="35"/>
        <v>-80.900000000000006</v>
      </c>
      <c r="E116" s="27">
        <f>IFERROR(100/'Skjema total MA'!C116*C116,0)</f>
        <v>0.42980489207603462</v>
      </c>
      <c r="F116" s="232">
        <v>19099.904999999999</v>
      </c>
      <c r="G116" s="232">
        <v>11434.885</v>
      </c>
      <c r="H116" s="165">
        <f t="shared" si="36"/>
        <v>-40.1</v>
      </c>
      <c r="I116" s="27">
        <f>IFERROR(100/'Skjema total MA'!F116*G116,0)</f>
        <v>100</v>
      </c>
      <c r="J116" s="284">
        <f t="shared" si="37"/>
        <v>21731.966999999997</v>
      </c>
      <c r="K116" s="44">
        <f t="shared" si="37"/>
        <v>11936.996999999999</v>
      </c>
      <c r="L116" s="252">
        <f t="shared" si="38"/>
        <v>-45.1</v>
      </c>
      <c r="M116" s="27">
        <f>IFERROR(100/'Skjema total MA'!I116*K116,0)</f>
        <v>9.3070103847454604</v>
      </c>
    </row>
    <row r="117" spans="1:14" ht="15.75" customHeight="1" x14ac:dyDescent="0.25">
      <c r="A117" s="21" t="s">
        <v>510</v>
      </c>
      <c r="B117" s="232"/>
      <c r="C117" s="232"/>
      <c r="D117" s="165"/>
      <c r="E117" s="27"/>
      <c r="F117" s="232">
        <v>745820.152</v>
      </c>
      <c r="G117" s="232">
        <v>10638906.517000001</v>
      </c>
      <c r="H117" s="165">
        <f t="shared" si="36"/>
        <v>999</v>
      </c>
      <c r="I117" s="27">
        <f>IFERROR(100/'Skjema total MA'!F117*G117,0)</f>
        <v>15.366483334100852</v>
      </c>
      <c r="J117" s="284">
        <f t="shared" si="37"/>
        <v>745820.152</v>
      </c>
      <c r="K117" s="44">
        <f t="shared" si="37"/>
        <v>10638906.517000001</v>
      </c>
      <c r="L117" s="252">
        <f t="shared" si="38"/>
        <v>999</v>
      </c>
      <c r="M117" s="27">
        <f>IFERROR(100/'Skjema total MA'!I117*K117,0)</f>
        <v>15.366483334100852</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v>229877.73699999999</v>
      </c>
      <c r="C119" s="158">
        <v>297226.049</v>
      </c>
      <c r="D119" s="170">
        <f t="shared" si="35"/>
        <v>29.3</v>
      </c>
      <c r="E119" s="11">
        <f>IFERROR(100/'Skjema total MA'!C119*C119,0)</f>
        <v>56.795178904086114</v>
      </c>
      <c r="F119" s="305">
        <v>4724183.7779999999</v>
      </c>
      <c r="G119" s="158">
        <v>21425981.335999999</v>
      </c>
      <c r="H119" s="170">
        <f t="shared" si="36"/>
        <v>353.5</v>
      </c>
      <c r="I119" s="11">
        <f>IFERROR(100/'Skjema total MA'!F119*G119,0)</f>
        <v>23.481322018930701</v>
      </c>
      <c r="J119" s="306">
        <f t="shared" si="37"/>
        <v>4954061.5149999997</v>
      </c>
      <c r="K119" s="234">
        <f t="shared" si="37"/>
        <v>21723207.384999998</v>
      </c>
      <c r="L119" s="422">
        <f t="shared" si="38"/>
        <v>338.5</v>
      </c>
      <c r="M119" s="11">
        <f>IFERROR(100/'Skjema total MA'!I119*K119,0)</f>
        <v>23.671297885721554</v>
      </c>
    </row>
    <row r="120" spans="1:14" x14ac:dyDescent="0.25">
      <c r="A120" s="21" t="s">
        <v>9</v>
      </c>
      <c r="B120" s="232">
        <v>35408.815999999999</v>
      </c>
      <c r="C120" s="144">
        <v>159195.53</v>
      </c>
      <c r="D120" s="165">
        <f t="shared" si="35"/>
        <v>349.6</v>
      </c>
      <c r="E120" s="27">
        <f>IFERROR(100/'Skjema total MA'!C120*C120,0)</f>
        <v>44.864907316999975</v>
      </c>
      <c r="F120" s="232"/>
      <c r="G120" s="144"/>
      <c r="H120" s="165"/>
      <c r="I120" s="27"/>
      <c r="J120" s="284">
        <f t="shared" si="37"/>
        <v>35408.815999999999</v>
      </c>
      <c r="K120" s="44">
        <f t="shared" si="37"/>
        <v>159195.53</v>
      </c>
      <c r="L120" s="252">
        <f t="shared" si="38"/>
        <v>349.6</v>
      </c>
      <c r="M120" s="27">
        <f>IFERROR(100/'Skjema total MA'!I120*K120,0)</f>
        <v>44.864907316999975</v>
      </c>
    </row>
    <row r="121" spans="1:14" x14ac:dyDescent="0.25">
      <c r="A121" s="21" t="s">
        <v>495</v>
      </c>
      <c r="B121" s="232"/>
      <c r="C121" s="144"/>
      <c r="D121" s="165"/>
      <c r="E121" s="27"/>
      <c r="F121" s="232">
        <v>4724183.7779999999</v>
      </c>
      <c r="G121" s="144">
        <v>21425981.335999999</v>
      </c>
      <c r="H121" s="165">
        <f t="shared" si="36"/>
        <v>353.5</v>
      </c>
      <c r="I121" s="27">
        <f>IFERROR(100/'Skjema total MA'!F121*G121,0)</f>
        <v>23.481322018930701</v>
      </c>
      <c r="J121" s="284">
        <f t="shared" si="37"/>
        <v>4724183.7779999999</v>
      </c>
      <c r="K121" s="44">
        <f t="shared" si="37"/>
        <v>21425981.335999999</v>
      </c>
      <c r="L121" s="252">
        <f t="shared" si="38"/>
        <v>353.5</v>
      </c>
      <c r="M121" s="27">
        <f>IFERROR(100/'Skjema total MA'!I121*K121,0)</f>
        <v>23.477928375746266</v>
      </c>
    </row>
    <row r="122" spans="1:14" x14ac:dyDescent="0.25">
      <c r="A122" s="21" t="s">
        <v>26</v>
      </c>
      <c r="B122" s="232">
        <v>194468.921</v>
      </c>
      <c r="C122" s="144">
        <v>138030.519</v>
      </c>
      <c r="D122" s="165">
        <f t="shared" si="35"/>
        <v>-29</v>
      </c>
      <c r="E122" s="27">
        <f>IFERROR(100/'Skjema total MA'!C122*C122,0)</f>
        <v>88.875769390281931</v>
      </c>
      <c r="F122" s="232"/>
      <c r="G122" s="144"/>
      <c r="H122" s="165"/>
      <c r="I122" s="27"/>
      <c r="J122" s="284">
        <f t="shared" si="37"/>
        <v>194468.921</v>
      </c>
      <c r="K122" s="44">
        <f t="shared" si="37"/>
        <v>138030.519</v>
      </c>
      <c r="L122" s="252">
        <f t="shared" si="38"/>
        <v>-29</v>
      </c>
      <c r="M122" s="27">
        <f>IFERROR(100/'Skjema total MA'!I122*K122,0)</f>
        <v>88.875769390281931</v>
      </c>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v>5561.1589999999997</v>
      </c>
      <c r="C124" s="232">
        <v>6398.9260000000004</v>
      </c>
      <c r="D124" s="165">
        <f t="shared" si="35"/>
        <v>15.1</v>
      </c>
      <c r="E124" s="27">
        <f>IFERROR(100/'Skjema total MA'!C124*C124,0)</f>
        <v>16.709155955649173</v>
      </c>
      <c r="F124" s="232">
        <v>26139.314999999999</v>
      </c>
      <c r="G124" s="232">
        <v>44396.533000000003</v>
      </c>
      <c r="H124" s="165">
        <f t="shared" si="36"/>
        <v>69.8</v>
      </c>
      <c r="I124" s="27">
        <f>IFERROR(100/'Skjema total MA'!F124*G124,0)</f>
        <v>97.118783491370053</v>
      </c>
      <c r="J124" s="284">
        <f t="shared" si="37"/>
        <v>31700.473999999998</v>
      </c>
      <c r="K124" s="44">
        <f t="shared" si="37"/>
        <v>50795.459000000003</v>
      </c>
      <c r="L124" s="252">
        <f t="shared" si="38"/>
        <v>60.2</v>
      </c>
      <c r="M124" s="27">
        <f>IFERROR(100/'Skjema total MA'!I124*K124,0)</f>
        <v>60.463897397972573</v>
      </c>
    </row>
    <row r="125" spans="1:14" ht="15.75" customHeight="1" x14ac:dyDescent="0.25">
      <c r="A125" s="21" t="s">
        <v>510</v>
      </c>
      <c r="B125" s="232">
        <v>277.54899999999998</v>
      </c>
      <c r="C125" s="232">
        <v>398.26600000000002</v>
      </c>
      <c r="D125" s="165">
        <f t="shared" si="35"/>
        <v>43.5</v>
      </c>
      <c r="E125" s="27">
        <f>IFERROR(100/'Skjema total MA'!C125*C125,0)</f>
        <v>16.395673166923864</v>
      </c>
      <c r="F125" s="232">
        <v>852685.28799999994</v>
      </c>
      <c r="G125" s="232">
        <v>17125498.921999998</v>
      </c>
      <c r="H125" s="165">
        <f t="shared" si="36"/>
        <v>999</v>
      </c>
      <c r="I125" s="27">
        <f>IFERROR(100/'Skjema total MA'!F125*G125,0)</f>
        <v>23.736869650651613</v>
      </c>
      <c r="J125" s="284">
        <f t="shared" si="37"/>
        <v>852962.83699999994</v>
      </c>
      <c r="K125" s="44">
        <f t="shared" si="37"/>
        <v>17125897.187999997</v>
      </c>
      <c r="L125" s="252">
        <f t="shared" si="38"/>
        <v>999</v>
      </c>
      <c r="M125" s="27">
        <f>IFERROR(100/'Skjema total MA'!I125*K125,0)</f>
        <v>23.736622491658093</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v>278792.22499999998</v>
      </c>
      <c r="C134" s="306">
        <v>889241.11300000001</v>
      </c>
      <c r="D134" s="345">
        <f>IF(B134=0, "    ---- ", IF(ABS(ROUND(100/B134*C134-100,1))&lt;999,ROUND(100/B134*C134-100,1),IF(ROUND(100/B134*C134-100,1)&gt;999,999,-999)))</f>
        <v>219</v>
      </c>
      <c r="E134" s="11">
        <f>IFERROR(100/'Skjema total MA'!C134*C134,0)</f>
        <v>1.5236985403003396</v>
      </c>
      <c r="F134" s="313"/>
      <c r="G134" s="314"/>
      <c r="H134" s="425"/>
      <c r="I134" s="24"/>
      <c r="J134" s="315">
        <f t="shared" ref="J134:K136" si="39">SUM(B134,F134)</f>
        <v>278792.22499999998</v>
      </c>
      <c r="K134" s="315">
        <f t="shared" si="39"/>
        <v>889241.11300000001</v>
      </c>
      <c r="L134" s="421">
        <f>IF(J134=0, "    ---- ", IF(ABS(ROUND(100/J134*K134-100,1))&lt;999,ROUND(100/J134*K134-100,1),IF(ROUND(100/J134*K134-100,1)&gt;999,999,-999)))</f>
        <v>219</v>
      </c>
      <c r="M134" s="11">
        <f>IFERROR(100/'Skjema total MA'!I134*K134,0)</f>
        <v>1.5201818186035523</v>
      </c>
      <c r="N134" s="147"/>
    </row>
    <row r="135" spans="1:14" s="3" customFormat="1" ht="15.6" x14ac:dyDescent="0.25">
      <c r="A135" s="13" t="s">
        <v>471</v>
      </c>
      <c r="B135" s="234">
        <v>3367149.673</v>
      </c>
      <c r="C135" s="306">
        <v>11838689.231000001</v>
      </c>
      <c r="D135" s="170">
        <f>IF(B135=0, "    ---- ", IF(ABS(ROUND(100/B135*C135-100,1))&lt;999,ROUND(100/B135*C135-100,1),IF(ROUND(100/B135*C135-100,1)&gt;999,999,-999)))</f>
        <v>251.6</v>
      </c>
      <c r="E135" s="11">
        <f>IFERROR(100/'Skjema total MA'!C135*C135,0)</f>
        <v>1.7201858697664549</v>
      </c>
      <c r="F135" s="234"/>
      <c r="G135" s="306"/>
      <c r="H135" s="426"/>
      <c r="I135" s="24"/>
      <c r="J135" s="305">
        <f t="shared" si="39"/>
        <v>3367149.673</v>
      </c>
      <c r="K135" s="305">
        <f t="shared" si="39"/>
        <v>11838689.231000001</v>
      </c>
      <c r="L135" s="422">
        <f>IF(J135=0, "    ---- ", IF(ABS(ROUND(100/J135*K135-100,1))&lt;999,ROUND(100/J135*K135-100,1),IF(ROUND(100/J135*K135-100,1)&gt;999,999,-999)))</f>
        <v>251.6</v>
      </c>
      <c r="M135" s="11">
        <f>IFERROR(100/'Skjema total MA'!I135*K135,0)</f>
        <v>1.714619302583686</v>
      </c>
      <c r="N135" s="147"/>
    </row>
    <row r="136" spans="1:14" s="3" customFormat="1" ht="15.6" x14ac:dyDescent="0.25">
      <c r="A136" s="13" t="s">
        <v>468</v>
      </c>
      <c r="B136" s="234">
        <v>362837.80699999997</v>
      </c>
      <c r="C136" s="306">
        <v>6832881.0180000002</v>
      </c>
      <c r="D136" s="170">
        <f>IF(B136=0, "    ---- ", IF(ABS(ROUND(100/B136*C136-100,1))&lt;999,ROUND(100/B136*C136-100,1),IF(ROUND(100/B136*C136-100,1)&gt;999,999,-999)))</f>
        <v>999</v>
      </c>
      <c r="E136" s="11">
        <f>IFERROR(100/'Skjema total MA'!C136*C136,0)</f>
        <v>99.788298497922725</v>
      </c>
      <c r="F136" s="234"/>
      <c r="G136" s="306"/>
      <c r="H136" s="426"/>
      <c r="I136" s="24"/>
      <c r="J136" s="305">
        <f t="shared" si="39"/>
        <v>362837.80699999997</v>
      </c>
      <c r="K136" s="305">
        <f t="shared" si="39"/>
        <v>6832881.0180000002</v>
      </c>
      <c r="L136" s="422">
        <f>IF(J136=0, "    ---- ", IF(ABS(ROUND(100/J136*K136-100,1))&lt;999,ROUND(100/J136*K136-100,1),IF(ROUND(100/J136*K136-100,1)&gt;999,999,-999)))</f>
        <v>999</v>
      </c>
      <c r="M136" s="11">
        <f>IFERROR(100/'Skjema total MA'!I136*K136,0)</f>
        <v>99.788298497922725</v>
      </c>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94" priority="132">
      <formula>kvartal &lt; 4</formula>
    </cfRule>
  </conditionalFormatting>
  <conditionalFormatting sqref="B69">
    <cfRule type="expression" dxfId="1193" priority="100">
      <formula>kvartal &lt; 4</formula>
    </cfRule>
  </conditionalFormatting>
  <conditionalFormatting sqref="C69">
    <cfRule type="expression" dxfId="1192" priority="99">
      <formula>kvartal &lt; 4</formula>
    </cfRule>
  </conditionalFormatting>
  <conditionalFormatting sqref="B72">
    <cfRule type="expression" dxfId="1191" priority="98">
      <formula>kvartal &lt; 4</formula>
    </cfRule>
  </conditionalFormatting>
  <conditionalFormatting sqref="C72">
    <cfRule type="expression" dxfId="1190" priority="97">
      <formula>kvartal &lt; 4</formula>
    </cfRule>
  </conditionalFormatting>
  <conditionalFormatting sqref="B80">
    <cfRule type="expression" dxfId="1189" priority="96">
      <formula>kvartal &lt; 4</formula>
    </cfRule>
  </conditionalFormatting>
  <conditionalFormatting sqref="C80">
    <cfRule type="expression" dxfId="1188" priority="95">
      <formula>kvartal &lt; 4</formula>
    </cfRule>
  </conditionalFormatting>
  <conditionalFormatting sqref="B83">
    <cfRule type="expression" dxfId="1187" priority="94">
      <formula>kvartal &lt; 4</formula>
    </cfRule>
  </conditionalFormatting>
  <conditionalFormatting sqref="C83">
    <cfRule type="expression" dxfId="1186" priority="93">
      <formula>kvartal &lt; 4</formula>
    </cfRule>
  </conditionalFormatting>
  <conditionalFormatting sqref="B90">
    <cfRule type="expression" dxfId="1185" priority="84">
      <formula>kvartal &lt; 4</formula>
    </cfRule>
  </conditionalFormatting>
  <conditionalFormatting sqref="C90">
    <cfRule type="expression" dxfId="1184" priority="83">
      <formula>kvartal &lt; 4</formula>
    </cfRule>
  </conditionalFormatting>
  <conditionalFormatting sqref="B93">
    <cfRule type="expression" dxfId="1183" priority="82">
      <formula>kvartal &lt; 4</formula>
    </cfRule>
  </conditionalFormatting>
  <conditionalFormatting sqref="C93">
    <cfRule type="expression" dxfId="1182" priority="81">
      <formula>kvartal &lt; 4</formula>
    </cfRule>
  </conditionalFormatting>
  <conditionalFormatting sqref="B101">
    <cfRule type="expression" dxfId="1181" priority="80">
      <formula>kvartal &lt; 4</formula>
    </cfRule>
  </conditionalFormatting>
  <conditionalFormatting sqref="C101">
    <cfRule type="expression" dxfId="1180" priority="79">
      <formula>kvartal &lt; 4</formula>
    </cfRule>
  </conditionalFormatting>
  <conditionalFormatting sqref="B104">
    <cfRule type="expression" dxfId="1179" priority="78">
      <formula>kvartal &lt; 4</formula>
    </cfRule>
  </conditionalFormatting>
  <conditionalFormatting sqref="C104">
    <cfRule type="expression" dxfId="1178" priority="77">
      <formula>kvartal &lt; 4</formula>
    </cfRule>
  </conditionalFormatting>
  <conditionalFormatting sqref="B115">
    <cfRule type="expression" dxfId="1177" priority="76">
      <formula>kvartal &lt; 4</formula>
    </cfRule>
  </conditionalFormatting>
  <conditionalFormatting sqref="C115">
    <cfRule type="expression" dxfId="1176" priority="75">
      <formula>kvartal &lt; 4</formula>
    </cfRule>
  </conditionalFormatting>
  <conditionalFormatting sqref="B123">
    <cfRule type="expression" dxfId="1175" priority="74">
      <formula>kvartal &lt; 4</formula>
    </cfRule>
  </conditionalFormatting>
  <conditionalFormatting sqref="C123">
    <cfRule type="expression" dxfId="1174" priority="73">
      <formula>kvartal &lt; 4</formula>
    </cfRule>
  </conditionalFormatting>
  <conditionalFormatting sqref="F70">
    <cfRule type="expression" dxfId="1173" priority="72">
      <formula>kvartal &lt; 4</formula>
    </cfRule>
  </conditionalFormatting>
  <conditionalFormatting sqref="G70">
    <cfRule type="expression" dxfId="1172" priority="71">
      <formula>kvartal &lt; 4</formula>
    </cfRule>
  </conditionalFormatting>
  <conditionalFormatting sqref="F71:G71">
    <cfRule type="expression" dxfId="1171" priority="70">
      <formula>kvartal &lt; 4</formula>
    </cfRule>
  </conditionalFormatting>
  <conditionalFormatting sqref="F73:G74">
    <cfRule type="expression" dxfId="1170" priority="69">
      <formula>kvartal &lt; 4</formula>
    </cfRule>
  </conditionalFormatting>
  <conditionalFormatting sqref="F81:G82">
    <cfRule type="expression" dxfId="1169" priority="68">
      <formula>kvartal &lt; 4</formula>
    </cfRule>
  </conditionalFormatting>
  <conditionalFormatting sqref="F84:G85">
    <cfRule type="expression" dxfId="1168" priority="67">
      <formula>kvartal &lt; 4</formula>
    </cfRule>
  </conditionalFormatting>
  <conditionalFormatting sqref="F91:G92">
    <cfRule type="expression" dxfId="1167" priority="62">
      <formula>kvartal &lt; 4</formula>
    </cfRule>
  </conditionalFormatting>
  <conditionalFormatting sqref="F94:G95">
    <cfRule type="expression" dxfId="1166" priority="61">
      <formula>kvartal &lt; 4</formula>
    </cfRule>
  </conditionalFormatting>
  <conditionalFormatting sqref="F102:G103">
    <cfRule type="expression" dxfId="1165" priority="60">
      <formula>kvartal &lt; 4</formula>
    </cfRule>
  </conditionalFormatting>
  <conditionalFormatting sqref="F105:G106">
    <cfRule type="expression" dxfId="1164" priority="59">
      <formula>kvartal &lt; 4</formula>
    </cfRule>
  </conditionalFormatting>
  <conditionalFormatting sqref="F115">
    <cfRule type="expression" dxfId="1163" priority="58">
      <formula>kvartal &lt; 4</formula>
    </cfRule>
  </conditionalFormatting>
  <conditionalFormatting sqref="G115">
    <cfRule type="expression" dxfId="1162" priority="57">
      <formula>kvartal &lt; 4</formula>
    </cfRule>
  </conditionalFormatting>
  <conditionalFormatting sqref="F123:G123">
    <cfRule type="expression" dxfId="1161" priority="56">
      <formula>kvartal &lt; 4</formula>
    </cfRule>
  </conditionalFormatting>
  <conditionalFormatting sqref="F69:G69">
    <cfRule type="expression" dxfId="1160" priority="55">
      <formula>kvartal &lt; 4</formula>
    </cfRule>
  </conditionalFormatting>
  <conditionalFormatting sqref="F72:G72">
    <cfRule type="expression" dxfId="1159" priority="54">
      <formula>kvartal &lt; 4</formula>
    </cfRule>
  </conditionalFormatting>
  <conditionalFormatting sqref="F80:G80">
    <cfRule type="expression" dxfId="1158" priority="53">
      <formula>kvartal &lt; 4</formula>
    </cfRule>
  </conditionalFormatting>
  <conditionalFormatting sqref="F83:G83">
    <cfRule type="expression" dxfId="1157" priority="52">
      <formula>kvartal &lt; 4</formula>
    </cfRule>
  </conditionalFormatting>
  <conditionalFormatting sqref="F90:G90">
    <cfRule type="expression" dxfId="1156" priority="46">
      <formula>kvartal &lt; 4</formula>
    </cfRule>
  </conditionalFormatting>
  <conditionalFormatting sqref="F93">
    <cfRule type="expression" dxfId="1155" priority="45">
      <formula>kvartal &lt; 4</formula>
    </cfRule>
  </conditionalFormatting>
  <conditionalFormatting sqref="G93">
    <cfRule type="expression" dxfId="1154" priority="44">
      <formula>kvartal &lt; 4</formula>
    </cfRule>
  </conditionalFormatting>
  <conditionalFormatting sqref="F101">
    <cfRule type="expression" dxfId="1153" priority="43">
      <formula>kvartal &lt; 4</formula>
    </cfRule>
  </conditionalFormatting>
  <conditionalFormatting sqref="G101">
    <cfRule type="expression" dxfId="1152" priority="42">
      <formula>kvartal &lt; 4</formula>
    </cfRule>
  </conditionalFormatting>
  <conditionalFormatting sqref="G104">
    <cfRule type="expression" dxfId="1151" priority="41">
      <formula>kvartal &lt; 4</formula>
    </cfRule>
  </conditionalFormatting>
  <conditionalFormatting sqref="F104">
    <cfRule type="expression" dxfId="1150" priority="40">
      <formula>kvartal &lt; 4</formula>
    </cfRule>
  </conditionalFormatting>
  <conditionalFormatting sqref="J69:K71 J73:K73">
    <cfRule type="expression" dxfId="1149" priority="39">
      <formula>kvartal &lt; 4</formula>
    </cfRule>
  </conditionalFormatting>
  <conditionalFormatting sqref="J80:K82 J84:K84">
    <cfRule type="expression" dxfId="1148" priority="37">
      <formula>kvartal &lt; 4</formula>
    </cfRule>
  </conditionalFormatting>
  <conditionalFormatting sqref="J90:K92 J94:K94">
    <cfRule type="expression" dxfId="1147" priority="34">
      <formula>kvartal &lt; 4</formula>
    </cfRule>
  </conditionalFormatting>
  <conditionalFormatting sqref="J101:K103 J105:K105">
    <cfRule type="expression" dxfId="1146" priority="33">
      <formula>kvartal &lt; 4</formula>
    </cfRule>
  </conditionalFormatting>
  <conditionalFormatting sqref="J115:K115">
    <cfRule type="expression" dxfId="1145" priority="32">
      <formula>kvartal &lt; 4</formula>
    </cfRule>
  </conditionalFormatting>
  <conditionalFormatting sqref="J123:K123">
    <cfRule type="expression" dxfId="1144" priority="31">
      <formula>kvartal &lt; 4</formula>
    </cfRule>
  </conditionalFormatting>
  <conditionalFormatting sqref="A50:A52">
    <cfRule type="expression" dxfId="1143" priority="12">
      <formula>kvartal &lt; 4</formula>
    </cfRule>
  </conditionalFormatting>
  <conditionalFormatting sqref="A69:A74">
    <cfRule type="expression" dxfId="1142" priority="10">
      <formula>kvartal &lt; 4</formula>
    </cfRule>
  </conditionalFormatting>
  <conditionalFormatting sqref="A80:A85">
    <cfRule type="expression" dxfId="1141" priority="9">
      <formula>kvartal &lt; 4</formula>
    </cfRule>
  </conditionalFormatting>
  <conditionalFormatting sqref="A90:A95">
    <cfRule type="expression" dxfId="1140" priority="6">
      <formula>kvartal &lt; 4</formula>
    </cfRule>
  </conditionalFormatting>
  <conditionalFormatting sqref="A101:A106">
    <cfRule type="expression" dxfId="1139" priority="5">
      <formula>kvartal &lt; 4</formula>
    </cfRule>
  </conditionalFormatting>
  <conditionalFormatting sqref="A115">
    <cfRule type="expression" dxfId="1138" priority="4">
      <formula>kvartal &lt; 4</formula>
    </cfRule>
  </conditionalFormatting>
  <conditionalFormatting sqref="A123">
    <cfRule type="expression" dxfId="1137" priority="3">
      <formula>kvartal &lt; 4</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132</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422"/>
      <c r="M8" s="27"/>
    </row>
    <row r="9" spans="1:14" ht="15.6" x14ac:dyDescent="0.25">
      <c r="A9" s="21" t="s">
        <v>24</v>
      </c>
      <c r="B9" s="278"/>
      <c r="C9" s="279"/>
      <c r="D9" s="165"/>
      <c r="E9" s="27"/>
      <c r="F9" s="282"/>
      <c r="G9" s="283"/>
      <c r="H9" s="165"/>
      <c r="I9" s="174"/>
      <c r="J9" s="232"/>
      <c r="K9" s="284"/>
      <c r="L9" s="422"/>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170"/>
      <c r="E38" s="24"/>
      <c r="F38" s="316"/>
      <c r="G38" s="317"/>
      <c r="H38" s="170"/>
      <c r="I38" s="428"/>
      <c r="J38" s="234"/>
      <c r="K38" s="234"/>
      <c r="L38" s="422"/>
      <c r="M38" s="24"/>
    </row>
    <row r="39" spans="1:14" ht="15.6" x14ac:dyDescent="0.25">
      <c r="A39" s="18" t="s">
        <v>454</v>
      </c>
      <c r="B39" s="273"/>
      <c r="C39" s="312"/>
      <c r="D39" s="168"/>
      <c r="E39" s="36"/>
      <c r="F39" s="319"/>
      <c r="G39" s="320"/>
      <c r="H39" s="168"/>
      <c r="I39" s="36"/>
      <c r="J39" s="234"/>
      <c r="K39" s="234"/>
      <c r="L39" s="423"/>
      <c r="M39" s="36"/>
    </row>
    <row r="40" spans="1:14" ht="15.6" x14ac:dyDescent="0.3">
      <c r="A40" s="47"/>
      <c r="B40" s="251"/>
      <c r="C40" s="251"/>
      <c r="D40" s="962"/>
      <c r="E40" s="962"/>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1726</v>
      </c>
      <c r="C47" s="308">
        <v>1344</v>
      </c>
      <c r="D47" s="421">
        <f t="shared" ref="D47:D48" si="0">IF(B47=0, "    ---- ", IF(ABS(ROUND(100/B47*C47-100,1))&lt;999,ROUND(100/B47*C47-100,1),IF(ROUND(100/B47*C47-100,1)&gt;999,999,-999)))</f>
        <v>-22.1</v>
      </c>
      <c r="E47" s="11">
        <f>IFERROR(100/'Skjema total MA'!C47*C47,0)</f>
        <v>2.6383957222315211E-2</v>
      </c>
      <c r="F47" s="144"/>
      <c r="G47" s="33"/>
      <c r="H47" s="158"/>
      <c r="I47" s="158"/>
      <c r="J47" s="37"/>
      <c r="K47" s="37"/>
      <c r="L47" s="158"/>
      <c r="M47" s="158"/>
      <c r="N47" s="147"/>
    </row>
    <row r="48" spans="1:14" s="3" customFormat="1" ht="15.6" x14ac:dyDescent="0.25">
      <c r="A48" s="38" t="s">
        <v>455</v>
      </c>
      <c r="B48" s="278">
        <v>1726</v>
      </c>
      <c r="C48" s="279">
        <v>1344</v>
      </c>
      <c r="D48" s="252">
        <f t="shared" si="0"/>
        <v>-22.1</v>
      </c>
      <c r="E48" s="27">
        <f>IFERROR(100/'Skjema total MA'!C48*C48,0)</f>
        <v>4.7453777830002986E-2</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36" priority="132">
      <formula>kvartal &lt; 4</formula>
    </cfRule>
  </conditionalFormatting>
  <conditionalFormatting sqref="B69">
    <cfRule type="expression" dxfId="1135" priority="100">
      <formula>kvartal &lt; 4</formula>
    </cfRule>
  </conditionalFormatting>
  <conditionalFormatting sqref="C69">
    <cfRule type="expression" dxfId="1134" priority="99">
      <formula>kvartal &lt; 4</formula>
    </cfRule>
  </conditionalFormatting>
  <conditionalFormatting sqref="B72">
    <cfRule type="expression" dxfId="1133" priority="98">
      <formula>kvartal &lt; 4</formula>
    </cfRule>
  </conditionalFormatting>
  <conditionalFormatting sqref="C72">
    <cfRule type="expression" dxfId="1132" priority="97">
      <formula>kvartal &lt; 4</formula>
    </cfRule>
  </conditionalFormatting>
  <conditionalFormatting sqref="B80">
    <cfRule type="expression" dxfId="1131" priority="96">
      <formula>kvartal &lt; 4</formula>
    </cfRule>
  </conditionalFormatting>
  <conditionalFormatting sqref="C80">
    <cfRule type="expression" dxfId="1130" priority="95">
      <formula>kvartal &lt; 4</formula>
    </cfRule>
  </conditionalFormatting>
  <conditionalFormatting sqref="B83">
    <cfRule type="expression" dxfId="1129" priority="94">
      <formula>kvartal &lt; 4</formula>
    </cfRule>
  </conditionalFormatting>
  <conditionalFormatting sqref="C83">
    <cfRule type="expression" dxfId="1128" priority="93">
      <formula>kvartal &lt; 4</formula>
    </cfRule>
  </conditionalFormatting>
  <conditionalFormatting sqref="B90">
    <cfRule type="expression" dxfId="1127" priority="84">
      <formula>kvartal &lt; 4</formula>
    </cfRule>
  </conditionalFormatting>
  <conditionalFormatting sqref="C90">
    <cfRule type="expression" dxfId="1126" priority="83">
      <formula>kvartal &lt; 4</formula>
    </cfRule>
  </conditionalFormatting>
  <conditionalFormatting sqref="B93">
    <cfRule type="expression" dxfId="1125" priority="82">
      <formula>kvartal &lt; 4</formula>
    </cfRule>
  </conditionalFormatting>
  <conditionalFormatting sqref="C93">
    <cfRule type="expression" dxfId="1124" priority="81">
      <formula>kvartal &lt; 4</formula>
    </cfRule>
  </conditionalFormatting>
  <conditionalFormatting sqref="B101">
    <cfRule type="expression" dxfId="1123" priority="80">
      <formula>kvartal &lt; 4</formula>
    </cfRule>
  </conditionalFormatting>
  <conditionalFormatting sqref="C101">
    <cfRule type="expression" dxfId="1122" priority="79">
      <formula>kvartal &lt; 4</formula>
    </cfRule>
  </conditionalFormatting>
  <conditionalFormatting sqref="B104">
    <cfRule type="expression" dxfId="1121" priority="78">
      <formula>kvartal &lt; 4</formula>
    </cfRule>
  </conditionalFormatting>
  <conditionalFormatting sqref="C104">
    <cfRule type="expression" dxfId="1120" priority="77">
      <formula>kvartal &lt; 4</formula>
    </cfRule>
  </conditionalFormatting>
  <conditionalFormatting sqref="B115">
    <cfRule type="expression" dxfId="1119" priority="76">
      <formula>kvartal &lt; 4</formula>
    </cfRule>
  </conditionalFormatting>
  <conditionalFormatting sqref="C115">
    <cfRule type="expression" dxfId="1118" priority="75">
      <formula>kvartal &lt; 4</formula>
    </cfRule>
  </conditionalFormatting>
  <conditionalFormatting sqref="B123">
    <cfRule type="expression" dxfId="1117" priority="74">
      <formula>kvartal &lt; 4</formula>
    </cfRule>
  </conditionalFormatting>
  <conditionalFormatting sqref="C123">
    <cfRule type="expression" dxfId="1116" priority="73">
      <formula>kvartal &lt; 4</formula>
    </cfRule>
  </conditionalFormatting>
  <conditionalFormatting sqref="F70">
    <cfRule type="expression" dxfId="1115" priority="72">
      <formula>kvartal &lt; 4</formula>
    </cfRule>
  </conditionalFormatting>
  <conditionalFormatting sqref="G70">
    <cfRule type="expression" dxfId="1114" priority="71">
      <formula>kvartal &lt; 4</formula>
    </cfRule>
  </conditionalFormatting>
  <conditionalFormatting sqref="F71:G71">
    <cfRule type="expression" dxfId="1113" priority="70">
      <formula>kvartal &lt; 4</formula>
    </cfRule>
  </conditionalFormatting>
  <conditionalFormatting sqref="F73:G74">
    <cfRule type="expression" dxfId="1112" priority="69">
      <formula>kvartal &lt; 4</formula>
    </cfRule>
  </conditionalFormatting>
  <conditionalFormatting sqref="F81:G82">
    <cfRule type="expression" dxfId="1111" priority="68">
      <formula>kvartal &lt; 4</formula>
    </cfRule>
  </conditionalFormatting>
  <conditionalFormatting sqref="F84:G85">
    <cfRule type="expression" dxfId="1110" priority="67">
      <formula>kvartal &lt; 4</formula>
    </cfRule>
  </conditionalFormatting>
  <conditionalFormatting sqref="F91:G92">
    <cfRule type="expression" dxfId="1109" priority="62">
      <formula>kvartal &lt; 4</formula>
    </cfRule>
  </conditionalFormatting>
  <conditionalFormatting sqref="F94:G95">
    <cfRule type="expression" dxfId="1108" priority="61">
      <formula>kvartal &lt; 4</formula>
    </cfRule>
  </conditionalFormatting>
  <conditionalFormatting sqref="F102:G103">
    <cfRule type="expression" dxfId="1107" priority="60">
      <formula>kvartal &lt; 4</formula>
    </cfRule>
  </conditionalFormatting>
  <conditionalFormatting sqref="F105:G106">
    <cfRule type="expression" dxfId="1106" priority="59">
      <formula>kvartal &lt; 4</formula>
    </cfRule>
  </conditionalFormatting>
  <conditionalFormatting sqref="F115">
    <cfRule type="expression" dxfId="1105" priority="58">
      <formula>kvartal &lt; 4</formula>
    </cfRule>
  </conditionalFormatting>
  <conditionalFormatting sqref="G115">
    <cfRule type="expression" dxfId="1104" priority="57">
      <formula>kvartal &lt; 4</formula>
    </cfRule>
  </conditionalFormatting>
  <conditionalFormatting sqref="F123:G123">
    <cfRule type="expression" dxfId="1103" priority="56">
      <formula>kvartal &lt; 4</formula>
    </cfRule>
  </conditionalFormatting>
  <conditionalFormatting sqref="F69:G69">
    <cfRule type="expression" dxfId="1102" priority="55">
      <formula>kvartal &lt; 4</formula>
    </cfRule>
  </conditionalFormatting>
  <conditionalFormatting sqref="F72:G72">
    <cfRule type="expression" dxfId="1101" priority="54">
      <formula>kvartal &lt; 4</formula>
    </cfRule>
  </conditionalFormatting>
  <conditionalFormatting sqref="F80:G80">
    <cfRule type="expression" dxfId="1100" priority="53">
      <formula>kvartal &lt; 4</formula>
    </cfRule>
  </conditionalFormatting>
  <conditionalFormatting sqref="F83:G83">
    <cfRule type="expression" dxfId="1099" priority="52">
      <formula>kvartal &lt; 4</formula>
    </cfRule>
  </conditionalFormatting>
  <conditionalFormatting sqref="F90:G90">
    <cfRule type="expression" dxfId="1098" priority="46">
      <formula>kvartal &lt; 4</formula>
    </cfRule>
  </conditionalFormatting>
  <conditionalFormatting sqref="F93">
    <cfRule type="expression" dxfId="1097" priority="45">
      <formula>kvartal &lt; 4</formula>
    </cfRule>
  </conditionalFormatting>
  <conditionalFormatting sqref="G93">
    <cfRule type="expression" dxfId="1096" priority="44">
      <formula>kvartal &lt; 4</formula>
    </cfRule>
  </conditionalFormatting>
  <conditionalFormatting sqref="F101">
    <cfRule type="expression" dxfId="1095" priority="43">
      <formula>kvartal &lt; 4</formula>
    </cfRule>
  </conditionalFormatting>
  <conditionalFormatting sqref="G101">
    <cfRule type="expression" dxfId="1094" priority="42">
      <formula>kvartal &lt; 4</formula>
    </cfRule>
  </conditionalFormatting>
  <conditionalFormatting sqref="G104">
    <cfRule type="expression" dxfId="1093" priority="41">
      <formula>kvartal &lt; 4</formula>
    </cfRule>
  </conditionalFormatting>
  <conditionalFormatting sqref="F104">
    <cfRule type="expression" dxfId="1092" priority="40">
      <formula>kvartal &lt; 4</formula>
    </cfRule>
  </conditionalFormatting>
  <conditionalFormatting sqref="J69:K73">
    <cfRule type="expression" dxfId="1091" priority="39">
      <formula>kvartal &lt; 4</formula>
    </cfRule>
  </conditionalFormatting>
  <conditionalFormatting sqref="J74:K74">
    <cfRule type="expression" dxfId="1090" priority="38">
      <formula>kvartal &lt; 4</formula>
    </cfRule>
  </conditionalFormatting>
  <conditionalFormatting sqref="J80:K85">
    <cfRule type="expression" dxfId="1089" priority="37">
      <formula>kvartal &lt; 4</formula>
    </cfRule>
  </conditionalFormatting>
  <conditionalFormatting sqref="J90:K95">
    <cfRule type="expression" dxfId="1088" priority="34">
      <formula>kvartal &lt; 4</formula>
    </cfRule>
  </conditionalFormatting>
  <conditionalFormatting sqref="J101:K106">
    <cfRule type="expression" dxfId="1087" priority="33">
      <formula>kvartal &lt; 4</formula>
    </cfRule>
  </conditionalFormatting>
  <conditionalFormatting sqref="J115:K115">
    <cfRule type="expression" dxfId="1086" priority="32">
      <formula>kvartal &lt; 4</formula>
    </cfRule>
  </conditionalFormatting>
  <conditionalFormatting sqref="J123:K123">
    <cfRule type="expression" dxfId="1085" priority="31">
      <formula>kvartal &lt; 4</formula>
    </cfRule>
  </conditionalFormatting>
  <conditionalFormatting sqref="A50:A52">
    <cfRule type="expression" dxfId="1084" priority="12">
      <formula>kvartal &lt; 4</formula>
    </cfRule>
  </conditionalFormatting>
  <conditionalFormatting sqref="A69:A74">
    <cfRule type="expression" dxfId="1083" priority="10">
      <formula>kvartal &lt; 4</formula>
    </cfRule>
  </conditionalFormatting>
  <conditionalFormatting sqref="A80:A85">
    <cfRule type="expression" dxfId="1082" priority="9">
      <formula>kvartal &lt; 4</formula>
    </cfRule>
  </conditionalFormatting>
  <conditionalFormatting sqref="A90:A95">
    <cfRule type="expression" dxfId="1081" priority="6">
      <formula>kvartal &lt; 4</formula>
    </cfRule>
  </conditionalFormatting>
  <conditionalFormatting sqref="A101:A106">
    <cfRule type="expression" dxfId="1080" priority="5">
      <formula>kvartal &lt; 4</formula>
    </cfRule>
  </conditionalFormatting>
  <conditionalFormatting sqref="A115">
    <cfRule type="expression" dxfId="1079" priority="4">
      <formula>kvartal &lt; 4</formula>
    </cfRule>
  </conditionalFormatting>
  <conditionalFormatting sqref="A123">
    <cfRule type="expression" dxfId="1078"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98</v>
      </c>
      <c r="D1" s="26"/>
      <c r="E1" s="26"/>
      <c r="F1" s="26"/>
      <c r="G1" s="26"/>
      <c r="H1" s="26"/>
      <c r="I1" s="26"/>
      <c r="J1" s="26"/>
      <c r="K1" s="26"/>
      <c r="L1" s="26"/>
      <c r="M1" s="26"/>
    </row>
    <row r="2" spans="1:14" ht="15.6" x14ac:dyDescent="0.3">
      <c r="A2" s="164" t="s">
        <v>28</v>
      </c>
      <c r="B2" s="963"/>
      <c r="C2" s="963"/>
      <c r="D2" s="963"/>
      <c r="E2" s="296"/>
      <c r="F2" s="963"/>
      <c r="G2" s="963"/>
      <c r="H2" s="963"/>
      <c r="I2" s="296"/>
      <c r="J2" s="963"/>
      <c r="K2" s="963"/>
      <c r="L2" s="963"/>
      <c r="M2" s="296"/>
    </row>
    <row r="3" spans="1:14" ht="15.6" x14ac:dyDescent="0.3">
      <c r="A3" s="162"/>
      <c r="B3" s="296"/>
      <c r="C3" s="296"/>
      <c r="D3" s="296"/>
      <c r="E3" s="296"/>
      <c r="F3" s="296"/>
      <c r="G3" s="296"/>
      <c r="H3" s="296"/>
      <c r="I3" s="296"/>
      <c r="J3" s="296"/>
      <c r="K3" s="296"/>
      <c r="L3" s="296"/>
      <c r="M3" s="296"/>
    </row>
    <row r="4" spans="1:14" x14ac:dyDescent="0.25">
      <c r="A4" s="143"/>
      <c r="B4" s="959" t="s">
        <v>0</v>
      </c>
      <c r="C4" s="960"/>
      <c r="D4" s="960"/>
      <c r="E4" s="298"/>
      <c r="F4" s="959" t="s">
        <v>1</v>
      </c>
      <c r="G4" s="960"/>
      <c r="H4" s="960"/>
      <c r="I4" s="301"/>
      <c r="J4" s="959" t="s">
        <v>2</v>
      </c>
      <c r="K4" s="960"/>
      <c r="L4" s="960"/>
      <c r="M4" s="301"/>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252"/>
      <c r="M8" s="27"/>
    </row>
    <row r="9" spans="1:14" ht="15.6" x14ac:dyDescent="0.25">
      <c r="A9" s="21" t="s">
        <v>24</v>
      </c>
      <c r="B9" s="278"/>
      <c r="C9" s="279"/>
      <c r="D9" s="165"/>
      <c r="E9" s="27"/>
      <c r="F9" s="282"/>
      <c r="G9" s="283"/>
      <c r="H9" s="165"/>
      <c r="I9" s="174"/>
      <c r="J9" s="232"/>
      <c r="K9" s="284"/>
      <c r="L9" s="252"/>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296"/>
      <c r="F18" s="958"/>
      <c r="G18" s="958"/>
      <c r="H18" s="958"/>
      <c r="I18" s="296"/>
      <c r="J18" s="958"/>
      <c r="K18" s="958"/>
      <c r="L18" s="958"/>
      <c r="M18" s="296"/>
    </row>
    <row r="19" spans="1:14" x14ac:dyDescent="0.25">
      <c r="A19" s="143"/>
      <c r="B19" s="959" t="s">
        <v>0</v>
      </c>
      <c r="C19" s="960"/>
      <c r="D19" s="960"/>
      <c r="E19" s="298"/>
      <c r="F19" s="959" t="s">
        <v>1</v>
      </c>
      <c r="G19" s="960"/>
      <c r="H19" s="960"/>
      <c r="I19" s="301"/>
      <c r="J19" s="959" t="s">
        <v>2</v>
      </c>
      <c r="K19" s="960"/>
      <c r="L19" s="960"/>
      <c r="M19" s="301"/>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426"/>
      <c r="E38" s="24"/>
      <c r="F38" s="316"/>
      <c r="G38" s="317"/>
      <c r="H38" s="170"/>
      <c r="I38" s="428"/>
      <c r="J38" s="234"/>
      <c r="K38" s="234"/>
      <c r="L38" s="422"/>
      <c r="M38" s="24"/>
    </row>
    <row r="39" spans="1:14" ht="15.6" x14ac:dyDescent="0.25">
      <c r="A39" s="18" t="s">
        <v>454</v>
      </c>
      <c r="B39" s="273"/>
      <c r="C39" s="312"/>
      <c r="D39" s="427"/>
      <c r="E39" s="36"/>
      <c r="F39" s="319"/>
      <c r="G39" s="320"/>
      <c r="H39" s="168"/>
      <c r="I39" s="36"/>
      <c r="J39" s="234"/>
      <c r="K39" s="234"/>
      <c r="L39" s="423"/>
      <c r="M39" s="36"/>
    </row>
    <row r="40" spans="1:14" ht="15.6" x14ac:dyDescent="0.3">
      <c r="A40" s="47"/>
      <c r="B40" s="251"/>
      <c r="C40" s="251"/>
      <c r="D40" s="962"/>
      <c r="E40" s="964"/>
      <c r="F40" s="962"/>
      <c r="G40" s="962"/>
      <c r="H40" s="962"/>
      <c r="I40" s="962"/>
      <c r="J40" s="962"/>
      <c r="K40" s="962"/>
      <c r="L40" s="962"/>
      <c r="M40" s="299"/>
    </row>
    <row r="41" spans="1:14" x14ac:dyDescent="0.25">
      <c r="A41" s="154"/>
    </row>
    <row r="42" spans="1:14" ht="15.6" x14ac:dyDescent="0.3">
      <c r="A42" s="146" t="s">
        <v>271</v>
      </c>
      <c r="B42" s="963"/>
      <c r="C42" s="963"/>
      <c r="D42" s="963"/>
      <c r="E42" s="296"/>
      <c r="F42" s="964"/>
      <c r="G42" s="964"/>
      <c r="H42" s="964"/>
      <c r="I42" s="299"/>
      <c r="J42" s="964"/>
      <c r="K42" s="964"/>
      <c r="L42" s="964"/>
      <c r="M42" s="299"/>
    </row>
    <row r="43" spans="1:14" ht="15.6" x14ac:dyDescent="0.3">
      <c r="A43" s="162"/>
      <c r="B43" s="300"/>
      <c r="C43" s="300"/>
      <c r="D43" s="300"/>
      <c r="E43" s="300"/>
      <c r="F43" s="299"/>
      <c r="G43" s="299"/>
      <c r="H43" s="299"/>
      <c r="I43" s="299"/>
      <c r="J43" s="299"/>
      <c r="K43" s="299"/>
      <c r="L43" s="299"/>
      <c r="M43" s="299"/>
    </row>
    <row r="44" spans="1:14" ht="15.6" x14ac:dyDescent="0.3">
      <c r="A44" s="245"/>
      <c r="B44" s="959" t="s">
        <v>0</v>
      </c>
      <c r="C44" s="960"/>
      <c r="D44" s="960"/>
      <c r="E44" s="241"/>
      <c r="F44" s="299"/>
      <c r="G44" s="299"/>
      <c r="H44" s="299"/>
      <c r="I44" s="299"/>
      <c r="J44" s="299"/>
      <c r="K44" s="299"/>
      <c r="L44" s="299"/>
      <c r="M44" s="299"/>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598971.11495999992</v>
      </c>
      <c r="C47" s="308">
        <v>589319.00377000007</v>
      </c>
      <c r="D47" s="421">
        <f t="shared" ref="D47:D57" si="0">IF(B47=0, "    ---- ", IF(ABS(ROUND(100/B47*C47-100,1))&lt;999,ROUND(100/B47*C47-100,1),IF(ROUND(100/B47*C47-100,1)&gt;999,999,-999)))</f>
        <v>-1.6</v>
      </c>
      <c r="E47" s="11">
        <f>IFERROR(100/'Skjema total MA'!C47*C47,0)</f>
        <v>11.568874542979984</v>
      </c>
      <c r="F47" s="144"/>
      <c r="G47" s="33"/>
      <c r="H47" s="158"/>
      <c r="I47" s="158"/>
      <c r="J47" s="37"/>
      <c r="K47" s="37"/>
      <c r="L47" s="158"/>
      <c r="M47" s="158"/>
      <c r="N47" s="147"/>
    </row>
    <row r="48" spans="1:14" s="3" customFormat="1" ht="15.6" x14ac:dyDescent="0.25">
      <c r="A48" s="38" t="s">
        <v>455</v>
      </c>
      <c r="B48" s="278">
        <v>170408.52695999999</v>
      </c>
      <c r="C48" s="279">
        <v>161861.14369</v>
      </c>
      <c r="D48" s="252">
        <f t="shared" si="0"/>
        <v>-5</v>
      </c>
      <c r="E48" s="27">
        <f>IFERROR(100/'Skjema total MA'!C48*C48,0)</f>
        <v>5.7149722856960183</v>
      </c>
      <c r="F48" s="144"/>
      <c r="G48" s="33"/>
      <c r="H48" s="144"/>
      <c r="I48" s="144"/>
      <c r="J48" s="33"/>
      <c r="K48" s="33"/>
      <c r="L48" s="158"/>
      <c r="M48" s="158"/>
      <c r="N48" s="147"/>
    </row>
    <row r="49" spans="1:14" s="3" customFormat="1" ht="15.6" x14ac:dyDescent="0.25">
      <c r="A49" s="38" t="s">
        <v>456</v>
      </c>
      <c r="B49" s="44">
        <v>428562.58799999999</v>
      </c>
      <c r="C49" s="284">
        <v>427457.86008000001</v>
      </c>
      <c r="D49" s="252">
        <f>IF(B49=0, "    ---- ", IF(ABS(ROUND(100/B49*C49-100,1))&lt;999,ROUND(100/B49*C49-100,1),IF(ROUND(100/B49*C49-100,1)&gt;999,999,-999)))</f>
        <v>-0.3</v>
      </c>
      <c r="E49" s="27">
        <f>IFERROR(100/'Skjema total MA'!C49*C49,0)</f>
        <v>18.899222039315127</v>
      </c>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v>416065.64899999998</v>
      </c>
      <c r="C51" s="288">
        <v>415119.65408000001</v>
      </c>
      <c r="D51" s="252">
        <f t="shared" ref="D51:D52" si="1">IF(B51=0, "    ---- ", IF(ABS(ROUND(100/B51*C51-100,1))&lt;999,ROUND(100/B51*C51-100,1),IF(ROUND(100/B51*C51-100,1)&gt;999,999,-999)))</f>
        <v>-0.2</v>
      </c>
      <c r="E51" s="27">
        <f>IFERROR(100/'Skjema total MA'!C51*C51,0)</f>
        <v>18.944235946006337</v>
      </c>
      <c r="F51" s="144"/>
      <c r="G51" s="33"/>
      <c r="H51" s="144"/>
      <c r="I51" s="144"/>
      <c r="J51" s="33"/>
      <c r="K51" s="33"/>
      <c r="L51" s="158"/>
      <c r="M51" s="158"/>
      <c r="N51" s="147"/>
    </row>
    <row r="52" spans="1:14" s="3" customFormat="1" x14ac:dyDescent="0.25">
      <c r="A52" s="293" t="s">
        <v>8</v>
      </c>
      <c r="B52" s="287">
        <v>12496.939</v>
      </c>
      <c r="C52" s="288">
        <v>12338.206</v>
      </c>
      <c r="D52" s="252">
        <f t="shared" si="1"/>
        <v>-1.3</v>
      </c>
      <c r="E52" s="27">
        <f>IFERROR(100/'Skjema total MA'!C52*C52,0)</f>
        <v>17.500172118794001</v>
      </c>
      <c r="F52" s="144"/>
      <c r="G52" s="33"/>
      <c r="H52" s="144"/>
      <c r="I52" s="144"/>
      <c r="J52" s="33"/>
      <c r="K52" s="33"/>
      <c r="L52" s="158"/>
      <c r="M52" s="158"/>
      <c r="N52" s="147"/>
    </row>
    <row r="53" spans="1:14" s="3" customFormat="1" ht="15.6" x14ac:dyDescent="0.25">
      <c r="A53" s="39" t="s">
        <v>457</v>
      </c>
      <c r="B53" s="307">
        <v>7424</v>
      </c>
      <c r="C53" s="308">
        <v>3285.3</v>
      </c>
      <c r="D53" s="422">
        <f t="shared" si="0"/>
        <v>-55.7</v>
      </c>
      <c r="E53" s="11">
        <f>IFERROR(100/'Skjema total MA'!C53*C53,0)</f>
        <v>1.2013204020640447</v>
      </c>
      <c r="F53" s="144"/>
      <c r="G53" s="33"/>
      <c r="H53" s="144"/>
      <c r="I53" s="144"/>
      <c r="J53" s="33"/>
      <c r="K53" s="33"/>
      <c r="L53" s="158"/>
      <c r="M53" s="158"/>
      <c r="N53" s="147"/>
    </row>
    <row r="54" spans="1:14" s="3" customFormat="1" ht="15.6" x14ac:dyDescent="0.25">
      <c r="A54" s="38" t="s">
        <v>455</v>
      </c>
      <c r="B54" s="278">
        <v>7424</v>
      </c>
      <c r="C54" s="279">
        <v>3285.3</v>
      </c>
      <c r="D54" s="252">
        <f t="shared" si="0"/>
        <v>-55.7</v>
      </c>
      <c r="E54" s="27">
        <f>IFERROR(100/'Skjema total MA'!C54*C54,0)</f>
        <v>1.2288442276330076</v>
      </c>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v>71594</v>
      </c>
      <c r="C56" s="308">
        <v>29566.400000000001</v>
      </c>
      <c r="D56" s="422">
        <f t="shared" si="0"/>
        <v>-58.7</v>
      </c>
      <c r="E56" s="11">
        <f>IFERROR(100/'Skjema total MA'!C56*C56,0)</f>
        <v>8.2789435901763877</v>
      </c>
      <c r="F56" s="144"/>
      <c r="G56" s="33"/>
      <c r="H56" s="144"/>
      <c r="I56" s="144"/>
      <c r="J56" s="33"/>
      <c r="K56" s="33"/>
      <c r="L56" s="158"/>
      <c r="M56" s="158"/>
      <c r="N56" s="147"/>
    </row>
    <row r="57" spans="1:14" s="3" customFormat="1" ht="15.6" x14ac:dyDescent="0.25">
      <c r="A57" s="38" t="s">
        <v>455</v>
      </c>
      <c r="B57" s="278">
        <v>71594</v>
      </c>
      <c r="C57" s="279">
        <v>29566.400000000001</v>
      </c>
      <c r="D57" s="252">
        <f t="shared" si="0"/>
        <v>-58.7</v>
      </c>
      <c r="E57" s="27">
        <f>IFERROR(100/'Skjema total MA'!C57*C57,0)</f>
        <v>8.2789435901763877</v>
      </c>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296"/>
      <c r="F62" s="958"/>
      <c r="G62" s="958"/>
      <c r="H62" s="958"/>
      <c r="I62" s="296"/>
      <c r="J62" s="958"/>
      <c r="K62" s="958"/>
      <c r="L62" s="958"/>
      <c r="M62" s="296"/>
    </row>
    <row r="63" spans="1:14" x14ac:dyDescent="0.25">
      <c r="A63" s="143"/>
      <c r="B63" s="959" t="s">
        <v>0</v>
      </c>
      <c r="C63" s="960"/>
      <c r="D63" s="961"/>
      <c r="E63" s="297"/>
      <c r="F63" s="960" t="s">
        <v>1</v>
      </c>
      <c r="G63" s="960"/>
      <c r="H63" s="960"/>
      <c r="I63" s="301"/>
      <c r="J63" s="959" t="s">
        <v>2</v>
      </c>
      <c r="K63" s="960"/>
      <c r="L63" s="960"/>
      <c r="M63" s="301"/>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296"/>
      <c r="F130" s="958"/>
      <c r="G130" s="958"/>
      <c r="H130" s="958"/>
      <c r="I130" s="296"/>
      <c r="J130" s="958"/>
      <c r="K130" s="958"/>
      <c r="L130" s="958"/>
      <c r="M130" s="296"/>
    </row>
    <row r="131" spans="1:14" s="3" customFormat="1" x14ac:dyDescent="0.25">
      <c r="A131" s="143"/>
      <c r="B131" s="959" t="s">
        <v>0</v>
      </c>
      <c r="C131" s="960"/>
      <c r="D131" s="960"/>
      <c r="E131" s="298"/>
      <c r="F131" s="959" t="s">
        <v>1</v>
      </c>
      <c r="G131" s="960"/>
      <c r="H131" s="960"/>
      <c r="I131" s="301"/>
      <c r="J131" s="959" t="s">
        <v>2</v>
      </c>
      <c r="K131" s="960"/>
      <c r="L131" s="960"/>
      <c r="M131" s="301"/>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077" priority="117">
      <formula>kvartal &lt; 4</formula>
    </cfRule>
  </conditionalFormatting>
  <conditionalFormatting sqref="B69">
    <cfRule type="expression" dxfId="1076" priority="85">
      <formula>kvartal &lt; 4</formula>
    </cfRule>
  </conditionalFormatting>
  <conditionalFormatting sqref="C69">
    <cfRule type="expression" dxfId="1075" priority="84">
      <formula>kvartal &lt; 4</formula>
    </cfRule>
  </conditionalFormatting>
  <conditionalFormatting sqref="B72">
    <cfRule type="expression" dxfId="1074" priority="83">
      <formula>kvartal &lt; 4</formula>
    </cfRule>
  </conditionalFormatting>
  <conditionalFormatting sqref="C72">
    <cfRule type="expression" dxfId="1073" priority="82">
      <formula>kvartal &lt; 4</formula>
    </cfRule>
  </conditionalFormatting>
  <conditionalFormatting sqref="B80">
    <cfRule type="expression" dxfId="1072" priority="81">
      <formula>kvartal &lt; 4</formula>
    </cfRule>
  </conditionalFormatting>
  <conditionalFormatting sqref="C80">
    <cfRule type="expression" dxfId="1071" priority="80">
      <formula>kvartal &lt; 4</formula>
    </cfRule>
  </conditionalFormatting>
  <conditionalFormatting sqref="B83">
    <cfRule type="expression" dxfId="1070" priority="79">
      <formula>kvartal &lt; 4</formula>
    </cfRule>
  </conditionalFormatting>
  <conditionalFormatting sqref="C83">
    <cfRule type="expression" dxfId="1069" priority="78">
      <formula>kvartal &lt; 4</formula>
    </cfRule>
  </conditionalFormatting>
  <conditionalFormatting sqref="B90">
    <cfRule type="expression" dxfId="1068" priority="69">
      <formula>kvartal &lt; 4</formula>
    </cfRule>
  </conditionalFormatting>
  <conditionalFormatting sqref="C90">
    <cfRule type="expression" dxfId="1067" priority="68">
      <formula>kvartal &lt; 4</formula>
    </cfRule>
  </conditionalFormatting>
  <conditionalFormatting sqref="B93">
    <cfRule type="expression" dxfId="1066" priority="67">
      <formula>kvartal &lt; 4</formula>
    </cfRule>
  </conditionalFormatting>
  <conditionalFormatting sqref="C93">
    <cfRule type="expression" dxfId="1065" priority="66">
      <formula>kvartal &lt; 4</formula>
    </cfRule>
  </conditionalFormatting>
  <conditionalFormatting sqref="B101">
    <cfRule type="expression" dxfId="1064" priority="65">
      <formula>kvartal &lt; 4</formula>
    </cfRule>
  </conditionalFormatting>
  <conditionalFormatting sqref="C101">
    <cfRule type="expression" dxfId="1063" priority="64">
      <formula>kvartal &lt; 4</formula>
    </cfRule>
  </conditionalFormatting>
  <conditionalFormatting sqref="B104">
    <cfRule type="expression" dxfId="1062" priority="63">
      <formula>kvartal &lt; 4</formula>
    </cfRule>
  </conditionalFormatting>
  <conditionalFormatting sqref="C104">
    <cfRule type="expression" dxfId="1061" priority="62">
      <formula>kvartal &lt; 4</formula>
    </cfRule>
  </conditionalFormatting>
  <conditionalFormatting sqref="B115">
    <cfRule type="expression" dxfId="1060" priority="61">
      <formula>kvartal &lt; 4</formula>
    </cfRule>
  </conditionalFormatting>
  <conditionalFormatting sqref="C115">
    <cfRule type="expression" dxfId="1059" priority="60">
      <formula>kvartal &lt; 4</formula>
    </cfRule>
  </conditionalFormatting>
  <conditionalFormatting sqref="B123">
    <cfRule type="expression" dxfId="1058" priority="59">
      <formula>kvartal &lt; 4</formula>
    </cfRule>
  </conditionalFormatting>
  <conditionalFormatting sqref="C123">
    <cfRule type="expression" dxfId="1057" priority="58">
      <formula>kvartal &lt; 4</formula>
    </cfRule>
  </conditionalFormatting>
  <conditionalFormatting sqref="F70">
    <cfRule type="expression" dxfId="1056" priority="57">
      <formula>kvartal &lt; 4</formula>
    </cfRule>
  </conditionalFormatting>
  <conditionalFormatting sqref="G70">
    <cfRule type="expression" dxfId="1055" priority="56">
      <formula>kvartal &lt; 4</formula>
    </cfRule>
  </conditionalFormatting>
  <conditionalFormatting sqref="F71:G71">
    <cfRule type="expression" dxfId="1054" priority="55">
      <formula>kvartal &lt; 4</formula>
    </cfRule>
  </conditionalFormatting>
  <conditionalFormatting sqref="F73:G74">
    <cfRule type="expression" dxfId="1053" priority="54">
      <formula>kvartal &lt; 4</formula>
    </cfRule>
  </conditionalFormatting>
  <conditionalFormatting sqref="F81:G82">
    <cfRule type="expression" dxfId="1052" priority="53">
      <formula>kvartal &lt; 4</formula>
    </cfRule>
  </conditionalFormatting>
  <conditionalFormatting sqref="F84:G85">
    <cfRule type="expression" dxfId="1051" priority="52">
      <formula>kvartal &lt; 4</formula>
    </cfRule>
  </conditionalFormatting>
  <conditionalFormatting sqref="F91:G92">
    <cfRule type="expression" dxfId="1050" priority="47">
      <formula>kvartal &lt; 4</formula>
    </cfRule>
  </conditionalFormatting>
  <conditionalFormatting sqref="F94:G95">
    <cfRule type="expression" dxfId="1049" priority="46">
      <formula>kvartal &lt; 4</formula>
    </cfRule>
  </conditionalFormatting>
  <conditionalFormatting sqref="F102:G103">
    <cfRule type="expression" dxfId="1048" priority="45">
      <formula>kvartal &lt; 4</formula>
    </cfRule>
  </conditionalFormatting>
  <conditionalFormatting sqref="F105:G106">
    <cfRule type="expression" dxfId="1047" priority="44">
      <formula>kvartal &lt; 4</formula>
    </cfRule>
  </conditionalFormatting>
  <conditionalFormatting sqref="F115">
    <cfRule type="expression" dxfId="1046" priority="43">
      <formula>kvartal &lt; 4</formula>
    </cfRule>
  </conditionalFormatting>
  <conditionalFormatting sqref="G115">
    <cfRule type="expression" dxfId="1045" priority="42">
      <formula>kvartal &lt; 4</formula>
    </cfRule>
  </conditionalFormatting>
  <conditionalFormatting sqref="F123:G123">
    <cfRule type="expression" dxfId="1044" priority="41">
      <formula>kvartal &lt; 4</formula>
    </cfRule>
  </conditionalFormatting>
  <conditionalFormatting sqref="F69:G69">
    <cfRule type="expression" dxfId="1043" priority="40">
      <formula>kvartal &lt; 4</formula>
    </cfRule>
  </conditionalFormatting>
  <conditionalFormatting sqref="F72:G72">
    <cfRule type="expression" dxfId="1042" priority="39">
      <formula>kvartal &lt; 4</formula>
    </cfRule>
  </conditionalFormatting>
  <conditionalFormatting sqref="F80:G80">
    <cfRule type="expression" dxfId="1041" priority="38">
      <formula>kvartal &lt; 4</formula>
    </cfRule>
  </conditionalFormatting>
  <conditionalFormatting sqref="F83:G83">
    <cfRule type="expression" dxfId="1040" priority="37">
      <formula>kvartal &lt; 4</formula>
    </cfRule>
  </conditionalFormatting>
  <conditionalFormatting sqref="F90:G90">
    <cfRule type="expression" dxfId="1039" priority="31">
      <formula>kvartal &lt; 4</formula>
    </cfRule>
  </conditionalFormatting>
  <conditionalFormatting sqref="F93">
    <cfRule type="expression" dxfId="1038" priority="30">
      <formula>kvartal &lt; 4</formula>
    </cfRule>
  </conditionalFormatting>
  <conditionalFormatting sqref="G93">
    <cfRule type="expression" dxfId="1037" priority="29">
      <formula>kvartal &lt; 4</formula>
    </cfRule>
  </conditionalFormatting>
  <conditionalFormatting sqref="F101">
    <cfRule type="expression" dxfId="1036" priority="28">
      <formula>kvartal &lt; 4</formula>
    </cfRule>
  </conditionalFormatting>
  <conditionalFormatting sqref="G101">
    <cfRule type="expression" dxfId="1035" priority="27">
      <formula>kvartal &lt; 4</formula>
    </cfRule>
  </conditionalFormatting>
  <conditionalFormatting sqref="G104">
    <cfRule type="expression" dxfId="1034" priority="26">
      <formula>kvartal &lt; 4</formula>
    </cfRule>
  </conditionalFormatting>
  <conditionalFormatting sqref="F104">
    <cfRule type="expression" dxfId="1033" priority="25">
      <formula>kvartal &lt; 4</formula>
    </cfRule>
  </conditionalFormatting>
  <conditionalFormatting sqref="J69:K73">
    <cfRule type="expression" dxfId="1032" priority="24">
      <formula>kvartal &lt; 4</formula>
    </cfRule>
  </conditionalFormatting>
  <conditionalFormatting sqref="J74:K74">
    <cfRule type="expression" dxfId="1031" priority="23">
      <formula>kvartal &lt; 4</formula>
    </cfRule>
  </conditionalFormatting>
  <conditionalFormatting sqref="J80:K85">
    <cfRule type="expression" dxfId="1030" priority="22">
      <formula>kvartal &lt; 4</formula>
    </cfRule>
  </conditionalFormatting>
  <conditionalFormatting sqref="J90:K95">
    <cfRule type="expression" dxfId="1029" priority="19">
      <formula>kvartal &lt; 4</formula>
    </cfRule>
  </conditionalFormatting>
  <conditionalFormatting sqref="J101:K106">
    <cfRule type="expression" dxfId="1028" priority="18">
      <formula>kvartal &lt; 4</formula>
    </cfRule>
  </conditionalFormatting>
  <conditionalFormatting sqref="J115:K115">
    <cfRule type="expression" dxfId="1027" priority="17">
      <formula>kvartal &lt; 4</formula>
    </cfRule>
  </conditionalFormatting>
  <conditionalFormatting sqref="J123:K123">
    <cfRule type="expression" dxfId="1026" priority="16">
      <formula>kvartal &lt; 4</formula>
    </cfRule>
  </conditionalFormatting>
  <conditionalFormatting sqref="A50:A52">
    <cfRule type="expression" dxfId="1025" priority="12">
      <formula>kvartal &lt; 4</formula>
    </cfRule>
  </conditionalFormatting>
  <conditionalFormatting sqref="A69:A74">
    <cfRule type="expression" dxfId="1024" priority="10">
      <formula>kvartal &lt; 4</formula>
    </cfRule>
  </conditionalFormatting>
  <conditionalFormatting sqref="A80:A85">
    <cfRule type="expression" dxfId="1023" priority="9">
      <formula>kvartal &lt; 4</formula>
    </cfRule>
  </conditionalFormatting>
  <conditionalFormatting sqref="A90:A95">
    <cfRule type="expression" dxfId="1022" priority="6">
      <formula>kvartal &lt; 4</formula>
    </cfRule>
  </conditionalFormatting>
  <conditionalFormatting sqref="A101:A106">
    <cfRule type="expression" dxfId="1021" priority="5">
      <formula>kvartal &lt; 4</formula>
    </cfRule>
  </conditionalFormatting>
  <conditionalFormatting sqref="A115">
    <cfRule type="expression" dxfId="1020" priority="4">
      <formula>kvartal &lt; 4</formula>
    </cfRule>
  </conditionalFormatting>
  <conditionalFormatting sqref="A123">
    <cfRule type="expression" dxfId="1019" priority="3">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O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480</v>
      </c>
      <c r="D1" s="26"/>
      <c r="E1" s="26"/>
      <c r="F1" s="26"/>
      <c r="G1" s="26"/>
      <c r="H1" s="26"/>
      <c r="I1" s="26"/>
      <c r="J1" s="26"/>
      <c r="K1" s="26"/>
      <c r="L1" s="26"/>
      <c r="M1" s="26"/>
    </row>
    <row r="2" spans="1:14" ht="15.6" x14ac:dyDescent="0.3">
      <c r="A2" s="164" t="s">
        <v>28</v>
      </c>
      <c r="B2" s="963"/>
      <c r="C2" s="963"/>
      <c r="D2" s="963"/>
      <c r="E2" s="801"/>
      <c r="F2" s="963"/>
      <c r="G2" s="963"/>
      <c r="H2" s="963"/>
      <c r="I2" s="801"/>
      <c r="J2" s="963"/>
      <c r="K2" s="963"/>
      <c r="L2" s="963"/>
      <c r="M2" s="801"/>
    </row>
    <row r="3" spans="1:14" ht="15.6" x14ac:dyDescent="0.3">
      <c r="A3" s="162"/>
      <c r="B3" s="801"/>
      <c r="C3" s="801"/>
      <c r="D3" s="801"/>
      <c r="E3" s="801"/>
      <c r="F3" s="801"/>
      <c r="G3" s="801"/>
      <c r="H3" s="801"/>
      <c r="I3" s="801"/>
      <c r="J3" s="801"/>
      <c r="K3" s="801"/>
      <c r="L3" s="801"/>
      <c r="M3" s="801"/>
    </row>
    <row r="4" spans="1:14" x14ac:dyDescent="0.25">
      <c r="A4" s="143"/>
      <c r="B4" s="959" t="s">
        <v>0</v>
      </c>
      <c r="C4" s="960"/>
      <c r="D4" s="960"/>
      <c r="E4" s="798"/>
      <c r="F4" s="959" t="s">
        <v>1</v>
      </c>
      <c r="G4" s="960"/>
      <c r="H4" s="960"/>
      <c r="I4" s="799"/>
      <c r="J4" s="959" t="s">
        <v>2</v>
      </c>
      <c r="K4" s="960"/>
      <c r="L4" s="960"/>
      <c r="M4" s="799"/>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729</v>
      </c>
      <c r="C7" s="304">
        <v>1405</v>
      </c>
      <c r="D7" s="345">
        <f t="shared" ref="D7:D8" si="0">IF(B7=0, "    ---- ", IF(ABS(ROUND(100/B7*C7-100,1))&lt;999,ROUND(100/B7*C7-100,1),IF(ROUND(100/B7*C7-100,1)&gt;999,999,-999)))</f>
        <v>92.7</v>
      </c>
      <c r="E7" s="11">
        <f>IFERROR(100/'Skjema total MA'!C7*C7,0)</f>
        <v>2.8548789109912678E-2</v>
      </c>
      <c r="F7" s="303"/>
      <c r="G7" s="304"/>
      <c r="H7" s="345"/>
      <c r="I7" s="159"/>
      <c r="J7" s="305">
        <f t="shared" ref="J7:K8" si="1">SUM(B7,F7)</f>
        <v>729</v>
      </c>
      <c r="K7" s="306">
        <f t="shared" si="1"/>
        <v>1405</v>
      </c>
      <c r="L7" s="421">
        <f t="shared" ref="L7:L8" si="2">IF(J7=0, "    ---- ", IF(ABS(ROUND(100/J7*K7-100,1))&lt;999,ROUND(100/J7*K7-100,1),IF(ROUND(100/J7*K7-100,1)&gt;999,999,-999)))</f>
        <v>92.7</v>
      </c>
      <c r="M7" s="11">
        <f>IFERROR(100/'Skjema total MA'!I7*K7,0)</f>
        <v>7.1468899439889894E-3</v>
      </c>
    </row>
    <row r="8" spans="1:14" ht="15.6" x14ac:dyDescent="0.25">
      <c r="A8" s="21" t="s">
        <v>25</v>
      </c>
      <c r="B8" s="278">
        <v>729</v>
      </c>
      <c r="C8" s="279">
        <v>1405</v>
      </c>
      <c r="D8" s="165">
        <f t="shared" si="0"/>
        <v>92.7</v>
      </c>
      <c r="E8" s="27">
        <f>IFERROR(100/'Skjema total MA'!C8*C8,0)</f>
        <v>4.3377142333028688E-2</v>
      </c>
      <c r="F8" s="282"/>
      <c r="G8" s="283"/>
      <c r="H8" s="165"/>
      <c r="I8" s="174"/>
      <c r="J8" s="232">
        <f t="shared" si="1"/>
        <v>729</v>
      </c>
      <c r="K8" s="284">
        <f t="shared" si="1"/>
        <v>1405</v>
      </c>
      <c r="L8" s="165">
        <f t="shared" si="2"/>
        <v>92.7</v>
      </c>
      <c r="M8" s="27">
        <f>IFERROR(100/'Skjema total MA'!I8*K8,0)</f>
        <v>4.3377142333028688E-2</v>
      </c>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801"/>
      <c r="F18" s="958"/>
      <c r="G18" s="958"/>
      <c r="H18" s="958"/>
      <c r="I18" s="801"/>
      <c r="J18" s="958"/>
      <c r="K18" s="958"/>
      <c r="L18" s="958"/>
      <c r="M18" s="801"/>
    </row>
    <row r="19" spans="1:14" x14ac:dyDescent="0.25">
      <c r="A19" s="143"/>
      <c r="B19" s="959" t="s">
        <v>0</v>
      </c>
      <c r="C19" s="960"/>
      <c r="D19" s="960"/>
      <c r="E19" s="798"/>
      <c r="F19" s="959" t="s">
        <v>1</v>
      </c>
      <c r="G19" s="960"/>
      <c r="H19" s="960"/>
      <c r="I19" s="799"/>
      <c r="J19" s="959" t="s">
        <v>2</v>
      </c>
      <c r="K19" s="960"/>
      <c r="L19" s="960"/>
      <c r="M19" s="799"/>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155"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1"/>
      <c r="J22" s="313"/>
      <c r="K22" s="313"/>
      <c r="L22" s="421"/>
      <c r="M22" s="24"/>
    </row>
    <row r="23" spans="1:14" ht="15.6" x14ac:dyDescent="0.25">
      <c r="A23" s="782" t="s">
        <v>447</v>
      </c>
      <c r="B23" s="278"/>
      <c r="C23" s="278"/>
      <c r="D23" s="165"/>
      <c r="E23" s="11"/>
      <c r="F23" s="287"/>
      <c r="G23" s="287"/>
      <c r="H23" s="165"/>
      <c r="I23" s="411"/>
      <c r="J23" s="287"/>
      <c r="K23" s="287"/>
      <c r="L23" s="165"/>
      <c r="M23" s="23"/>
    </row>
    <row r="24" spans="1:14" ht="15.6" x14ac:dyDescent="0.25">
      <c r="A24" s="782" t="s">
        <v>448</v>
      </c>
      <c r="B24" s="278"/>
      <c r="C24" s="278"/>
      <c r="D24" s="165"/>
      <c r="E24" s="11"/>
      <c r="F24" s="287"/>
      <c r="G24" s="287"/>
      <c r="H24" s="165"/>
      <c r="I24" s="411"/>
      <c r="J24" s="287"/>
      <c r="K24" s="287"/>
      <c r="L24" s="165"/>
      <c r="M24" s="23"/>
    </row>
    <row r="25" spans="1:14" ht="15.6" x14ac:dyDescent="0.25">
      <c r="A25" s="782" t="s">
        <v>449</v>
      </c>
      <c r="B25" s="278"/>
      <c r="C25" s="278"/>
      <c r="D25" s="165"/>
      <c r="E25" s="11"/>
      <c r="F25" s="287"/>
      <c r="G25" s="287"/>
      <c r="H25" s="165"/>
      <c r="I25" s="411"/>
      <c r="J25" s="287"/>
      <c r="K25" s="287"/>
      <c r="L25" s="165"/>
      <c r="M25" s="23"/>
    </row>
    <row r="26" spans="1:14" ht="15.6" x14ac:dyDescent="0.25">
      <c r="A26" s="782" t="s">
        <v>450</v>
      </c>
      <c r="B26" s="278"/>
      <c r="C26" s="278"/>
      <c r="D26" s="165"/>
      <c r="E26" s="11"/>
      <c r="F26" s="287"/>
      <c r="G26" s="287"/>
      <c r="H26" s="165"/>
      <c r="I26" s="411"/>
      <c r="J26" s="287"/>
      <c r="K26" s="287"/>
      <c r="L26" s="165"/>
      <c r="M26" s="23"/>
    </row>
    <row r="27" spans="1:14" x14ac:dyDescent="0.25">
      <c r="A27" s="782" t="s">
        <v>11</v>
      </c>
      <c r="B27" s="278"/>
      <c r="C27" s="278"/>
      <c r="D27" s="165"/>
      <c r="E27" s="11"/>
      <c r="F27" s="287"/>
      <c r="G27" s="287"/>
      <c r="H27" s="165"/>
      <c r="I27" s="411"/>
      <c r="J27" s="287"/>
      <c r="K27" s="287"/>
      <c r="L27" s="165"/>
      <c r="M27" s="23"/>
    </row>
    <row r="28" spans="1:14" ht="15.6" x14ac:dyDescent="0.25">
      <c r="A28" s="49" t="s">
        <v>274</v>
      </c>
      <c r="B28" s="44"/>
      <c r="C28" s="284"/>
      <c r="D28" s="165"/>
      <c r="E28" s="11"/>
      <c r="F28" s="232"/>
      <c r="G28" s="284"/>
      <c r="H28" s="165"/>
      <c r="I28" s="27"/>
      <c r="J28" s="44"/>
      <c r="K28" s="44"/>
      <c r="L28" s="252"/>
      <c r="M28" s="23"/>
    </row>
    <row r="29" spans="1:14" s="3" customFormat="1" ht="15.6" x14ac:dyDescent="0.25">
      <c r="A29" s="13" t="s">
        <v>444</v>
      </c>
      <c r="B29" s="234"/>
      <c r="C29" s="234"/>
      <c r="D29" s="170"/>
      <c r="E29" s="11"/>
      <c r="F29" s="305"/>
      <c r="G29" s="305"/>
      <c r="H29" s="170"/>
      <c r="I29" s="11"/>
      <c r="J29" s="234"/>
      <c r="K29" s="234"/>
      <c r="L29" s="422"/>
      <c r="M29" s="24"/>
      <c r="N29" s="147"/>
    </row>
    <row r="30" spans="1:14" s="3" customFormat="1" ht="15.6" x14ac:dyDescent="0.25">
      <c r="A30" s="782" t="s">
        <v>447</v>
      </c>
      <c r="B30" s="278"/>
      <c r="C30" s="278"/>
      <c r="D30" s="165"/>
      <c r="E30" s="11"/>
      <c r="F30" s="287"/>
      <c r="G30" s="287"/>
      <c r="H30" s="165"/>
      <c r="I30" s="411"/>
      <c r="J30" s="287"/>
      <c r="K30" s="287"/>
      <c r="L30" s="165"/>
      <c r="M30" s="23"/>
      <c r="N30" s="147"/>
    </row>
    <row r="31" spans="1:14" s="3" customFormat="1" ht="15.6" x14ac:dyDescent="0.25">
      <c r="A31" s="782" t="s">
        <v>448</v>
      </c>
      <c r="B31" s="278"/>
      <c r="C31" s="278"/>
      <c r="D31" s="165"/>
      <c r="E31" s="11"/>
      <c r="F31" s="287"/>
      <c r="G31" s="287"/>
      <c r="H31" s="165"/>
      <c r="I31" s="411"/>
      <c r="J31" s="287"/>
      <c r="K31" s="287"/>
      <c r="L31" s="165"/>
      <c r="M31" s="23"/>
      <c r="N31" s="147"/>
    </row>
    <row r="32" spans="1:14" ht="15.6" x14ac:dyDescent="0.25">
      <c r="A32" s="782" t="s">
        <v>449</v>
      </c>
      <c r="B32" s="278"/>
      <c r="C32" s="278"/>
      <c r="D32" s="165"/>
      <c r="E32" s="11"/>
      <c r="F32" s="287"/>
      <c r="G32" s="287"/>
      <c r="H32" s="165"/>
      <c r="I32" s="411"/>
      <c r="J32" s="287"/>
      <c r="K32" s="287"/>
      <c r="L32" s="165"/>
      <c r="M32" s="23"/>
    </row>
    <row r="33" spans="1:14" ht="15.6" x14ac:dyDescent="0.25">
      <c r="A33" s="782" t="s">
        <v>450</v>
      </c>
      <c r="B33" s="278"/>
      <c r="C33" s="278"/>
      <c r="D33" s="165"/>
      <c r="E33" s="11"/>
      <c r="F33" s="287"/>
      <c r="G33" s="287"/>
      <c r="H33" s="165"/>
      <c r="I33" s="411"/>
      <c r="J33" s="287"/>
      <c r="K33" s="287"/>
      <c r="L33" s="165"/>
      <c r="M33" s="23"/>
    </row>
    <row r="34" spans="1:14" ht="15.6" x14ac:dyDescent="0.25">
      <c r="A34" s="13" t="s">
        <v>445</v>
      </c>
      <c r="B34" s="234"/>
      <c r="C34" s="306"/>
      <c r="D34" s="170"/>
      <c r="E34" s="11"/>
      <c r="F34" s="305"/>
      <c r="G34" s="306"/>
      <c r="H34" s="170"/>
      <c r="I34" s="11"/>
      <c r="J34" s="234"/>
      <c r="K34" s="234"/>
      <c r="L34" s="422"/>
      <c r="M34" s="24"/>
    </row>
    <row r="35" spans="1:14" ht="15.6" x14ac:dyDescent="0.25">
      <c r="A35" s="13" t="s">
        <v>446</v>
      </c>
      <c r="B35" s="234"/>
      <c r="C35" s="306"/>
      <c r="D35" s="170"/>
      <c r="E35" s="11"/>
      <c r="F35" s="305"/>
      <c r="G35" s="306"/>
      <c r="H35" s="170"/>
      <c r="I35" s="11"/>
      <c r="J35" s="234"/>
      <c r="K35" s="234"/>
      <c r="L35" s="422"/>
      <c r="M35" s="24"/>
    </row>
    <row r="36" spans="1:14" ht="15.6" x14ac:dyDescent="0.25">
      <c r="A36" s="12" t="s">
        <v>282</v>
      </c>
      <c r="B36" s="234"/>
      <c r="C36" s="306"/>
      <c r="D36" s="170"/>
      <c r="E36" s="11"/>
      <c r="F36" s="316"/>
      <c r="G36" s="317"/>
      <c r="H36" s="170"/>
      <c r="I36" s="428"/>
      <c r="J36" s="234"/>
      <c r="K36" s="234"/>
      <c r="L36" s="422"/>
      <c r="M36" s="24"/>
    </row>
    <row r="37" spans="1:14" ht="15.6" x14ac:dyDescent="0.25">
      <c r="A37" s="12" t="s">
        <v>452</v>
      </c>
      <c r="B37" s="234"/>
      <c r="C37" s="306"/>
      <c r="D37" s="170"/>
      <c r="E37" s="11"/>
      <c r="F37" s="316"/>
      <c r="G37" s="318"/>
      <c r="H37" s="170"/>
      <c r="I37" s="428"/>
      <c r="J37" s="234"/>
      <c r="K37" s="234"/>
      <c r="L37" s="422"/>
      <c r="M37" s="24"/>
    </row>
    <row r="38" spans="1:14" ht="15.6" x14ac:dyDescent="0.25">
      <c r="A38" s="12" t="s">
        <v>453</v>
      </c>
      <c r="B38" s="234"/>
      <c r="C38" s="306"/>
      <c r="D38" s="426"/>
      <c r="E38" s="24"/>
      <c r="F38" s="316"/>
      <c r="G38" s="317"/>
      <c r="H38" s="170"/>
      <c r="I38" s="428"/>
      <c r="J38" s="234"/>
      <c r="K38" s="234"/>
      <c r="L38" s="422"/>
      <c r="M38" s="24"/>
    </row>
    <row r="39" spans="1:14" ht="15.6" x14ac:dyDescent="0.25">
      <c r="A39" s="18" t="s">
        <v>454</v>
      </c>
      <c r="B39" s="273"/>
      <c r="C39" s="312"/>
      <c r="D39" s="427"/>
      <c r="E39" s="36"/>
      <c r="F39" s="319"/>
      <c r="G39" s="320"/>
      <c r="H39" s="168"/>
      <c r="I39" s="36"/>
      <c r="J39" s="234"/>
      <c r="K39" s="234"/>
      <c r="L39" s="423"/>
      <c r="M39" s="36"/>
    </row>
    <row r="40" spans="1:14" ht="15.6" x14ac:dyDescent="0.3">
      <c r="A40" s="47"/>
      <c r="B40" s="251"/>
      <c r="C40" s="251"/>
      <c r="D40" s="962"/>
      <c r="E40" s="964"/>
      <c r="F40" s="962"/>
      <c r="G40" s="962"/>
      <c r="H40" s="962"/>
      <c r="I40" s="962"/>
      <c r="J40" s="962"/>
      <c r="K40" s="962"/>
      <c r="L40" s="962"/>
      <c r="M40" s="802"/>
    </row>
    <row r="41" spans="1:14" x14ac:dyDescent="0.25">
      <c r="A41" s="154"/>
    </row>
    <row r="42" spans="1:14" ht="15.6" x14ac:dyDescent="0.3">
      <c r="A42" s="146" t="s">
        <v>271</v>
      </c>
      <c r="B42" s="963"/>
      <c r="C42" s="963"/>
      <c r="D42" s="963"/>
      <c r="E42" s="801"/>
      <c r="F42" s="964"/>
      <c r="G42" s="964"/>
      <c r="H42" s="964"/>
      <c r="I42" s="802"/>
      <c r="J42" s="964"/>
      <c r="K42" s="964"/>
      <c r="L42" s="964"/>
      <c r="M42" s="802"/>
    </row>
    <row r="43" spans="1:14" ht="15.6" x14ac:dyDescent="0.3">
      <c r="A43" s="162"/>
      <c r="B43" s="800"/>
      <c r="C43" s="800"/>
      <c r="D43" s="800"/>
      <c r="E43" s="800"/>
      <c r="F43" s="802"/>
      <c r="G43" s="802"/>
      <c r="H43" s="802"/>
      <c r="I43" s="802"/>
      <c r="J43" s="802"/>
      <c r="K43" s="802"/>
      <c r="L43" s="802"/>
      <c r="M43" s="802"/>
    </row>
    <row r="44" spans="1:14" ht="15.6" x14ac:dyDescent="0.3">
      <c r="A44" s="245"/>
      <c r="B44" s="959" t="s">
        <v>0</v>
      </c>
      <c r="C44" s="960"/>
      <c r="D44" s="960"/>
      <c r="E44" s="241"/>
      <c r="F44" s="802"/>
      <c r="G44" s="802"/>
      <c r="H44" s="802"/>
      <c r="I44" s="802"/>
      <c r="J44" s="802"/>
      <c r="K44" s="802"/>
      <c r="L44" s="802"/>
      <c r="M44" s="802"/>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549</v>
      </c>
      <c r="C47" s="308">
        <v>504</v>
      </c>
      <c r="D47" s="421">
        <f t="shared" ref="D47:D48" si="3">IF(B47=0, "    ---- ", IF(ABS(ROUND(100/B47*C47-100,1))&lt;999,ROUND(100/B47*C47-100,1),IF(ROUND(100/B47*C47-100,1)&gt;999,999,-999)))</f>
        <v>-8.1999999999999993</v>
      </c>
      <c r="E47" s="11">
        <f>IFERROR(100/'Skjema total MA'!C47*C47,0)</f>
        <v>9.8939839583682045E-3</v>
      </c>
      <c r="F47" s="144"/>
      <c r="G47" s="33"/>
      <c r="H47" s="158"/>
      <c r="I47" s="158"/>
      <c r="J47" s="37"/>
      <c r="K47" s="37"/>
      <c r="L47" s="158"/>
      <c r="M47" s="158"/>
      <c r="N47" s="147"/>
    </row>
    <row r="48" spans="1:14" s="3" customFormat="1" ht="15.6" x14ac:dyDescent="0.25">
      <c r="A48" s="38" t="s">
        <v>455</v>
      </c>
      <c r="B48" s="278">
        <v>549</v>
      </c>
      <c r="C48" s="279">
        <v>504</v>
      </c>
      <c r="D48" s="252">
        <f t="shared" si="3"/>
        <v>-8.1999999999999993</v>
      </c>
      <c r="E48" s="27">
        <f>IFERROR(100/'Skjema total MA'!C48*C48,0)</f>
        <v>1.779516668625112E-2</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801"/>
      <c r="F62" s="958"/>
      <c r="G62" s="958"/>
      <c r="H62" s="958"/>
      <c r="I62" s="801"/>
      <c r="J62" s="958"/>
      <c r="K62" s="958"/>
      <c r="L62" s="958"/>
      <c r="M62" s="801"/>
    </row>
    <row r="63" spans="1:14" x14ac:dyDescent="0.25">
      <c r="A63" s="143"/>
      <c r="B63" s="959" t="s">
        <v>0</v>
      </c>
      <c r="C63" s="960"/>
      <c r="D63" s="961"/>
      <c r="E63" s="797"/>
      <c r="F63" s="960" t="s">
        <v>1</v>
      </c>
      <c r="G63" s="960"/>
      <c r="H63" s="960"/>
      <c r="I63" s="799"/>
      <c r="J63" s="959" t="s">
        <v>2</v>
      </c>
      <c r="K63" s="960"/>
      <c r="L63" s="960"/>
      <c r="M63" s="799"/>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413"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5" x14ac:dyDescent="0.25">
      <c r="A97" s="21" t="s">
        <v>345</v>
      </c>
      <c r="B97" s="232"/>
      <c r="C97" s="144"/>
      <c r="D97" s="165"/>
      <c r="E97" s="27"/>
      <c r="F97" s="232"/>
      <c r="G97" s="144"/>
      <c r="H97" s="165"/>
      <c r="I97" s="27"/>
      <c r="J97" s="284"/>
      <c r="K97" s="44"/>
      <c r="L97" s="252"/>
      <c r="M97" s="27"/>
    </row>
    <row r="98" spans="1:15" ht="15.6" x14ac:dyDescent="0.25">
      <c r="A98" s="21" t="s">
        <v>461</v>
      </c>
      <c r="B98" s="232"/>
      <c r="C98" s="232"/>
      <c r="D98" s="165"/>
      <c r="E98" s="27"/>
      <c r="F98" s="289"/>
      <c r="G98" s="289"/>
      <c r="H98" s="165"/>
      <c r="I98" s="27"/>
      <c r="J98" s="284"/>
      <c r="K98" s="44"/>
      <c r="L98" s="252"/>
      <c r="M98" s="27"/>
    </row>
    <row r="99" spans="1:15" x14ac:dyDescent="0.25">
      <c r="A99" s="21" t="s">
        <v>9</v>
      </c>
      <c r="B99" s="289"/>
      <c r="C99" s="290"/>
      <c r="D99" s="165"/>
      <c r="E99" s="27"/>
      <c r="F99" s="232"/>
      <c r="G99" s="144"/>
      <c r="H99" s="165"/>
      <c r="I99" s="27"/>
      <c r="J99" s="284"/>
      <c r="K99" s="44"/>
      <c r="L99" s="252"/>
      <c r="M99" s="27"/>
    </row>
    <row r="100" spans="1:15" x14ac:dyDescent="0.25">
      <c r="A100" s="38" t="s">
        <v>495</v>
      </c>
      <c r="B100" s="289"/>
      <c r="C100" s="290"/>
      <c r="D100" s="165"/>
      <c r="E100" s="27"/>
      <c r="F100" s="232"/>
      <c r="G100" s="232"/>
      <c r="H100" s="165"/>
      <c r="I100" s="27"/>
      <c r="J100" s="284"/>
      <c r="K100" s="44"/>
      <c r="L100" s="252"/>
      <c r="M100" s="27"/>
    </row>
    <row r="101" spans="1:15" ht="15.6" x14ac:dyDescent="0.25">
      <c r="A101" s="293" t="s">
        <v>459</v>
      </c>
      <c r="B101" s="278"/>
      <c r="C101" s="278"/>
      <c r="D101" s="165"/>
      <c r="E101" s="411"/>
      <c r="F101" s="278"/>
      <c r="G101" s="278"/>
      <c r="H101" s="165"/>
      <c r="I101" s="411"/>
      <c r="J101" s="287"/>
      <c r="K101" s="287"/>
      <c r="L101" s="165"/>
      <c r="M101" s="23"/>
    </row>
    <row r="102" spans="1:15" x14ac:dyDescent="0.25">
      <c r="A102" s="293" t="s">
        <v>12</v>
      </c>
      <c r="B102" s="233"/>
      <c r="C102" s="286"/>
      <c r="D102" s="165"/>
      <c r="E102" s="411"/>
      <c r="F102" s="278"/>
      <c r="G102" s="278"/>
      <c r="H102" s="165"/>
      <c r="I102" s="411"/>
      <c r="J102" s="287"/>
      <c r="K102" s="287"/>
      <c r="L102" s="165"/>
      <c r="M102" s="23"/>
    </row>
    <row r="103" spans="1:15" x14ac:dyDescent="0.25">
      <c r="A103" s="293" t="s">
        <v>13</v>
      </c>
      <c r="B103" s="233"/>
      <c r="C103" s="286"/>
      <c r="D103" s="165"/>
      <c r="E103" s="411"/>
      <c r="F103" s="278"/>
      <c r="G103" s="278"/>
      <c r="H103" s="165"/>
      <c r="I103" s="411"/>
      <c r="J103" s="287"/>
      <c r="K103" s="287"/>
      <c r="L103" s="165"/>
      <c r="M103" s="23"/>
    </row>
    <row r="104" spans="1:15" ht="15.6" x14ac:dyDescent="0.25">
      <c r="A104" s="293" t="s">
        <v>460</v>
      </c>
      <c r="B104" s="278"/>
      <c r="C104" s="278"/>
      <c r="D104" s="165"/>
      <c r="E104" s="411"/>
      <c r="F104" s="278"/>
      <c r="G104" s="278"/>
      <c r="H104" s="165"/>
      <c r="I104" s="411"/>
      <c r="J104" s="287"/>
      <c r="K104" s="287"/>
      <c r="L104" s="165"/>
      <c r="M104" s="23"/>
    </row>
    <row r="105" spans="1:15" x14ac:dyDescent="0.25">
      <c r="A105" s="293" t="s">
        <v>12</v>
      </c>
      <c r="B105" s="233"/>
      <c r="C105" s="286"/>
      <c r="D105" s="165"/>
      <c r="E105" s="411"/>
      <c r="F105" s="278"/>
      <c r="G105" s="278"/>
      <c r="H105" s="165"/>
      <c r="I105" s="411"/>
      <c r="J105" s="287"/>
      <c r="K105" s="287"/>
      <c r="L105" s="165"/>
      <c r="M105" s="23"/>
    </row>
    <row r="106" spans="1:15" x14ac:dyDescent="0.25">
      <c r="A106" s="293" t="s">
        <v>13</v>
      </c>
      <c r="B106" s="233"/>
      <c r="C106" s="286"/>
      <c r="D106" s="165"/>
      <c r="E106" s="411"/>
      <c r="F106" s="278"/>
      <c r="G106" s="278"/>
      <c r="H106" s="165"/>
      <c r="I106" s="411"/>
      <c r="J106" s="287"/>
      <c r="K106" s="287"/>
      <c r="L106" s="165"/>
      <c r="M106" s="23"/>
    </row>
    <row r="107" spans="1:15" ht="15.6" x14ac:dyDescent="0.25">
      <c r="A107" s="21" t="s">
        <v>462</v>
      </c>
      <c r="B107" s="232"/>
      <c r="C107" s="144"/>
      <c r="D107" s="165"/>
      <c r="E107" s="27"/>
      <c r="F107" s="232"/>
      <c r="G107" s="144"/>
      <c r="H107" s="165"/>
      <c r="I107" s="27"/>
      <c r="J107" s="284"/>
      <c r="K107" s="44"/>
      <c r="L107" s="252"/>
      <c r="M107" s="27"/>
    </row>
    <row r="108" spans="1:15" ht="15.6" x14ac:dyDescent="0.25">
      <c r="A108" s="21" t="s">
        <v>463</v>
      </c>
      <c r="B108" s="232"/>
      <c r="C108" s="232"/>
      <c r="D108" s="165"/>
      <c r="E108" s="27"/>
      <c r="F108" s="232"/>
      <c r="G108" s="232"/>
      <c r="H108" s="165"/>
      <c r="I108" s="27"/>
      <c r="J108" s="284"/>
      <c r="K108" s="44"/>
      <c r="L108" s="252"/>
      <c r="M108" s="27"/>
    </row>
    <row r="109" spans="1:15" ht="15.75" customHeight="1" x14ac:dyDescent="0.25">
      <c r="A109" s="21" t="s">
        <v>510</v>
      </c>
      <c r="B109" s="232"/>
      <c r="C109" s="232"/>
      <c r="D109" s="165"/>
      <c r="E109" s="27"/>
      <c r="F109" s="232"/>
      <c r="G109" s="232"/>
      <c r="H109" s="165"/>
      <c r="I109" s="27"/>
      <c r="J109" s="284"/>
      <c r="K109" s="44"/>
      <c r="L109" s="252"/>
      <c r="M109" s="27"/>
      <c r="O109" s="3"/>
    </row>
    <row r="110" spans="1:15" ht="15.6" x14ac:dyDescent="0.25">
      <c r="A110" s="21" t="s">
        <v>464</v>
      </c>
      <c r="B110" s="232"/>
      <c r="C110" s="232"/>
      <c r="D110" s="165"/>
      <c r="E110" s="27"/>
      <c r="F110" s="232"/>
      <c r="G110" s="232"/>
      <c r="H110" s="165"/>
      <c r="I110" s="27"/>
      <c r="J110" s="284"/>
      <c r="K110" s="44"/>
      <c r="L110" s="252"/>
      <c r="M110" s="27"/>
    </row>
    <row r="111" spans="1:15" ht="15.6" x14ac:dyDescent="0.25">
      <c r="A111" s="13" t="s">
        <v>445</v>
      </c>
      <c r="B111" s="305"/>
      <c r="C111" s="158"/>
      <c r="D111" s="170"/>
      <c r="E111" s="11"/>
      <c r="F111" s="305"/>
      <c r="G111" s="158"/>
      <c r="H111" s="170"/>
      <c r="I111" s="11"/>
      <c r="J111" s="306"/>
      <c r="K111" s="234"/>
      <c r="L111" s="422"/>
      <c r="M111" s="11"/>
    </row>
    <row r="112" spans="1:15"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801"/>
      <c r="F130" s="958"/>
      <c r="G130" s="958"/>
      <c r="H130" s="958"/>
      <c r="I130" s="801"/>
      <c r="J130" s="958"/>
      <c r="K130" s="958"/>
      <c r="L130" s="958"/>
      <c r="M130" s="801"/>
    </row>
    <row r="131" spans="1:14" s="3" customFormat="1" x14ac:dyDescent="0.25">
      <c r="A131" s="143"/>
      <c r="B131" s="959" t="s">
        <v>0</v>
      </c>
      <c r="C131" s="960"/>
      <c r="D131" s="960"/>
      <c r="E131" s="798"/>
      <c r="F131" s="959" t="s">
        <v>1</v>
      </c>
      <c r="G131" s="960"/>
      <c r="H131" s="960"/>
      <c r="I131" s="799"/>
      <c r="J131" s="959" t="s">
        <v>2</v>
      </c>
      <c r="K131" s="960"/>
      <c r="L131" s="960"/>
      <c r="M131" s="799"/>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018" priority="59">
      <formula>kvartal &lt; 4</formula>
    </cfRule>
  </conditionalFormatting>
  <conditionalFormatting sqref="B69">
    <cfRule type="expression" dxfId="1017" priority="58">
      <formula>kvartal &lt; 4</formula>
    </cfRule>
  </conditionalFormatting>
  <conditionalFormatting sqref="C69">
    <cfRule type="expression" dxfId="1016" priority="57">
      <formula>kvartal &lt; 4</formula>
    </cfRule>
  </conditionalFormatting>
  <conditionalFormatting sqref="B72">
    <cfRule type="expression" dxfId="1015" priority="56">
      <formula>kvartal &lt; 4</formula>
    </cfRule>
  </conditionalFormatting>
  <conditionalFormatting sqref="C72">
    <cfRule type="expression" dxfId="1014" priority="55">
      <formula>kvartal &lt; 4</formula>
    </cfRule>
  </conditionalFormatting>
  <conditionalFormatting sqref="B80">
    <cfRule type="expression" dxfId="1013" priority="54">
      <formula>kvartal &lt; 4</formula>
    </cfRule>
  </conditionalFormatting>
  <conditionalFormatting sqref="C80">
    <cfRule type="expression" dxfId="1012" priority="53">
      <formula>kvartal &lt; 4</formula>
    </cfRule>
  </conditionalFormatting>
  <conditionalFormatting sqref="B83">
    <cfRule type="expression" dxfId="1011" priority="52">
      <formula>kvartal &lt; 4</formula>
    </cfRule>
  </conditionalFormatting>
  <conditionalFormatting sqref="C83">
    <cfRule type="expression" dxfId="1010" priority="51">
      <formula>kvartal &lt; 4</formula>
    </cfRule>
  </conditionalFormatting>
  <conditionalFormatting sqref="B90">
    <cfRule type="expression" dxfId="1009" priority="50">
      <formula>kvartal &lt; 4</formula>
    </cfRule>
  </conditionalFormatting>
  <conditionalFormatting sqref="C90">
    <cfRule type="expression" dxfId="1008" priority="49">
      <formula>kvartal &lt; 4</formula>
    </cfRule>
  </conditionalFormatting>
  <conditionalFormatting sqref="B93">
    <cfRule type="expression" dxfId="1007" priority="48">
      <formula>kvartal &lt; 4</formula>
    </cfRule>
  </conditionalFormatting>
  <conditionalFormatting sqref="C93">
    <cfRule type="expression" dxfId="1006" priority="47">
      <formula>kvartal &lt; 4</formula>
    </cfRule>
  </conditionalFormatting>
  <conditionalFormatting sqref="B101">
    <cfRule type="expression" dxfId="1005" priority="46">
      <formula>kvartal &lt; 4</formula>
    </cfRule>
  </conditionalFormatting>
  <conditionalFormatting sqref="C101">
    <cfRule type="expression" dxfId="1004" priority="45">
      <formula>kvartal &lt; 4</formula>
    </cfRule>
  </conditionalFormatting>
  <conditionalFormatting sqref="B104">
    <cfRule type="expression" dxfId="1003" priority="44">
      <formula>kvartal &lt; 4</formula>
    </cfRule>
  </conditionalFormatting>
  <conditionalFormatting sqref="C104">
    <cfRule type="expression" dxfId="1002" priority="43">
      <formula>kvartal &lt; 4</formula>
    </cfRule>
  </conditionalFormatting>
  <conditionalFormatting sqref="B115">
    <cfRule type="expression" dxfId="1001" priority="42">
      <formula>kvartal &lt; 4</formula>
    </cfRule>
  </conditionalFormatting>
  <conditionalFormatting sqref="C115">
    <cfRule type="expression" dxfId="1000" priority="41">
      <formula>kvartal &lt; 4</formula>
    </cfRule>
  </conditionalFormatting>
  <conditionalFormatting sqref="B123">
    <cfRule type="expression" dxfId="999" priority="40">
      <formula>kvartal &lt; 4</formula>
    </cfRule>
  </conditionalFormatting>
  <conditionalFormatting sqref="C123">
    <cfRule type="expression" dxfId="998" priority="39">
      <formula>kvartal &lt; 4</formula>
    </cfRule>
  </conditionalFormatting>
  <conditionalFormatting sqref="F70">
    <cfRule type="expression" dxfId="997" priority="38">
      <formula>kvartal &lt; 4</formula>
    </cfRule>
  </conditionalFormatting>
  <conditionalFormatting sqref="G70">
    <cfRule type="expression" dxfId="996" priority="37">
      <formula>kvartal &lt; 4</formula>
    </cfRule>
  </conditionalFormatting>
  <conditionalFormatting sqref="F71:G71">
    <cfRule type="expression" dxfId="995" priority="36">
      <formula>kvartal &lt; 4</formula>
    </cfRule>
  </conditionalFormatting>
  <conditionalFormatting sqref="F73:G74">
    <cfRule type="expression" dxfId="994" priority="35">
      <formula>kvartal &lt; 4</formula>
    </cfRule>
  </conditionalFormatting>
  <conditionalFormatting sqref="F81:G82">
    <cfRule type="expression" dxfId="993" priority="34">
      <formula>kvartal &lt; 4</formula>
    </cfRule>
  </conditionalFormatting>
  <conditionalFormatting sqref="F84:G85">
    <cfRule type="expression" dxfId="992" priority="33">
      <formula>kvartal &lt; 4</formula>
    </cfRule>
  </conditionalFormatting>
  <conditionalFormatting sqref="F91:G92">
    <cfRule type="expression" dxfId="991" priority="32">
      <formula>kvartal &lt; 4</formula>
    </cfRule>
  </conditionalFormatting>
  <conditionalFormatting sqref="F94:G95">
    <cfRule type="expression" dxfId="990" priority="31">
      <formula>kvartal &lt; 4</formula>
    </cfRule>
  </conditionalFormatting>
  <conditionalFormatting sqref="F102:G103">
    <cfRule type="expression" dxfId="989" priority="30">
      <formula>kvartal &lt; 4</formula>
    </cfRule>
  </conditionalFormatting>
  <conditionalFormatting sqref="F105:G106">
    <cfRule type="expression" dxfId="988" priority="29">
      <formula>kvartal &lt; 4</formula>
    </cfRule>
  </conditionalFormatting>
  <conditionalFormatting sqref="F115">
    <cfRule type="expression" dxfId="987" priority="28">
      <formula>kvartal &lt; 4</formula>
    </cfRule>
  </conditionalFormatting>
  <conditionalFormatting sqref="G115">
    <cfRule type="expression" dxfId="986" priority="27">
      <formula>kvartal &lt; 4</formula>
    </cfRule>
  </conditionalFormatting>
  <conditionalFormatting sqref="F123:G123">
    <cfRule type="expression" dxfId="985" priority="26">
      <formula>kvartal &lt; 4</formula>
    </cfRule>
  </conditionalFormatting>
  <conditionalFormatting sqref="F69:G69">
    <cfRule type="expression" dxfId="984" priority="25">
      <formula>kvartal &lt; 4</formula>
    </cfRule>
  </conditionalFormatting>
  <conditionalFormatting sqref="F72:G72">
    <cfRule type="expression" dxfId="983" priority="24">
      <formula>kvartal &lt; 4</formula>
    </cfRule>
  </conditionalFormatting>
  <conditionalFormatting sqref="F80:G80">
    <cfRule type="expression" dxfId="982" priority="23">
      <formula>kvartal &lt; 4</formula>
    </cfRule>
  </conditionalFormatting>
  <conditionalFormatting sqref="F83:G83">
    <cfRule type="expression" dxfId="981" priority="22">
      <formula>kvartal &lt; 4</formula>
    </cfRule>
  </conditionalFormatting>
  <conditionalFormatting sqref="F90:G90">
    <cfRule type="expression" dxfId="980" priority="21">
      <formula>kvartal &lt; 4</formula>
    </cfRule>
  </conditionalFormatting>
  <conditionalFormatting sqref="F93">
    <cfRule type="expression" dxfId="979" priority="20">
      <formula>kvartal &lt; 4</formula>
    </cfRule>
  </conditionalFormatting>
  <conditionalFormatting sqref="G93">
    <cfRule type="expression" dxfId="978" priority="19">
      <formula>kvartal &lt; 4</formula>
    </cfRule>
  </conditionalFormatting>
  <conditionalFormatting sqref="F101">
    <cfRule type="expression" dxfId="977" priority="18">
      <formula>kvartal &lt; 4</formula>
    </cfRule>
  </conditionalFormatting>
  <conditionalFormatting sqref="G101">
    <cfRule type="expression" dxfId="976" priority="17">
      <formula>kvartal &lt; 4</formula>
    </cfRule>
  </conditionalFormatting>
  <conditionalFormatting sqref="G104">
    <cfRule type="expression" dxfId="975" priority="16">
      <formula>kvartal &lt; 4</formula>
    </cfRule>
  </conditionalFormatting>
  <conditionalFormatting sqref="F104">
    <cfRule type="expression" dxfId="974" priority="15">
      <formula>kvartal &lt; 4</formula>
    </cfRule>
  </conditionalFormatting>
  <conditionalFormatting sqref="J69:K73">
    <cfRule type="expression" dxfId="973" priority="14">
      <formula>kvartal &lt; 4</formula>
    </cfRule>
  </conditionalFormatting>
  <conditionalFormatting sqref="J74:K74">
    <cfRule type="expression" dxfId="972" priority="13">
      <formula>kvartal &lt; 4</formula>
    </cfRule>
  </conditionalFormatting>
  <conditionalFormatting sqref="J80:K85">
    <cfRule type="expression" dxfId="971" priority="12">
      <formula>kvartal &lt; 4</formula>
    </cfRule>
  </conditionalFormatting>
  <conditionalFormatting sqref="J90:K95">
    <cfRule type="expression" dxfId="970" priority="11">
      <formula>kvartal &lt; 4</formula>
    </cfRule>
  </conditionalFormatting>
  <conditionalFormatting sqref="J101:K106">
    <cfRule type="expression" dxfId="969" priority="10">
      <formula>kvartal &lt; 4</formula>
    </cfRule>
  </conditionalFormatting>
  <conditionalFormatting sqref="J115:K115">
    <cfRule type="expression" dxfId="968" priority="9">
      <formula>kvartal &lt; 4</formula>
    </cfRule>
  </conditionalFormatting>
  <conditionalFormatting sqref="J123:K123">
    <cfRule type="expression" dxfId="967" priority="8">
      <formula>kvartal &lt; 4</formula>
    </cfRule>
  </conditionalFormatting>
  <conditionalFormatting sqref="A50:A52">
    <cfRule type="expression" dxfId="966" priority="7">
      <formula>kvartal &lt; 4</formula>
    </cfRule>
  </conditionalFormatting>
  <conditionalFormatting sqref="A69:A74">
    <cfRule type="expression" dxfId="965" priority="6">
      <formula>kvartal &lt; 4</formula>
    </cfRule>
  </conditionalFormatting>
  <conditionalFormatting sqref="A80:A85">
    <cfRule type="expression" dxfId="964" priority="5">
      <formula>kvartal &lt; 4</formula>
    </cfRule>
  </conditionalFormatting>
  <conditionalFormatting sqref="A90:A95">
    <cfRule type="expression" dxfId="963" priority="4">
      <formula>kvartal &lt; 4</formula>
    </cfRule>
  </conditionalFormatting>
  <conditionalFormatting sqref="A101:A106">
    <cfRule type="expression" dxfId="962" priority="3">
      <formula>kvartal &lt; 4</formula>
    </cfRule>
  </conditionalFormatting>
  <conditionalFormatting sqref="A115">
    <cfRule type="expression" dxfId="961" priority="2">
      <formula>kvartal &lt; 4</formula>
    </cfRule>
  </conditionalFormatting>
  <conditionalFormatting sqref="A123">
    <cfRule type="expression" dxfId="960"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sheetView>
  </sheetViews>
  <sheetFormatPr baseColWidth="10" defaultColWidth="11.44140625" defaultRowHeight="13.2" x14ac:dyDescent="0.25"/>
  <cols>
    <col min="1" max="1" width="90" style="490" customWidth="1"/>
    <col min="2" max="46" width="11.6640625" style="490" customWidth="1"/>
    <col min="47" max="16384" width="11.44140625" style="490"/>
  </cols>
  <sheetData>
    <row r="1" spans="1:46" ht="20.399999999999999" x14ac:dyDescent="0.35">
      <c r="A1" s="488" t="s">
        <v>283</v>
      </c>
      <c r="B1" s="466" t="s">
        <v>52</v>
      </c>
      <c r="C1" s="489"/>
      <c r="D1" s="489"/>
      <c r="H1" s="489"/>
      <c r="I1" s="489"/>
      <c r="J1" s="489"/>
      <c r="K1" s="489"/>
      <c r="L1" s="489"/>
      <c r="M1" s="489"/>
      <c r="N1" s="489"/>
      <c r="O1" s="489"/>
      <c r="P1" s="489"/>
    </row>
    <row r="2" spans="1:46" ht="20.399999999999999" x14ac:dyDescent="0.35">
      <c r="A2" s="488" t="s">
        <v>256</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row>
    <row r="3" spans="1:46" ht="17.399999999999999" x14ac:dyDescent="0.3">
      <c r="A3" s="492" t="s">
        <v>284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row>
    <row r="4" spans="1:46" ht="18.75" customHeight="1" x14ac:dyDescent="0.3">
      <c r="A4" s="470" t="s">
        <v>360</v>
      </c>
      <c r="B4" s="495"/>
      <c r="C4" s="495"/>
      <c r="D4" s="496"/>
      <c r="E4" s="499"/>
      <c r="F4" s="498"/>
      <c r="G4" s="500"/>
      <c r="H4" s="497"/>
      <c r="I4" s="495"/>
      <c r="J4" s="496"/>
      <c r="K4" s="497"/>
      <c r="L4" s="495"/>
      <c r="M4" s="496"/>
      <c r="N4" s="497"/>
      <c r="O4" s="495"/>
      <c r="P4" s="496"/>
      <c r="Q4" s="498"/>
      <c r="R4" s="498"/>
      <c r="S4" s="498"/>
      <c r="T4" s="499"/>
      <c r="U4" s="498"/>
      <c r="V4" s="500"/>
      <c r="W4" s="499"/>
      <c r="X4" s="498"/>
      <c r="Y4" s="500"/>
      <c r="Z4" s="499"/>
      <c r="AA4" s="498"/>
      <c r="AB4" s="500"/>
      <c r="AC4" s="499"/>
      <c r="AD4" s="498"/>
      <c r="AE4" s="500"/>
      <c r="AF4" s="499"/>
      <c r="AG4" s="498"/>
      <c r="AH4" s="500"/>
      <c r="AI4" s="499"/>
      <c r="AJ4" s="498"/>
      <c r="AK4" s="500"/>
      <c r="AL4" s="499"/>
      <c r="AM4" s="498"/>
      <c r="AN4" s="500"/>
      <c r="AO4" s="501"/>
      <c r="AP4" s="502"/>
      <c r="AQ4" s="503"/>
      <c r="AR4" s="499"/>
      <c r="AS4" s="498"/>
      <c r="AT4" s="504"/>
    </row>
    <row r="5" spans="1:46" ht="18.75" customHeight="1" x14ac:dyDescent="0.3">
      <c r="A5" s="505" t="s">
        <v>101</v>
      </c>
      <c r="B5" s="971" t="s">
        <v>176</v>
      </c>
      <c r="C5" s="972"/>
      <c r="D5" s="973"/>
      <c r="E5" s="971" t="s">
        <v>177</v>
      </c>
      <c r="F5" s="972"/>
      <c r="G5" s="973"/>
      <c r="H5" s="971" t="s">
        <v>177</v>
      </c>
      <c r="I5" s="972"/>
      <c r="J5" s="973"/>
      <c r="K5" s="971" t="s">
        <v>481</v>
      </c>
      <c r="L5" s="972"/>
      <c r="M5" s="973"/>
      <c r="N5" s="971" t="s">
        <v>178</v>
      </c>
      <c r="O5" s="972"/>
      <c r="P5" s="973"/>
      <c r="Q5" s="971" t="s">
        <v>179</v>
      </c>
      <c r="R5" s="972"/>
      <c r="S5" s="973"/>
      <c r="T5" s="855" t="s">
        <v>180</v>
      </c>
      <c r="U5" s="856"/>
      <c r="V5" s="857"/>
      <c r="W5" s="855"/>
      <c r="X5" s="856"/>
      <c r="Y5" s="857"/>
      <c r="Z5" s="855"/>
      <c r="AA5" s="856"/>
      <c r="AB5" s="857"/>
      <c r="AC5" s="971" t="s">
        <v>181</v>
      </c>
      <c r="AD5" s="972"/>
      <c r="AE5" s="973"/>
      <c r="AF5" s="855"/>
      <c r="AG5" s="856"/>
      <c r="AH5" s="857"/>
      <c r="AI5" s="971" t="s">
        <v>68</v>
      </c>
      <c r="AJ5" s="972"/>
      <c r="AK5" s="973"/>
      <c r="AL5" s="971" t="s">
        <v>73</v>
      </c>
      <c r="AM5" s="972"/>
      <c r="AN5" s="973"/>
      <c r="AO5" s="974" t="s">
        <v>2</v>
      </c>
      <c r="AP5" s="975"/>
      <c r="AQ5" s="976"/>
      <c r="AR5" s="971" t="s">
        <v>285</v>
      </c>
      <c r="AS5" s="972"/>
      <c r="AT5" s="973"/>
    </row>
    <row r="6" spans="1:46" ht="21" customHeight="1" x14ac:dyDescent="0.3">
      <c r="A6" s="506"/>
      <c r="B6" s="965" t="s">
        <v>182</v>
      </c>
      <c r="C6" s="966"/>
      <c r="D6" s="967"/>
      <c r="E6" s="965" t="s">
        <v>496</v>
      </c>
      <c r="F6" s="966"/>
      <c r="G6" s="967"/>
      <c r="H6" s="965" t="s">
        <v>183</v>
      </c>
      <c r="I6" s="966"/>
      <c r="J6" s="967"/>
      <c r="K6" s="965" t="s">
        <v>183</v>
      </c>
      <c r="L6" s="966"/>
      <c r="M6" s="967"/>
      <c r="N6" s="965" t="s">
        <v>183</v>
      </c>
      <c r="O6" s="966"/>
      <c r="P6" s="967"/>
      <c r="Q6" s="965" t="s">
        <v>184</v>
      </c>
      <c r="R6" s="966"/>
      <c r="S6" s="967"/>
      <c r="T6" s="965" t="s">
        <v>91</v>
      </c>
      <c r="U6" s="966"/>
      <c r="V6" s="967"/>
      <c r="W6" s="965" t="s">
        <v>63</v>
      </c>
      <c r="X6" s="966"/>
      <c r="Y6" s="967"/>
      <c r="Z6" s="965" t="s">
        <v>66</v>
      </c>
      <c r="AA6" s="966"/>
      <c r="AB6" s="967"/>
      <c r="AC6" s="965" t="s">
        <v>182</v>
      </c>
      <c r="AD6" s="966"/>
      <c r="AE6" s="967"/>
      <c r="AF6" s="965" t="s">
        <v>72</v>
      </c>
      <c r="AG6" s="966"/>
      <c r="AH6" s="967"/>
      <c r="AI6" s="965" t="s">
        <v>497</v>
      </c>
      <c r="AJ6" s="966"/>
      <c r="AK6" s="967"/>
      <c r="AL6" s="965" t="s">
        <v>183</v>
      </c>
      <c r="AM6" s="966"/>
      <c r="AN6" s="967"/>
      <c r="AO6" s="968" t="s">
        <v>286</v>
      </c>
      <c r="AP6" s="969"/>
      <c r="AQ6" s="970"/>
      <c r="AR6" s="965" t="s">
        <v>287</v>
      </c>
      <c r="AS6" s="966"/>
      <c r="AT6" s="967"/>
    </row>
    <row r="7" spans="1:46" ht="18.75" customHeight="1" x14ac:dyDescent="0.3">
      <c r="A7" s="506"/>
      <c r="B7" s="505"/>
      <c r="C7" s="505"/>
      <c r="D7" s="507" t="s">
        <v>81</v>
      </c>
      <c r="E7" s="505"/>
      <c r="F7" s="505"/>
      <c r="G7" s="507" t="s">
        <v>81</v>
      </c>
      <c r="H7" s="505"/>
      <c r="I7" s="505"/>
      <c r="J7" s="507" t="s">
        <v>81</v>
      </c>
      <c r="K7" s="505"/>
      <c r="L7" s="505"/>
      <c r="M7" s="507" t="s">
        <v>81</v>
      </c>
      <c r="N7" s="505"/>
      <c r="O7" s="505"/>
      <c r="P7" s="507" t="s">
        <v>81</v>
      </c>
      <c r="Q7" s="505"/>
      <c r="R7" s="505"/>
      <c r="S7" s="507" t="s">
        <v>81</v>
      </c>
      <c r="T7" s="505"/>
      <c r="U7" s="505"/>
      <c r="V7" s="507" t="s">
        <v>81</v>
      </c>
      <c r="W7" s="505"/>
      <c r="X7" s="505"/>
      <c r="Y7" s="507" t="s">
        <v>81</v>
      </c>
      <c r="Z7" s="505"/>
      <c r="AA7" s="505"/>
      <c r="AB7" s="507" t="s">
        <v>81</v>
      </c>
      <c r="AC7" s="505"/>
      <c r="AD7" s="505"/>
      <c r="AE7" s="507" t="s">
        <v>81</v>
      </c>
      <c r="AF7" s="505"/>
      <c r="AG7" s="505"/>
      <c r="AH7" s="507" t="s">
        <v>81</v>
      </c>
      <c r="AI7" s="505"/>
      <c r="AJ7" s="505"/>
      <c r="AK7" s="507" t="s">
        <v>81</v>
      </c>
      <c r="AL7" s="505"/>
      <c r="AM7" s="505"/>
      <c r="AN7" s="507" t="s">
        <v>81</v>
      </c>
      <c r="AO7" s="505"/>
      <c r="AP7" s="505"/>
      <c r="AQ7" s="507" t="s">
        <v>81</v>
      </c>
      <c r="AR7" s="505"/>
      <c r="AS7" s="505"/>
      <c r="AT7" s="507" t="s">
        <v>81</v>
      </c>
    </row>
    <row r="8" spans="1:46" ht="18.75" customHeight="1" x14ac:dyDescent="0.35">
      <c r="A8" s="508" t="s">
        <v>288</v>
      </c>
      <c r="B8" s="810">
        <v>2020</v>
      </c>
      <c r="C8" s="810">
        <v>2021</v>
      </c>
      <c r="D8" s="509" t="s">
        <v>83</v>
      </c>
      <c r="E8" s="810">
        <f>$B$8</f>
        <v>2020</v>
      </c>
      <c r="F8" s="810">
        <f>$C$8</f>
        <v>2021</v>
      </c>
      <c r="G8" s="509" t="s">
        <v>83</v>
      </c>
      <c r="H8" s="810">
        <f>$B$8</f>
        <v>2020</v>
      </c>
      <c r="I8" s="810">
        <f>$C$8</f>
        <v>2021</v>
      </c>
      <c r="J8" s="509" t="s">
        <v>83</v>
      </c>
      <c r="K8" s="810">
        <f>$B$8</f>
        <v>2020</v>
      </c>
      <c r="L8" s="810">
        <f>$C$8</f>
        <v>2021</v>
      </c>
      <c r="M8" s="509" t="s">
        <v>83</v>
      </c>
      <c r="N8" s="810">
        <f>$B$8</f>
        <v>2020</v>
      </c>
      <c r="O8" s="810">
        <f>$C$8</f>
        <v>2021</v>
      </c>
      <c r="P8" s="509" t="s">
        <v>83</v>
      </c>
      <c r="Q8" s="810">
        <f>$B$8</f>
        <v>2020</v>
      </c>
      <c r="R8" s="810">
        <f>$C$8</f>
        <v>2021</v>
      </c>
      <c r="S8" s="509" t="s">
        <v>83</v>
      </c>
      <c r="T8" s="810">
        <f>$B$8</f>
        <v>2020</v>
      </c>
      <c r="U8" s="810">
        <f>$C$8</f>
        <v>2021</v>
      </c>
      <c r="V8" s="509" t="s">
        <v>83</v>
      </c>
      <c r="W8" s="810">
        <f>$B$8</f>
        <v>2020</v>
      </c>
      <c r="X8" s="810">
        <f>$C$8</f>
        <v>2021</v>
      </c>
      <c r="Y8" s="509" t="s">
        <v>83</v>
      </c>
      <c r="Z8" s="810">
        <f>$B$8</f>
        <v>2020</v>
      </c>
      <c r="AA8" s="810">
        <f>$C$8</f>
        <v>2021</v>
      </c>
      <c r="AB8" s="509" t="s">
        <v>83</v>
      </c>
      <c r="AC8" s="810">
        <f>$B$8</f>
        <v>2020</v>
      </c>
      <c r="AD8" s="810">
        <f>$C$8</f>
        <v>2021</v>
      </c>
      <c r="AE8" s="509" t="s">
        <v>83</v>
      </c>
      <c r="AF8" s="810">
        <f>$B$8</f>
        <v>2020</v>
      </c>
      <c r="AG8" s="810">
        <f>$C$8</f>
        <v>2021</v>
      </c>
      <c r="AH8" s="509" t="s">
        <v>83</v>
      </c>
      <c r="AI8" s="810">
        <f>$B$8</f>
        <v>2020</v>
      </c>
      <c r="AJ8" s="810">
        <f>$C$8</f>
        <v>2021</v>
      </c>
      <c r="AK8" s="509" t="s">
        <v>83</v>
      </c>
      <c r="AL8" s="810">
        <f>$B$8</f>
        <v>2020</v>
      </c>
      <c r="AM8" s="810">
        <f>$C$8</f>
        <v>2021</v>
      </c>
      <c r="AN8" s="509" t="s">
        <v>83</v>
      </c>
      <c r="AO8" s="810">
        <f>$B$8</f>
        <v>2020</v>
      </c>
      <c r="AP8" s="810">
        <f>$C$8</f>
        <v>2021</v>
      </c>
      <c r="AQ8" s="509" t="s">
        <v>83</v>
      </c>
      <c r="AR8" s="810">
        <f>$B$8</f>
        <v>2020</v>
      </c>
      <c r="AS8" s="810">
        <f>$C$8</f>
        <v>2021</v>
      </c>
      <c r="AT8" s="509" t="s">
        <v>83</v>
      </c>
    </row>
    <row r="9" spans="1:46" ht="18.75" customHeight="1" x14ac:dyDescent="0.35">
      <c r="A9" s="506" t="s">
        <v>289</v>
      </c>
      <c r="B9" s="878"/>
      <c r="C9" s="878"/>
      <c r="D9" s="511"/>
      <c r="E9" s="787"/>
      <c r="F9" s="787"/>
      <c r="G9" s="511"/>
      <c r="H9" s="878"/>
      <c r="I9" s="878"/>
      <c r="J9" s="511"/>
      <c r="K9" s="878"/>
      <c r="L9" s="878"/>
      <c r="M9" s="511"/>
      <c r="N9" s="878"/>
      <c r="O9" s="878"/>
      <c r="P9" s="511"/>
      <c r="Q9" s="878"/>
      <c r="R9" s="878"/>
      <c r="S9" s="510"/>
      <c r="T9" s="512"/>
      <c r="U9" s="512"/>
      <c r="V9" s="511"/>
      <c r="W9" s="908"/>
      <c r="X9" s="512"/>
      <c r="Y9" s="511"/>
      <c r="Z9" s="878"/>
      <c r="AA9" s="512"/>
      <c r="AB9" s="511"/>
      <c r="AC9" s="908"/>
      <c r="AD9" s="512"/>
      <c r="AE9" s="511"/>
      <c r="AF9" s="878"/>
      <c r="AG9" s="512"/>
      <c r="AH9" s="511"/>
      <c r="AI9" s="878"/>
      <c r="AJ9" s="512"/>
      <c r="AK9" s="511"/>
      <c r="AL9" s="878"/>
      <c r="AM9" s="512"/>
      <c r="AN9" s="511"/>
      <c r="AO9" s="511"/>
      <c r="AP9" s="511"/>
      <c r="AQ9" s="511"/>
      <c r="AR9" s="513"/>
      <c r="AS9" s="513"/>
      <c r="AT9" s="513"/>
    </row>
    <row r="10" spans="1:46" s="491" customFormat="1" ht="18.75" customHeight="1" x14ac:dyDescent="0.35">
      <c r="A10" s="514" t="s">
        <v>290</v>
      </c>
      <c r="B10" s="879"/>
      <c r="C10" s="879"/>
      <c r="D10" s="516"/>
      <c r="E10" s="431"/>
      <c r="F10" s="431"/>
      <c r="G10" s="516"/>
      <c r="H10" s="879"/>
      <c r="I10" s="879"/>
      <c r="J10" s="516"/>
      <c r="K10" s="879"/>
      <c r="L10" s="879"/>
      <c r="M10" s="516"/>
      <c r="N10" s="879"/>
      <c r="O10" s="879"/>
      <c r="P10" s="516"/>
      <c r="Q10" s="879"/>
      <c r="R10" s="879"/>
      <c r="S10" s="515"/>
      <c r="T10" s="517"/>
      <c r="U10" s="517"/>
      <c r="V10" s="516"/>
      <c r="W10" s="880"/>
      <c r="X10" s="517"/>
      <c r="Y10" s="516"/>
      <c r="Z10" s="879"/>
      <c r="AA10" s="517"/>
      <c r="AB10" s="516"/>
      <c r="AC10" s="880"/>
      <c r="AD10" s="517"/>
      <c r="AE10" s="516"/>
      <c r="AF10" s="879"/>
      <c r="AG10" s="517"/>
      <c r="AH10" s="516"/>
      <c r="AI10" s="879"/>
      <c r="AJ10" s="517"/>
      <c r="AK10" s="516"/>
      <c r="AL10" s="879"/>
      <c r="AM10" s="517"/>
      <c r="AN10" s="516"/>
      <c r="AO10" s="516"/>
      <c r="AP10" s="516"/>
      <c r="AQ10" s="516"/>
      <c r="AR10" s="519"/>
      <c r="AS10" s="519"/>
      <c r="AT10" s="519"/>
    </row>
    <row r="11" spans="1:46" s="491" customFormat="1" ht="18.75" customHeight="1" x14ac:dyDescent="0.35">
      <c r="A11" s="514" t="s">
        <v>291</v>
      </c>
      <c r="B11" s="880">
        <f>2528.492+0.357</f>
        <v>2528.8490000000002</v>
      </c>
      <c r="C11" s="880">
        <f>2742.017-6.127</f>
        <v>2735.89</v>
      </c>
      <c r="D11" s="516">
        <f t="shared" ref="D11:D16" si="0">IF(B11=0, "    ---- ", IF(ABS(ROUND(100/B11*C11-100,1))&lt;999,ROUND(100/B11*C11-100,1),IF(ROUND(100/B11*C11-100,1)&gt;999,999,-999)))</f>
        <v>8.1999999999999993</v>
      </c>
      <c r="E11" s="334">
        <v>700.5</v>
      </c>
      <c r="F11" s="334"/>
      <c r="G11" s="516">
        <f t="shared" ref="G11:G30" si="1">IF(E11=0, "    ---- ", IF(ABS(ROUND(100/E11*F11-100,1))&lt;999,ROUND(100/E11*F11-100,1),IF(ROUND(100/E11*F11-100,1)&gt;999,999,-999)))</f>
        <v>-100</v>
      </c>
      <c r="H11" s="880">
        <v>14224.773172480001</v>
      </c>
      <c r="I11" s="880">
        <v>16119.42744738</v>
      </c>
      <c r="J11" s="516">
        <f t="shared" ref="J11:J17" si="2">IF(H11=0, "    ---- ", IF(ABS(ROUND(100/H11*I11-100,1))&lt;999,ROUND(100/H11*I11-100,1),IF(ROUND(100/H11*I11-100,1)&gt;999,999,-999)))</f>
        <v>13.3</v>
      </c>
      <c r="K11" s="880">
        <v>3363.3434639199995</v>
      </c>
      <c r="L11" s="880">
        <v>3571.4850701600003</v>
      </c>
      <c r="M11" s="516">
        <f t="shared" ref="M11:M17" si="3">IF(K11=0, "    ---- ", IF(ABS(ROUND(100/K11*L11-100,1))&lt;999,ROUND(100/K11*L11-100,1),IF(ROUND(100/K11*L11-100,1)&gt;999,999,-999)))</f>
        <v>6.2</v>
      </c>
      <c r="N11" s="880">
        <v>962.37300000000005</v>
      </c>
      <c r="O11" s="880">
        <v>560.64052400000003</v>
      </c>
      <c r="P11" s="516">
        <f t="shared" ref="P11:P17" si="4">IF(N11=0, "    ---- ", IF(ABS(ROUND(100/N11*O11-100,1))&lt;999,ROUND(100/N11*O11-100,1),IF(ROUND(100/N11*O11-100,1)&gt;999,999,-999)))</f>
        <v>-41.7</v>
      </c>
      <c r="Q11" s="880">
        <v>3913.4</v>
      </c>
      <c r="R11" s="880">
        <v>4440.6000000000004</v>
      </c>
      <c r="S11" s="516">
        <f t="shared" ref="S11:S16" si="5">IF(Q11=0, "    ---- ", IF(ABS(ROUND(100/Q11*R11-100,1))&lt;999,ROUND(100/Q11*R11-100,1),IF(ROUND(100/Q11*R11-100,1)&gt;999,999,-999)))</f>
        <v>13.5</v>
      </c>
      <c r="T11" s="880">
        <v>34.452757849999998</v>
      </c>
      <c r="U11" s="880">
        <v>34.122999999999998</v>
      </c>
      <c r="V11" s="516">
        <f>IF(T11=0, "    ---- ", IF(ABS(ROUND(100/T11*U11-100,1))&lt;999,ROUND(100/T11*U11-100,1),IF(ROUND(100/T11*U11-100,1)&gt;999,999,-999)))</f>
        <v>-1</v>
      </c>
      <c r="W11" s="880">
        <v>34251.550587860002</v>
      </c>
      <c r="X11" s="334">
        <v>50161.05433929</v>
      </c>
      <c r="Y11" s="516">
        <f t="shared" ref="Y11:Y17" si="6">IF(W11=0, "    ---- ", IF(ABS(ROUND(100/W11*X11-100,1))&lt;999,ROUND(100/W11*X11-100,1),IF(ROUND(100/W11*X11-100,1)&gt;999,999,-999)))</f>
        <v>46.4</v>
      </c>
      <c r="Z11" s="880">
        <v>14322</v>
      </c>
      <c r="AA11" s="880">
        <v>19637</v>
      </c>
      <c r="AB11" s="516">
        <f t="shared" ref="AB11:AB17" si="7">IF(Z11=0, "    ---- ", IF(ABS(ROUND(100/Z11*AA11-100,1))&lt;999,ROUND(100/Z11*AA11-100,1),IF(ROUND(100/Z11*AA11-100,1)&gt;999,999,-999)))</f>
        <v>37.1</v>
      </c>
      <c r="AC11" s="880">
        <v>4017</v>
      </c>
      <c r="AD11" s="880">
        <v>7545</v>
      </c>
      <c r="AE11" s="516">
        <f t="shared" ref="AE11:AE17" si="8">IF(AC11=0, "    ---- ", IF(ABS(ROUND(100/AC11*AD11-100,1))&lt;999,ROUND(100/AC11*AD11-100,1),IF(ROUND(100/AC11*AD11-100,1)&gt;999,999,-999)))</f>
        <v>87.8</v>
      </c>
      <c r="AF11" s="880">
        <v>146.91530191999999</v>
      </c>
      <c r="AG11" s="880">
        <v>178.35900000000001</v>
      </c>
      <c r="AH11" s="516">
        <f t="shared" ref="AH11:AH16" si="9">IF(AF11=0, "    ---- ", IF(ABS(ROUND(100/AF11*AG11-100,1))&lt;999,ROUND(100/AF11*AG11-100,1),IF(ROUND(100/AF11*AG11-100,1)&gt;999,999,-999)))</f>
        <v>21.4</v>
      </c>
      <c r="AI11" s="880">
        <v>5514.1058594999995</v>
      </c>
      <c r="AJ11" s="880">
        <v>6355.720557659999</v>
      </c>
      <c r="AK11" s="516">
        <f t="shared" ref="AK11:AK17" si="10">IF(AI11=0, "    ---- ", IF(ABS(ROUND(100/AI11*AJ11-100,1))&lt;999,ROUND(100/AI11*AJ11-100,1),IF(ROUND(100/AI11*AJ11-100,1)&gt;999,999,-999)))</f>
        <v>15.3</v>
      </c>
      <c r="AL11" s="880">
        <v>18099</v>
      </c>
      <c r="AM11" s="880">
        <v>19435.599999999999</v>
      </c>
      <c r="AN11" s="516">
        <f t="shared" ref="AN11:AN17" si="11">IF(AL11=0, "    ---- ", IF(ABS(ROUND(100/AL11*AM11-100,1))&lt;999,ROUND(100/AL11*AM11-100,1),IF(ROUND(100/AL11*AM11-100,1)&gt;999,999,-999)))</f>
        <v>7.4</v>
      </c>
      <c r="AO11" s="516">
        <f t="shared" ref="AO11:AP17" si="12">B11+H11+K11+N11+Q11+W11+E11+Z11+AC11+AI11+AL11</f>
        <v>101896.89508376</v>
      </c>
      <c r="AP11" s="516">
        <f t="shared" si="12"/>
        <v>130562.41793848999</v>
      </c>
      <c r="AQ11" s="516">
        <f t="shared" ref="AQ11:AQ45" si="13">IF(AO11=0, "    ---- ", IF(ABS(ROUND(100/AO11*AP11-100,1))&lt;999,ROUND(100/AO11*AP11-100,1),IF(ROUND(100/AO11*AP11-100,1)&gt;999,999,-999)))</f>
        <v>28.1</v>
      </c>
      <c r="AR11" s="520">
        <f t="shared" ref="AR11:AS17" si="14">+B11+H11+K11+N11+Q11+T11+W11+E11+Z11+AC11+AF11+AI11+AL11</f>
        <v>102078.26314353</v>
      </c>
      <c r="AS11" s="520">
        <f t="shared" si="14"/>
        <v>130774.89993848998</v>
      </c>
      <c r="AT11" s="516">
        <f t="shared" ref="AT11:AT17" si="15">IF(AR11=0, "    ---- ", IF(ABS(ROUND(100/AR11*AS11-100,1))&lt;999,ROUND(100/AR11*AS11-100,1),IF(ROUND(100/AR11*AS11-100,1)&gt;999,999,-999)))</f>
        <v>28.1</v>
      </c>
    </row>
    <row r="12" spans="1:46" s="491" customFormat="1" ht="18.75" customHeight="1" x14ac:dyDescent="0.35">
      <c r="A12" s="514" t="s">
        <v>292</v>
      </c>
      <c r="B12" s="880">
        <v>-117.90300000000001</v>
      </c>
      <c r="C12" s="880">
        <v>-117.157</v>
      </c>
      <c r="D12" s="516">
        <f t="shared" si="0"/>
        <v>-0.6</v>
      </c>
      <c r="E12" s="334"/>
      <c r="F12" s="334"/>
      <c r="G12" s="516" t="str">
        <f t="shared" si="1"/>
        <v xml:space="preserve">    ---- </v>
      </c>
      <c r="H12" s="880">
        <v>-300.57072892000002</v>
      </c>
      <c r="I12" s="880">
        <v>-288.48154948000001</v>
      </c>
      <c r="J12" s="516">
        <f t="shared" si="2"/>
        <v>-4</v>
      </c>
      <c r="K12" s="880">
        <v>-195.02969224999998</v>
      </c>
      <c r="L12" s="880">
        <v>-174.54024609999999</v>
      </c>
      <c r="M12" s="516">
        <f t="shared" si="3"/>
        <v>-10.5</v>
      </c>
      <c r="N12" s="880">
        <v>9.8290000000000006</v>
      </c>
      <c r="O12" s="880">
        <v>-26.927</v>
      </c>
      <c r="P12" s="516">
        <f t="shared" si="4"/>
        <v>-374</v>
      </c>
      <c r="Q12" s="880">
        <v>-75.8</v>
      </c>
      <c r="R12" s="880">
        <v>-78.599999999999994</v>
      </c>
      <c r="S12" s="516">
        <f t="shared" si="5"/>
        <v>3.7</v>
      </c>
      <c r="T12" s="880"/>
      <c r="U12" s="880"/>
      <c r="V12" s="516"/>
      <c r="W12" s="880">
        <v>0</v>
      </c>
      <c r="X12" s="334">
        <v>0</v>
      </c>
      <c r="Y12" s="516" t="str">
        <f t="shared" si="6"/>
        <v xml:space="preserve">    ---- </v>
      </c>
      <c r="Z12" s="880">
        <v>-88</v>
      </c>
      <c r="AA12" s="880">
        <v>-89</v>
      </c>
      <c r="AB12" s="516">
        <f t="shared" si="7"/>
        <v>1.1000000000000001</v>
      </c>
      <c r="AC12" s="880">
        <v>-2</v>
      </c>
      <c r="AD12" s="880">
        <v>-2</v>
      </c>
      <c r="AE12" s="516"/>
      <c r="AF12" s="880"/>
      <c r="AG12" s="880"/>
      <c r="AH12" s="516"/>
      <c r="AI12" s="880">
        <v>-3.6110000000000002</v>
      </c>
      <c r="AJ12" s="880">
        <v>-5.8490000000000002</v>
      </c>
      <c r="AK12" s="516">
        <f t="shared" si="10"/>
        <v>62</v>
      </c>
      <c r="AL12" s="880">
        <v>-9</v>
      </c>
      <c r="AM12" s="880">
        <v>-8.6</v>
      </c>
      <c r="AN12" s="516">
        <f t="shared" si="11"/>
        <v>-4.4000000000000004</v>
      </c>
      <c r="AO12" s="516">
        <f t="shared" si="12"/>
        <v>-782.08542117000002</v>
      </c>
      <c r="AP12" s="516">
        <f t="shared" si="12"/>
        <v>-791.15479558000015</v>
      </c>
      <c r="AQ12" s="516">
        <f t="shared" si="13"/>
        <v>1.2</v>
      </c>
      <c r="AR12" s="520">
        <f t="shared" si="14"/>
        <v>-782.08542117000002</v>
      </c>
      <c r="AS12" s="520">
        <f t="shared" si="14"/>
        <v>-791.15479558000015</v>
      </c>
      <c r="AT12" s="516">
        <f t="shared" si="15"/>
        <v>1.2</v>
      </c>
    </row>
    <row r="13" spans="1:46" s="491" customFormat="1" ht="18.75" customHeight="1" x14ac:dyDescent="0.35">
      <c r="A13" s="514" t="s">
        <v>293</v>
      </c>
      <c r="B13" s="880">
        <v>894.21600000000001</v>
      </c>
      <c r="C13" s="880">
        <v>5914.0919999999996</v>
      </c>
      <c r="D13" s="516">
        <f t="shared" si="0"/>
        <v>561.4</v>
      </c>
      <c r="E13" s="334">
        <v>328.8</v>
      </c>
      <c r="F13" s="334"/>
      <c r="G13" s="516">
        <f t="shared" si="1"/>
        <v>-100</v>
      </c>
      <c r="H13" s="880">
        <v>3038.47282365</v>
      </c>
      <c r="I13" s="880">
        <v>31043.995510519999</v>
      </c>
      <c r="J13" s="516">
        <f t="shared" si="2"/>
        <v>921.7</v>
      </c>
      <c r="K13" s="880"/>
      <c r="L13" s="880"/>
      <c r="M13" s="516" t="str">
        <f t="shared" si="3"/>
        <v xml:space="preserve">    ---- </v>
      </c>
      <c r="N13" s="880">
        <v>101.58799999999999</v>
      </c>
      <c r="O13" s="880"/>
      <c r="P13" s="516">
        <f t="shared" si="4"/>
        <v>-100</v>
      </c>
      <c r="Q13" s="880">
        <v>1835.2</v>
      </c>
      <c r="R13" s="880">
        <v>11312.8</v>
      </c>
      <c r="S13" s="516">
        <f t="shared" si="5"/>
        <v>516.4</v>
      </c>
      <c r="T13" s="880"/>
      <c r="U13" s="880"/>
      <c r="V13" s="516"/>
      <c r="W13" s="880">
        <v>2850.1008830000001</v>
      </c>
      <c r="X13" s="334">
        <v>0</v>
      </c>
      <c r="Y13" s="516">
        <f t="shared" si="6"/>
        <v>-100</v>
      </c>
      <c r="Z13" s="880">
        <v>10379</v>
      </c>
      <c r="AA13" s="880">
        <v>14243</v>
      </c>
      <c r="AB13" s="516">
        <f t="shared" si="7"/>
        <v>37.200000000000003</v>
      </c>
      <c r="AC13" s="880">
        <v>0</v>
      </c>
      <c r="AD13" s="880">
        <v>14</v>
      </c>
      <c r="AE13" s="516"/>
      <c r="AF13" s="880">
        <v>104.171875</v>
      </c>
      <c r="AG13" s="880">
        <v>95.021000000000001</v>
      </c>
      <c r="AH13" s="516">
        <f t="shared" si="9"/>
        <v>-8.8000000000000007</v>
      </c>
      <c r="AI13" s="880">
        <v>1186.7867027200002</v>
      </c>
      <c r="AJ13" s="880">
        <v>10636.133494099999</v>
      </c>
      <c r="AK13" s="516">
        <f t="shared" si="10"/>
        <v>796.2</v>
      </c>
      <c r="AL13" s="880">
        <v>6051</v>
      </c>
      <c r="AM13" s="880">
        <v>18465.599999999999</v>
      </c>
      <c r="AN13" s="516">
        <f t="shared" si="11"/>
        <v>205.2</v>
      </c>
      <c r="AO13" s="516">
        <f t="shared" si="12"/>
        <v>26665.164409370002</v>
      </c>
      <c r="AP13" s="516">
        <f t="shared" si="12"/>
        <v>91629.621004619985</v>
      </c>
      <c r="AQ13" s="516">
        <f t="shared" si="13"/>
        <v>243.6</v>
      </c>
      <c r="AR13" s="520">
        <f t="shared" si="14"/>
        <v>26769.336284370002</v>
      </c>
      <c r="AS13" s="520">
        <f t="shared" si="14"/>
        <v>91724.642004619993</v>
      </c>
      <c r="AT13" s="516">
        <f t="shared" si="15"/>
        <v>242.6</v>
      </c>
    </row>
    <row r="14" spans="1:46" s="491" customFormat="1" ht="18.75" customHeight="1" x14ac:dyDescent="0.35">
      <c r="A14" s="514" t="s">
        <v>294</v>
      </c>
      <c r="B14" s="881">
        <f>SUM(B11:B13)</f>
        <v>3305.1620000000003</v>
      </c>
      <c r="C14" s="881">
        <f>SUM(C11:C13)</f>
        <v>8532.8249999999989</v>
      </c>
      <c r="D14" s="516">
        <f t="shared" si="0"/>
        <v>158.19999999999999</v>
      </c>
      <c r="E14" s="431">
        <f>SUM(E11:E13)</f>
        <v>1029.3</v>
      </c>
      <c r="F14" s="431"/>
      <c r="G14" s="516">
        <f t="shared" si="1"/>
        <v>-100</v>
      </c>
      <c r="H14" s="879">
        <f>SUM(H11:H13)</f>
        <v>16962.675267210001</v>
      </c>
      <c r="I14" s="879">
        <f>SUM(I11:I13)</f>
        <v>46874.941408419996</v>
      </c>
      <c r="J14" s="516">
        <f t="shared" si="2"/>
        <v>176.3</v>
      </c>
      <c r="K14" s="879">
        <f>SUM(K11:K13)</f>
        <v>3168.3137716699994</v>
      </c>
      <c r="L14" s="879">
        <f>SUM(L11:L13)</f>
        <v>3396.9448240600004</v>
      </c>
      <c r="M14" s="516">
        <f t="shared" si="3"/>
        <v>7.2</v>
      </c>
      <c r="N14" s="879">
        <f>SUM(N11:N13)</f>
        <v>1073.79</v>
      </c>
      <c r="O14" s="879">
        <f>SUM(O11:O13)</f>
        <v>533.71352400000001</v>
      </c>
      <c r="P14" s="516">
        <f t="shared" si="4"/>
        <v>-50.3</v>
      </c>
      <c r="Q14" s="879">
        <f>SUM(Q11:Q13)</f>
        <v>5672.8</v>
      </c>
      <c r="R14" s="879">
        <f>SUM(R11:R13)</f>
        <v>15674.8</v>
      </c>
      <c r="S14" s="516">
        <f t="shared" si="5"/>
        <v>176.3</v>
      </c>
      <c r="T14" s="879">
        <f>SUM(T11:T13)</f>
        <v>34.452757849999998</v>
      </c>
      <c r="U14" s="879">
        <f>SUM(U11:U13)</f>
        <v>34.122999999999998</v>
      </c>
      <c r="V14" s="516">
        <f>IF(T14=0, "    ---- ", IF(ABS(ROUND(100/T14*U14-100,1))&lt;999,ROUND(100/T14*U14-100,1),IF(ROUND(100/T14*U14-100,1)&gt;999,999,-999)))</f>
        <v>-1</v>
      </c>
      <c r="W14" s="879">
        <v>37101.651470860001</v>
      </c>
      <c r="X14" s="443">
        <v>50161.05433929</v>
      </c>
      <c r="Y14" s="516">
        <f t="shared" si="6"/>
        <v>35.200000000000003</v>
      </c>
      <c r="Z14" s="879">
        <f>SUM(Z11:Z13)</f>
        <v>24613</v>
      </c>
      <c r="AA14" s="879">
        <f>SUM(AA11:AA13)</f>
        <v>33791</v>
      </c>
      <c r="AB14" s="516">
        <f t="shared" si="7"/>
        <v>37.299999999999997</v>
      </c>
      <c r="AC14" s="879">
        <f>SUM(AC11:AC13)</f>
        <v>4015</v>
      </c>
      <c r="AD14" s="879">
        <f>SUM(AD11:AD13)</f>
        <v>7557</v>
      </c>
      <c r="AE14" s="516">
        <f t="shared" si="8"/>
        <v>88.2</v>
      </c>
      <c r="AF14" s="879">
        <f>SUM(AF11:AF13)</f>
        <v>251.08717691999999</v>
      </c>
      <c r="AG14" s="879">
        <f>SUM(AG11:AG13)</f>
        <v>273.38</v>
      </c>
      <c r="AH14" s="516">
        <f t="shared" si="9"/>
        <v>8.9</v>
      </c>
      <c r="AI14" s="879">
        <f>SUM(AI11:AI13)</f>
        <v>6697.2815622199996</v>
      </c>
      <c r="AJ14" s="879">
        <f>SUM(AJ11:AJ13)</f>
        <v>16986.005051759996</v>
      </c>
      <c r="AK14" s="516">
        <f t="shared" si="10"/>
        <v>153.6</v>
      </c>
      <c r="AL14" s="879">
        <f>SUM(AL11:AL13)</f>
        <v>24141</v>
      </c>
      <c r="AM14" s="879">
        <f>SUM(AM11:AM13)</f>
        <v>37892.6</v>
      </c>
      <c r="AN14" s="516">
        <f t="shared" si="11"/>
        <v>57</v>
      </c>
      <c r="AO14" s="516">
        <f t="shared" si="12"/>
        <v>127779.97407196001</v>
      </c>
      <c r="AP14" s="516">
        <f t="shared" si="12"/>
        <v>221400.88414752999</v>
      </c>
      <c r="AQ14" s="516">
        <f t="shared" si="13"/>
        <v>73.3</v>
      </c>
      <c r="AR14" s="520">
        <f t="shared" si="14"/>
        <v>128065.51400673001</v>
      </c>
      <c r="AS14" s="520">
        <f t="shared" si="14"/>
        <v>221708.38714753001</v>
      </c>
      <c r="AT14" s="516">
        <f t="shared" si="15"/>
        <v>73.099999999999994</v>
      </c>
    </row>
    <row r="15" spans="1:46" s="491" customFormat="1" ht="18.75" customHeight="1" x14ac:dyDescent="0.35">
      <c r="A15" s="514" t="s">
        <v>295</v>
      </c>
      <c r="B15" s="882">
        <v>50.329000000000001</v>
      </c>
      <c r="C15" s="882">
        <v>10.038</v>
      </c>
      <c r="D15" s="516">
        <f t="shared" si="0"/>
        <v>-80.099999999999994</v>
      </c>
      <c r="E15" s="441">
        <v>43.2</v>
      </c>
      <c r="F15" s="441"/>
      <c r="G15" s="516">
        <f t="shared" si="1"/>
        <v>-100</v>
      </c>
      <c r="H15" s="882">
        <v>2777.7973923500008</v>
      </c>
      <c r="I15" s="882">
        <v>8939.4213362199989</v>
      </c>
      <c r="J15" s="516">
        <f t="shared" si="2"/>
        <v>221.8</v>
      </c>
      <c r="K15" s="892">
        <v>142.80361669999999</v>
      </c>
      <c r="L15" s="892">
        <v>91.630285200000017</v>
      </c>
      <c r="M15" s="516">
        <f t="shared" si="3"/>
        <v>-35.799999999999997</v>
      </c>
      <c r="N15" s="892">
        <v>39.094000000000001</v>
      </c>
      <c r="O15" s="892">
        <v>71.991</v>
      </c>
      <c r="P15" s="516">
        <f t="shared" si="4"/>
        <v>84.1</v>
      </c>
      <c r="Q15" s="882">
        <v>210.8</v>
      </c>
      <c r="R15" s="882">
        <v>288.5</v>
      </c>
      <c r="S15" s="516">
        <f t="shared" si="5"/>
        <v>36.9</v>
      </c>
      <c r="T15" s="893"/>
      <c r="U15" s="893"/>
      <c r="V15" s="516"/>
      <c r="W15" s="882">
        <v>24170.105103909998</v>
      </c>
      <c r="X15" s="441">
        <v>49769.642968680004</v>
      </c>
      <c r="Y15" s="516">
        <f t="shared" si="6"/>
        <v>105.9</v>
      </c>
      <c r="Z15" s="882">
        <v>2451</v>
      </c>
      <c r="AA15" s="882">
        <v>4303</v>
      </c>
      <c r="AB15" s="516">
        <f t="shared" si="7"/>
        <v>75.599999999999994</v>
      </c>
      <c r="AC15" s="882">
        <v>7395</v>
      </c>
      <c r="AD15" s="893">
        <v>10409</v>
      </c>
      <c r="AE15" s="516">
        <f t="shared" si="8"/>
        <v>40.799999999999997</v>
      </c>
      <c r="AF15" s="893"/>
      <c r="AG15" s="893"/>
      <c r="AH15" s="516"/>
      <c r="AI15" s="522">
        <v>965.23216597999988</v>
      </c>
      <c r="AJ15" s="522">
        <v>2075.4089684399983</v>
      </c>
      <c r="AK15" s="516">
        <f t="shared" si="10"/>
        <v>115</v>
      </c>
      <c r="AL15" s="882">
        <v>10308</v>
      </c>
      <c r="AM15" s="893">
        <v>7858.7</v>
      </c>
      <c r="AN15" s="516">
        <f t="shared" si="11"/>
        <v>-23.8</v>
      </c>
      <c r="AO15" s="516">
        <f t="shared" si="12"/>
        <v>48553.361278939999</v>
      </c>
      <c r="AP15" s="516">
        <f t="shared" si="12"/>
        <v>83817.332558540002</v>
      </c>
      <c r="AQ15" s="516">
        <f t="shared" si="13"/>
        <v>72.599999999999994</v>
      </c>
      <c r="AR15" s="520">
        <f t="shared" si="14"/>
        <v>48553.361278939999</v>
      </c>
      <c r="AS15" s="520">
        <f t="shared" si="14"/>
        <v>83817.332558540002</v>
      </c>
      <c r="AT15" s="516">
        <f t="shared" si="15"/>
        <v>72.599999999999994</v>
      </c>
    </row>
    <row r="16" spans="1:46" s="491" customFormat="1" ht="18.75" customHeight="1" x14ac:dyDescent="0.35">
      <c r="A16" s="514" t="s">
        <v>296</v>
      </c>
      <c r="B16" s="882">
        <v>1944.048</v>
      </c>
      <c r="C16" s="882">
        <v>3042.7919999999999</v>
      </c>
      <c r="D16" s="516">
        <f t="shared" si="0"/>
        <v>56.5</v>
      </c>
      <c r="E16" s="441">
        <v>350.6</v>
      </c>
      <c r="F16" s="441"/>
      <c r="G16" s="523">
        <f t="shared" si="1"/>
        <v>-100</v>
      </c>
      <c r="H16" s="882">
        <v>7523.5813762000016</v>
      </c>
      <c r="I16" s="882">
        <v>14662.94077462</v>
      </c>
      <c r="J16" s="516">
        <f t="shared" si="2"/>
        <v>94.9</v>
      </c>
      <c r="K16" s="892"/>
      <c r="L16" s="892"/>
      <c r="M16" s="516" t="str">
        <f t="shared" si="3"/>
        <v xml:space="preserve">    ---- </v>
      </c>
      <c r="N16" s="892">
        <v>65.712999999999994</v>
      </c>
      <c r="O16" s="892">
        <v>0</v>
      </c>
      <c r="P16" s="516">
        <f t="shared" si="4"/>
        <v>-100</v>
      </c>
      <c r="Q16" s="882">
        <v>2809.2</v>
      </c>
      <c r="R16" s="882">
        <v>4736.3</v>
      </c>
      <c r="S16" s="515">
        <f t="shared" si="5"/>
        <v>68.599999999999994</v>
      </c>
      <c r="T16" s="893"/>
      <c r="U16" s="893"/>
      <c r="V16" s="523"/>
      <c r="W16" s="882">
        <v>73.525726120000002</v>
      </c>
      <c r="X16" s="441">
        <v>181.42402299</v>
      </c>
      <c r="Y16" s="523">
        <f t="shared" si="6"/>
        <v>146.69999999999999</v>
      </c>
      <c r="Z16" s="882">
        <v>6030</v>
      </c>
      <c r="AA16" s="882">
        <v>13235</v>
      </c>
      <c r="AB16" s="516">
        <f t="shared" si="7"/>
        <v>119.5</v>
      </c>
      <c r="AC16" s="882"/>
      <c r="AD16" s="893"/>
      <c r="AE16" s="516"/>
      <c r="AF16" s="892">
        <v>361.96741037999999</v>
      </c>
      <c r="AG16" s="892">
        <v>442.108</v>
      </c>
      <c r="AH16" s="516">
        <f t="shared" si="9"/>
        <v>22.1</v>
      </c>
      <c r="AI16" s="522">
        <v>4128.4064832800004</v>
      </c>
      <c r="AJ16" s="522">
        <v>5814.9740653600002</v>
      </c>
      <c r="AK16" s="516">
        <f t="shared" si="10"/>
        <v>40.9</v>
      </c>
      <c r="AL16" s="882">
        <v>11381</v>
      </c>
      <c r="AM16" s="893">
        <v>19415.5</v>
      </c>
      <c r="AN16" s="516">
        <f t="shared" si="11"/>
        <v>70.599999999999994</v>
      </c>
      <c r="AO16" s="516">
        <f t="shared" si="12"/>
        <v>34306.074585599999</v>
      </c>
      <c r="AP16" s="516">
        <f t="shared" si="12"/>
        <v>61088.930862969995</v>
      </c>
      <c r="AQ16" s="516">
        <f t="shared" si="13"/>
        <v>78.099999999999994</v>
      </c>
      <c r="AR16" s="520">
        <f t="shared" si="14"/>
        <v>34668.041995980006</v>
      </c>
      <c r="AS16" s="520">
        <f t="shared" si="14"/>
        <v>61531.038862969996</v>
      </c>
      <c r="AT16" s="516">
        <f t="shared" si="15"/>
        <v>77.5</v>
      </c>
    </row>
    <row r="17" spans="1:46" s="491" customFormat="1" ht="18.75" customHeight="1" x14ac:dyDescent="0.35">
      <c r="A17" s="514" t="s">
        <v>297</v>
      </c>
      <c r="B17" s="882"/>
      <c r="C17" s="882"/>
      <c r="D17" s="516"/>
      <c r="E17" s="441">
        <v>14.9</v>
      </c>
      <c r="F17" s="441"/>
      <c r="G17" s="516">
        <f t="shared" si="1"/>
        <v>-100</v>
      </c>
      <c r="H17" s="882">
        <v>0</v>
      </c>
      <c r="I17" s="882">
        <v>40.209061570000003</v>
      </c>
      <c r="J17" s="516" t="str">
        <f t="shared" si="2"/>
        <v xml:space="preserve">    ---- </v>
      </c>
      <c r="K17" s="892">
        <v>13.353553359999999</v>
      </c>
      <c r="L17" s="892">
        <v>8.1557829899999703</v>
      </c>
      <c r="M17" s="516">
        <f t="shared" si="3"/>
        <v>-38.9</v>
      </c>
      <c r="N17" s="892">
        <v>238.971</v>
      </c>
      <c r="O17" s="892">
        <v>5.1228000000000003E-2</v>
      </c>
      <c r="P17" s="516">
        <f t="shared" si="4"/>
        <v>-100</v>
      </c>
      <c r="Q17" s="882">
        <v>182.4</v>
      </c>
      <c r="R17" s="882">
        <v>223.9</v>
      </c>
      <c r="S17" s="516"/>
      <c r="T17" s="893"/>
      <c r="U17" s="893"/>
      <c r="V17" s="516"/>
      <c r="W17" s="882">
        <v>1192.0271660000001</v>
      </c>
      <c r="X17" s="441">
        <v>1273.7956859999999</v>
      </c>
      <c r="Y17" s="516">
        <f t="shared" si="6"/>
        <v>6.9</v>
      </c>
      <c r="Z17" s="882">
        <v>216</v>
      </c>
      <c r="AA17" s="893">
        <v>339</v>
      </c>
      <c r="AB17" s="516">
        <f t="shared" si="7"/>
        <v>56.9</v>
      </c>
      <c r="AC17" s="882">
        <v>17</v>
      </c>
      <c r="AD17" s="893">
        <v>13</v>
      </c>
      <c r="AE17" s="516">
        <f t="shared" si="8"/>
        <v>-23.5</v>
      </c>
      <c r="AF17" s="893">
        <v>37.460999999999999</v>
      </c>
      <c r="AG17" s="907">
        <v>45.697000000000003</v>
      </c>
      <c r="AH17" s="516"/>
      <c r="AI17" s="522">
        <v>243.30670833999997</v>
      </c>
      <c r="AJ17" s="522">
        <v>346.80948989999996</v>
      </c>
      <c r="AK17" s="516">
        <f t="shared" si="10"/>
        <v>42.5</v>
      </c>
      <c r="AL17" s="882">
        <v>815</v>
      </c>
      <c r="AM17" s="892">
        <v>862.9</v>
      </c>
      <c r="AN17" s="516">
        <f t="shared" si="11"/>
        <v>5.9</v>
      </c>
      <c r="AO17" s="516">
        <f t="shared" si="12"/>
        <v>2932.9584277000004</v>
      </c>
      <c r="AP17" s="516">
        <f t="shared" si="12"/>
        <v>3107.8212484599999</v>
      </c>
      <c r="AQ17" s="516">
        <f t="shared" si="13"/>
        <v>6</v>
      </c>
      <c r="AR17" s="520">
        <f t="shared" si="14"/>
        <v>2970.4194277000001</v>
      </c>
      <c r="AS17" s="520">
        <f t="shared" si="14"/>
        <v>3153.51824846</v>
      </c>
      <c r="AT17" s="516">
        <f t="shared" si="15"/>
        <v>6.2</v>
      </c>
    </row>
    <row r="18" spans="1:46" s="491" customFormat="1" ht="18.75" customHeight="1" x14ac:dyDescent="0.35">
      <c r="A18" s="514" t="s">
        <v>298</v>
      </c>
      <c r="B18" s="882"/>
      <c r="C18" s="882"/>
      <c r="D18" s="516"/>
      <c r="E18" s="441"/>
      <c r="F18" s="441"/>
      <c r="G18" s="516"/>
      <c r="H18" s="882"/>
      <c r="I18" s="882"/>
      <c r="J18" s="516"/>
      <c r="K18" s="892"/>
      <c r="L18" s="892"/>
      <c r="M18" s="516"/>
      <c r="N18" s="892"/>
      <c r="O18" s="892"/>
      <c r="P18" s="516"/>
      <c r="Q18" s="882"/>
      <c r="R18" s="882"/>
      <c r="S18" s="515"/>
      <c r="T18" s="893"/>
      <c r="U18" s="893"/>
      <c r="V18" s="516"/>
      <c r="W18" s="882"/>
      <c r="X18" s="441"/>
      <c r="Y18" s="516"/>
      <c r="Z18" s="524"/>
      <c r="AA18" s="893"/>
      <c r="AB18" s="516"/>
      <c r="AC18" s="882"/>
      <c r="AD18" s="893"/>
      <c r="AE18" s="516"/>
      <c r="AF18" s="893"/>
      <c r="AG18" s="893"/>
      <c r="AH18" s="516"/>
      <c r="AI18" s="522"/>
      <c r="AJ18" s="893"/>
      <c r="AK18" s="516"/>
      <c r="AL18" s="882"/>
      <c r="AM18" s="893"/>
      <c r="AN18" s="516"/>
      <c r="AO18" s="516"/>
      <c r="AP18" s="516"/>
      <c r="AQ18" s="516"/>
      <c r="AR18" s="525"/>
      <c r="AS18" s="525"/>
      <c r="AT18" s="519"/>
    </row>
    <row r="19" spans="1:46" s="491" customFormat="1" ht="18.75" customHeight="1" x14ac:dyDescent="0.35">
      <c r="A19" s="514" t="s">
        <v>299</v>
      </c>
      <c r="B19" s="879">
        <f>-795.533+52.201</f>
        <v>-743.33199999999999</v>
      </c>
      <c r="C19" s="879">
        <f>-763.485+53.202</f>
        <v>-710.28300000000002</v>
      </c>
      <c r="D19" s="516">
        <f>IF(B19=0, "    ---- ", IF(ABS(ROUND(100/B19*C19-100,1))&lt;999,ROUND(100/B19*C19-100,1),IF(ROUND(100/B19*C19-100,1)&gt;999,999,-999)))</f>
        <v>-4.4000000000000004</v>
      </c>
      <c r="E19" s="431">
        <v>-98.9</v>
      </c>
      <c r="F19" s="431"/>
      <c r="G19" s="516">
        <f t="shared" si="1"/>
        <v>-100</v>
      </c>
      <c r="H19" s="879">
        <v>-13962.973505739999</v>
      </c>
      <c r="I19" s="879">
        <v>-14483.892981399997</v>
      </c>
      <c r="J19" s="516">
        <f>IF(H19=0, "    ---- ", IF(ABS(ROUND(100/H19*I19-100,1))&lt;999,ROUND(100/H19*I19-100,1),IF(ROUND(100/H19*I19-100,1)&gt;999,999,-999)))</f>
        <v>3.7</v>
      </c>
      <c r="K19" s="879">
        <v>-1426.6661582500001</v>
      </c>
      <c r="L19" s="879">
        <v>-1502.2417829499998</v>
      </c>
      <c r="M19" s="516">
        <f>IF(K19=0, "    ---- ", IF(ABS(ROUND(100/K19*L19-100,1))&lt;999,ROUND(100/K19*L19-100,1),IF(ROUND(100/K19*L19-100,1)&gt;999,999,-999)))</f>
        <v>5.3</v>
      </c>
      <c r="N19" s="879">
        <v>-222.714</v>
      </c>
      <c r="O19" s="879">
        <v>-204.59399999999999</v>
      </c>
      <c r="P19" s="516">
        <f>IF(N19=0, "    ---- ", IF(ABS(ROUND(100/N19*O19-100,1))&lt;999,ROUND(100/N19*O19-100,1),IF(ROUND(100/N19*O19-100,1)&gt;999,999,-999)))</f>
        <v>-8.1</v>
      </c>
      <c r="Q19" s="879">
        <v>-674.4</v>
      </c>
      <c r="R19" s="879">
        <v>-755.3</v>
      </c>
      <c r="S19" s="516">
        <f>IF(Q19=0, "    ---- ", IF(ABS(ROUND(100/Q19*R19-100,1))&lt;999,ROUND(100/Q19*R19-100,1),IF(ROUND(100/Q19*R19-100,1)&gt;999,999,-999)))</f>
        <v>12</v>
      </c>
      <c r="T19" s="879">
        <v>-15.743433</v>
      </c>
      <c r="U19" s="879">
        <v>-13.824999999999999</v>
      </c>
      <c r="V19" s="516">
        <f>IF(T19=0, "    ---- ", IF(ABS(ROUND(100/T19*U19-100,1))&lt;999,ROUND(100/T19*U19-100,1),IF(ROUND(100/T19*U19-100,1)&gt;999,999,-999)))</f>
        <v>-12.2</v>
      </c>
      <c r="W19" s="879">
        <v>-20704.045228999999</v>
      </c>
      <c r="X19" s="441">
        <v>-22092.292656000001</v>
      </c>
      <c r="Y19" s="516">
        <f>IF(W19=0, "    ---- ", IF(ABS(ROUND(100/W19*X19-100,1))&lt;999,ROUND(100/W19*X19-100,1),IF(ROUND(100/W19*X19-100,1)&gt;999,999,-999)))</f>
        <v>6.7</v>
      </c>
      <c r="Z19" s="879">
        <v>-7525.8</v>
      </c>
      <c r="AA19" s="879">
        <v>-6932</v>
      </c>
      <c r="AB19" s="516">
        <f>IF(Z19=0, "    ---- ", IF(ABS(ROUND(100/Z19*AA19-100,1))&lt;999,ROUND(100/Z19*AA19-100,1),IF(ROUND(100/Z19*AA19-100,1)&gt;999,999,-999)))</f>
        <v>-7.9</v>
      </c>
      <c r="AC19" s="879">
        <v>-2981</v>
      </c>
      <c r="AD19" s="879">
        <v>-3135</v>
      </c>
      <c r="AE19" s="516">
        <f>IF(AC19=0, "    ---- ", IF(ABS(ROUND(100/AC19*AD19-100,1))&lt;999,ROUND(100/AC19*AD19-100,1),IF(ROUND(100/AC19*AD19-100,1)&gt;999,999,-999)))</f>
        <v>5.2</v>
      </c>
      <c r="AF19" s="879">
        <v>-191.0389735</v>
      </c>
      <c r="AG19" s="879">
        <v>-163.18899999999999</v>
      </c>
      <c r="AH19" s="516">
        <f>IF(AF19=0, "    ---- ", IF(ABS(ROUND(100/AF19*AG19-100,1))&lt;999,ROUND(100/AF19*AG19-100,1),IF(ROUND(100/AF19*AG19-100,1)&gt;999,999,-999)))</f>
        <v>-14.6</v>
      </c>
      <c r="AI19" s="526">
        <v>-1549.1552590199997</v>
      </c>
      <c r="AJ19" s="879">
        <v>-1613.0761389300001</v>
      </c>
      <c r="AK19" s="516">
        <f>IF(AI19=0, "    ---- ", IF(ABS(ROUND(100/AI19*AJ19-100,1))&lt;999,ROUND(100/AI19*AJ19-100,1),IF(ROUND(100/AI19*AJ19-100,1)&gt;999,999,-999)))</f>
        <v>4.0999999999999996</v>
      </c>
      <c r="AL19" s="879">
        <f>-12278+14</f>
        <v>-12264</v>
      </c>
      <c r="AM19" s="879">
        <f>-12797.7+7.9</f>
        <v>-12789.800000000001</v>
      </c>
      <c r="AN19" s="516">
        <f>IF(AL19=0, "    ---- ", IF(ABS(ROUND(100/AL19*AM19-100,1))&lt;999,ROUND(100/AL19*AM19-100,1),IF(ROUND(100/AL19*AM19-100,1)&gt;999,999,-999)))</f>
        <v>4.3</v>
      </c>
      <c r="AO19" s="516">
        <f t="shared" ref="AO19:AP21" si="16">B19+H19+K19+N19+Q19+W19+E19+Z19+AC19+AI19+AL19</f>
        <v>-62152.986152010002</v>
      </c>
      <c r="AP19" s="516">
        <f t="shared" si="16"/>
        <v>-64218.480559280004</v>
      </c>
      <c r="AQ19" s="516">
        <f t="shared" si="13"/>
        <v>3.3</v>
      </c>
      <c r="AR19" s="520">
        <f t="shared" ref="AR19:AS21" si="17">+B19+H19+K19+N19+Q19+T19+W19+E19+Z19+AC19+AF19+AI19+AL19</f>
        <v>-62359.768558510004</v>
      </c>
      <c r="AS19" s="520">
        <f t="shared" si="17"/>
        <v>-64395.494559280007</v>
      </c>
      <c r="AT19" s="516">
        <f>IF(AR19=0, "    ---- ", IF(ABS(ROUND(100/AR19*AS19-100,1))&lt;999,ROUND(100/AR19*AS19-100,1),IF(ROUND(100/AR19*AS19-100,1)&gt;999,999,-999)))</f>
        <v>3.3</v>
      </c>
    </row>
    <row r="20" spans="1:46" s="491" customFormat="1" ht="18.75" customHeight="1" x14ac:dyDescent="0.35">
      <c r="A20" s="514" t="s">
        <v>362</v>
      </c>
      <c r="B20" s="880">
        <v>-738.29700000000003</v>
      </c>
      <c r="C20" s="880">
        <v>-5325.3980000000001</v>
      </c>
      <c r="D20" s="516">
        <f>IF(B20=0, "    ---- ", IF(ABS(ROUND(100/B20*C20-100,1))&lt;999,ROUND(100/B20*C20-100,1),IF(ROUND(100/B20*C20-100,1)&gt;999,999,-999)))</f>
        <v>621.29999999999995</v>
      </c>
      <c r="E20" s="334">
        <v>-180.3</v>
      </c>
      <c r="F20" s="334"/>
      <c r="G20" s="516">
        <f t="shared" si="1"/>
        <v>-100</v>
      </c>
      <c r="H20" s="880">
        <v>-6466.7879530399996</v>
      </c>
      <c r="I20" s="880">
        <v>-31997.836207010001</v>
      </c>
      <c r="J20" s="516">
        <f>IF(H20=0, "    ---- ", IF(ABS(ROUND(100/H20*I20-100,1))&lt;999,ROUND(100/H20*I20-100,1),IF(ROUND(100/H20*I20-100,1)&gt;999,999,-999)))</f>
        <v>394.8</v>
      </c>
      <c r="K20" s="880">
        <v>151.07208826999999</v>
      </c>
      <c r="L20" s="880">
        <v>139.21279135999998</v>
      </c>
      <c r="M20" s="516">
        <f>IF(K20=0, "    ---- ", IF(ABS(ROUND(100/K20*L20-100,1))&lt;999,ROUND(100/K20*L20-100,1),IF(ROUND(100/K20*L20-100,1)&gt;999,999,-999)))</f>
        <v>-7.9</v>
      </c>
      <c r="N20" s="880">
        <v>-4742.6989999999996</v>
      </c>
      <c r="O20" s="880">
        <v>0</v>
      </c>
      <c r="P20" s="516">
        <f>IF(N20=0, "    ---- ", IF(ABS(ROUND(100/N20*O20-100,1))&lt;999,ROUND(100/N20*O20-100,1),IF(ROUND(100/N20*O20-100,1)&gt;999,999,-999)))</f>
        <v>-100</v>
      </c>
      <c r="Q20" s="880">
        <v>-2804.8</v>
      </c>
      <c r="R20" s="880">
        <v>-10643.1</v>
      </c>
      <c r="S20" s="516">
        <f>IF(Q20=0, "    ---- ", IF(ABS(ROUND(100/Q20*R20-100,1))&lt;999,ROUND(100/Q20*R20-100,1),IF(ROUND(100/Q20*R20-100,1)&gt;999,999,-999)))</f>
        <v>279.5</v>
      </c>
      <c r="T20" s="880"/>
      <c r="U20" s="880"/>
      <c r="V20" s="516"/>
      <c r="W20" s="880">
        <v>-7656.0388039999998</v>
      </c>
      <c r="X20" s="441">
        <v>-8346.1223590000009</v>
      </c>
      <c r="Y20" s="516">
        <f>IF(W20=0, "    ---- ", IF(ABS(ROUND(100/W20*X20-100,1))&lt;999,ROUND(100/W20*X20-100,1),IF(ROUND(100/W20*X20-100,1)&gt;999,999,-999)))</f>
        <v>9</v>
      </c>
      <c r="Z20" s="527">
        <v>-2251</v>
      </c>
      <c r="AA20" s="880">
        <v>-13604</v>
      </c>
      <c r="AB20" s="516">
        <f>IF(Z20=0, "    ---- ", IF(ABS(ROUND(100/Z20*AA20-100,1))&lt;999,ROUND(100/Z20*AA20-100,1),IF(ROUND(100/Z20*AA20-100,1)&gt;999,999,-999)))</f>
        <v>504.4</v>
      </c>
      <c r="AC20" s="527">
        <v>-41</v>
      </c>
      <c r="AD20" s="880"/>
      <c r="AE20" s="516"/>
      <c r="AF20" s="880">
        <v>-21.720799400000001</v>
      </c>
      <c r="AG20" s="880">
        <v>-261.20100000000002</v>
      </c>
      <c r="AH20" s="516">
        <f>IF(AF20=0, "    ---- ", IF(ABS(ROUND(100/AF20*AG20-100,1))&lt;999,ROUND(100/AF20*AG20-100,1),IF(ROUND(100/AF20*AG20-100,1)&gt;999,999,-999)))</f>
        <v>999</v>
      </c>
      <c r="AI20" s="527">
        <v>-1363.4445822999996</v>
      </c>
      <c r="AJ20" s="880">
        <v>-8415.8258523799996</v>
      </c>
      <c r="AK20" s="516">
        <f>IF(AI20=0, "    ---- ", IF(ABS(ROUND(100/AI20*AJ20-100,1))&lt;999,ROUND(100/AI20*AJ20-100,1),IF(ROUND(100/AI20*AJ20-100,1)&gt;999,999,-999)))</f>
        <v>517.20000000000005</v>
      </c>
      <c r="AL20" s="880">
        <v>-5021</v>
      </c>
      <c r="AM20" s="880">
        <v>-21804.6</v>
      </c>
      <c r="AN20" s="516">
        <f>IF(AL20=0, "    ---- ", IF(ABS(ROUND(100/AL20*AM20-100,1))&lt;999,ROUND(100/AL20*AM20-100,1),IF(ROUND(100/AL20*AM20-100,1)&gt;999,999,-999)))</f>
        <v>334.3</v>
      </c>
      <c r="AO20" s="516">
        <f t="shared" si="16"/>
        <v>-31114.295251069998</v>
      </c>
      <c r="AP20" s="516">
        <f t="shared" si="16"/>
        <v>-99997.669627030002</v>
      </c>
      <c r="AQ20" s="516">
        <f t="shared" si="13"/>
        <v>221.4</v>
      </c>
      <c r="AR20" s="520">
        <f t="shared" si="17"/>
        <v>-31136.016050469996</v>
      </c>
      <c r="AS20" s="520">
        <f t="shared" si="17"/>
        <v>-100258.87062703</v>
      </c>
      <c r="AT20" s="516">
        <f>IF(AR20=0, "    ---- ", IF(ABS(ROUND(100/AR20*AS20-100,1))&lt;999,ROUND(100/AR20*AS20-100,1),IF(ROUND(100/AR20*AS20-100,1)&gt;999,999,-999)))</f>
        <v>222</v>
      </c>
    </row>
    <row r="21" spans="1:46" s="491" customFormat="1" ht="18.75" customHeight="1" x14ac:dyDescent="0.35">
      <c r="A21" s="514" t="s">
        <v>300</v>
      </c>
      <c r="B21" s="879">
        <f>SUM(B19:B20)</f>
        <v>-1481.6289999999999</v>
      </c>
      <c r="C21" s="879">
        <f>SUM(C19:C20)</f>
        <v>-6035.6810000000005</v>
      </c>
      <c r="D21" s="516">
        <f>IF(B21=0, "    ---- ", IF(ABS(ROUND(100/B21*C21-100,1))&lt;999,ROUND(100/B21*C21-100,1),IF(ROUND(100/B21*C21-100,1)&gt;999,999,-999)))</f>
        <v>307.39999999999998</v>
      </c>
      <c r="E21" s="431">
        <f>SUM(E19:E20)</f>
        <v>-279.20000000000005</v>
      </c>
      <c r="F21" s="431"/>
      <c r="G21" s="516">
        <f t="shared" si="1"/>
        <v>-100</v>
      </c>
      <c r="H21" s="879">
        <f>SUM(H19:H20)</f>
        <v>-20429.761458779998</v>
      </c>
      <c r="I21" s="879">
        <f>SUM(I19:I20)</f>
        <v>-46481.729188409998</v>
      </c>
      <c r="J21" s="516">
        <f>IF(H21=0, "    ---- ", IF(ABS(ROUND(100/H21*I21-100,1))&lt;999,ROUND(100/H21*I21-100,1),IF(ROUND(100/H21*I21-100,1)&gt;999,999,-999)))</f>
        <v>127.5</v>
      </c>
      <c r="K21" s="879">
        <f>SUM(K19:K20)</f>
        <v>-1275.5940699800001</v>
      </c>
      <c r="L21" s="879">
        <f>SUM(L19:L20)</f>
        <v>-1363.0289915899998</v>
      </c>
      <c r="M21" s="516">
        <f>IF(K21=0, "    ---- ", IF(ABS(ROUND(100/K21*L21-100,1))&lt;999,ROUND(100/K21*L21-100,1),IF(ROUND(100/K21*L21-100,1)&gt;999,999,-999)))</f>
        <v>6.9</v>
      </c>
      <c r="N21" s="879">
        <f>SUM(N19:N20)</f>
        <v>-4965.4129999999996</v>
      </c>
      <c r="O21" s="879">
        <f>SUM(O19:O20)</f>
        <v>-204.59399999999999</v>
      </c>
      <c r="P21" s="516">
        <f>IF(N21=0, "    ---- ", IF(ABS(ROUND(100/N21*O21-100,1))&lt;999,ROUND(100/N21*O21-100,1),IF(ROUND(100/N21*O21-100,1)&gt;999,999,-999)))</f>
        <v>-95.9</v>
      </c>
      <c r="Q21" s="879">
        <f>SUM(Q19:Q20)</f>
        <v>-3479.2000000000003</v>
      </c>
      <c r="R21" s="879">
        <f>SUM(R19:R20)</f>
        <v>-11398.4</v>
      </c>
      <c r="S21" s="516">
        <f>IF(Q21=0, "    ---- ", IF(ABS(ROUND(100/Q21*R21-100,1))&lt;999,ROUND(100/Q21*R21-100,1),IF(ROUND(100/Q21*R21-100,1)&gt;999,999,-999)))</f>
        <v>227.6</v>
      </c>
      <c r="T21" s="879">
        <f>SUM(T19:T20)</f>
        <v>-15.743433</v>
      </c>
      <c r="U21" s="879">
        <f>SUM(U19:U20)</f>
        <v>-13.824999999999999</v>
      </c>
      <c r="V21" s="516">
        <f>IF(T21=0, "    ---- ", IF(ABS(ROUND(100/T21*U21-100,1))&lt;999,ROUND(100/T21*U21-100,1),IF(ROUND(100/T21*U21-100,1)&gt;999,999,-999)))</f>
        <v>-12.2</v>
      </c>
      <c r="W21" s="879">
        <v>-28360.084032999999</v>
      </c>
      <c r="X21" s="443">
        <v>-30438.415015000002</v>
      </c>
      <c r="Y21" s="516">
        <f>IF(W21=0, "    ---- ", IF(ABS(ROUND(100/W21*X21-100,1))&lt;999,ROUND(100/W21*X21-100,1),IF(ROUND(100/W21*X21-100,1)&gt;999,999,-999)))</f>
        <v>7.3</v>
      </c>
      <c r="Z21" s="879">
        <f>SUM(Z19:Z20)</f>
        <v>-9776.7999999999993</v>
      </c>
      <c r="AA21" s="879">
        <f>SUM(AA19:AA20)</f>
        <v>-20536</v>
      </c>
      <c r="AB21" s="516">
        <f>IF(Z21=0, "    ---- ", IF(ABS(ROUND(100/Z21*AA21-100,1))&lt;999,ROUND(100/Z21*AA21-100,1),IF(ROUND(100/Z21*AA21-100,1)&gt;999,999,-999)))</f>
        <v>110</v>
      </c>
      <c r="AC21" s="879">
        <f>SUM(AC19:AC20)</f>
        <v>-3022</v>
      </c>
      <c r="AD21" s="879">
        <f>SUM(AD19:AD20)</f>
        <v>-3135</v>
      </c>
      <c r="AE21" s="516">
        <f>IF(AC21=0, "    ---- ", IF(ABS(ROUND(100/AC21*AD21-100,1))&lt;999,ROUND(100/AC21*AD21-100,1),IF(ROUND(100/AC21*AD21-100,1)&gt;999,999,-999)))</f>
        <v>3.7</v>
      </c>
      <c r="AF21" s="879">
        <f>SUM(AF19:AF20)</f>
        <v>-212.7597729</v>
      </c>
      <c r="AG21" s="879">
        <f>SUM(AG19:AG20)</f>
        <v>-424.39</v>
      </c>
      <c r="AH21" s="516">
        <f>IF(AF21=0, "    ---- ", IF(ABS(ROUND(100/AF21*AG21-100,1))&lt;999,ROUND(100/AF21*AG21-100,1),IF(ROUND(100/AF21*AG21-100,1)&gt;999,999,-999)))</f>
        <v>99.5</v>
      </c>
      <c r="AI21" s="879">
        <f>SUM(AI19:AI20)</f>
        <v>-2912.5998413199995</v>
      </c>
      <c r="AJ21" s="879">
        <f>SUM(AJ19:AJ20)</f>
        <v>-10028.90199131</v>
      </c>
      <c r="AK21" s="516">
        <f>IF(AI21=0, "    ---- ", IF(ABS(ROUND(100/AI21*AJ21-100,1))&lt;999,ROUND(100/AI21*AJ21-100,1),IF(ROUND(100/AI21*AJ21-100,1)&gt;999,999,-999)))</f>
        <v>244.3</v>
      </c>
      <c r="AL21" s="879">
        <f>SUM(AL19:AL20)</f>
        <v>-17285</v>
      </c>
      <c r="AM21" s="879">
        <f>SUM(AM19:AM20)</f>
        <v>-34594.400000000001</v>
      </c>
      <c r="AN21" s="516">
        <f>IF(AL21=0, "    ---- ", IF(ABS(ROUND(100/AL21*AM21-100,1))&lt;999,ROUND(100/AL21*AM21-100,1),IF(ROUND(100/AL21*AM21-100,1)&gt;999,999,-999)))</f>
        <v>100.1</v>
      </c>
      <c r="AO21" s="516">
        <f t="shared" si="16"/>
        <v>-93267.281403079993</v>
      </c>
      <c r="AP21" s="516">
        <f t="shared" si="16"/>
        <v>-164216.15018631</v>
      </c>
      <c r="AQ21" s="516">
        <f t="shared" si="13"/>
        <v>76.099999999999994</v>
      </c>
      <c r="AR21" s="520">
        <f t="shared" si="17"/>
        <v>-93495.78460898</v>
      </c>
      <c r="AS21" s="520">
        <f t="shared" si="17"/>
        <v>-164654.36518630999</v>
      </c>
      <c r="AT21" s="516">
        <f>IF(AR21=0, "    ---- ", IF(ABS(ROUND(100/AR21*AS21-100,1))&lt;999,ROUND(100/AR21*AS21-100,1),IF(ROUND(100/AR21*AS21-100,1)&gt;999,999,-999)))</f>
        <v>76.099999999999994</v>
      </c>
    </row>
    <row r="22" spans="1:46" s="491" customFormat="1" ht="18.75" customHeight="1" x14ac:dyDescent="0.35">
      <c r="A22" s="514" t="s">
        <v>301</v>
      </c>
      <c r="B22" s="882"/>
      <c r="C22" s="882"/>
      <c r="D22" s="516"/>
      <c r="E22" s="788"/>
      <c r="F22" s="788"/>
      <c r="G22" s="516"/>
      <c r="H22" s="882"/>
      <c r="I22" s="882"/>
      <c r="J22" s="516"/>
      <c r="K22" s="893"/>
      <c r="L22" s="893"/>
      <c r="M22" s="516"/>
      <c r="N22" s="893"/>
      <c r="O22" s="893"/>
      <c r="P22" s="516"/>
      <c r="Q22" s="882"/>
      <c r="R22" s="882"/>
      <c r="S22" s="516"/>
      <c r="T22" s="893"/>
      <c r="U22" s="893"/>
      <c r="V22" s="516"/>
      <c r="W22" s="882"/>
      <c r="X22" s="441"/>
      <c r="Y22" s="516"/>
      <c r="Z22" s="893"/>
      <c r="AA22" s="893"/>
      <c r="AB22" s="516"/>
      <c r="AC22" s="893"/>
      <c r="AD22" s="893"/>
      <c r="AE22" s="516"/>
      <c r="AF22" s="893"/>
      <c r="AG22" s="893"/>
      <c r="AH22" s="516"/>
      <c r="AI22" s="893"/>
      <c r="AJ22" s="893"/>
      <c r="AK22" s="516"/>
      <c r="AL22" s="882"/>
      <c r="AM22" s="893"/>
      <c r="AN22" s="516"/>
      <c r="AO22" s="516"/>
      <c r="AP22" s="516"/>
      <c r="AQ22" s="516"/>
      <c r="AR22" s="516"/>
      <c r="AS22" s="516"/>
      <c r="AT22" s="516"/>
    </row>
    <row r="23" spans="1:46" s="491" customFormat="1" ht="18.75" customHeight="1" x14ac:dyDescent="0.35">
      <c r="A23" s="514" t="s">
        <v>302</v>
      </c>
      <c r="B23" s="880">
        <f>-125.04+24.957</f>
        <v>-100.083</v>
      </c>
      <c r="C23" s="880">
        <f>-90.247+50.747</f>
        <v>-39.5</v>
      </c>
      <c r="D23" s="516">
        <f t="shared" ref="D23:D29" si="18">IF(B23=0, "    ---- ", IF(ABS(ROUND(100/B23*C23-100,1))&lt;999,ROUND(100/B23*C23-100,1),IF(ROUND(100/B23*C23-100,1)&gt;999,999,-999)))</f>
        <v>-60.5</v>
      </c>
      <c r="E23" s="334">
        <v>-73.599999999999994</v>
      </c>
      <c r="F23" s="334"/>
      <c r="G23" s="516">
        <f t="shared" si="1"/>
        <v>-100</v>
      </c>
      <c r="H23" s="880">
        <v>4044.21850739</v>
      </c>
      <c r="I23" s="880">
        <v>3973.2671183899997</v>
      </c>
      <c r="J23" s="516">
        <f t="shared" ref="J23:J29" si="19">IF(H23=0, "    ---- ", IF(ABS(ROUND(100/H23*I23-100,1))&lt;999,ROUND(100/H23*I23-100,1),IF(ROUND(100/H23*I23-100,1)&gt;999,999,-999)))</f>
        <v>-1.8</v>
      </c>
      <c r="K23" s="880">
        <v>-930.96351840999989</v>
      </c>
      <c r="L23" s="880">
        <v>-432.38430575999956</v>
      </c>
      <c r="M23" s="516">
        <f>IF(K23=0, "    ---- ", IF(ABS(ROUND(100/K23*L23-100,1))&lt;999,ROUND(100/K23*L23-100,1),IF(ROUND(100/K23*L23-100,1)&gt;999,999,-999)))</f>
        <v>-53.6</v>
      </c>
      <c r="N23" s="880">
        <v>-72.394000000000005</v>
      </c>
      <c r="O23" s="880">
        <v>-91.977000000000004</v>
      </c>
      <c r="P23" s="516">
        <f>IF(N23=0, "    ---- ", IF(ABS(ROUND(100/N23*O23-100,1))&lt;999,ROUND(100/N23*O23-100,1),IF(ROUND(100/N23*O23-100,1)&gt;999,999,-999)))</f>
        <v>27.1</v>
      </c>
      <c r="Q23" s="880">
        <v>-386.4</v>
      </c>
      <c r="R23" s="880">
        <v>-460.4</v>
      </c>
      <c r="S23" s="516">
        <f t="shared" ref="S23:S31" si="20">IF(Q23=0, "    ---- ", IF(ABS(ROUND(100/Q23*R23-100,1))&lt;999,ROUND(100/Q23*R23-100,1),IF(ROUND(100/Q23*R23-100,1)&gt;999,999,-999)))</f>
        <v>19.2</v>
      </c>
      <c r="T23" s="880">
        <v>4.2966852099999997</v>
      </c>
      <c r="U23" s="880">
        <v>4.5010000000000003</v>
      </c>
      <c r="V23" s="516"/>
      <c r="W23" s="880">
        <v>3287.50428612</v>
      </c>
      <c r="X23" s="441">
        <v>-28731.41564422</v>
      </c>
      <c r="Y23" s="516">
        <f t="shared" ref="Y23:Y30" si="21">IF(W23=0, "    ---- ", IF(ABS(ROUND(100/W23*X23-100,1))&lt;999,ROUND(100/W23*X23-100,1),IF(ROUND(100/W23*X23-100,1)&gt;999,999,-999)))</f>
        <v>-974</v>
      </c>
      <c r="Z23" s="880">
        <v>-313</v>
      </c>
      <c r="AA23" s="880">
        <v>-118</v>
      </c>
      <c r="AB23" s="516">
        <f t="shared" ref="AB23:AB29" si="22">IF(Z23=0, "    ---- ", IF(ABS(ROUND(100/Z23*AA23-100,1))&lt;999,ROUND(100/Z23*AA23-100,1),IF(ROUND(100/Z23*AA23-100,1)&gt;999,999,-999)))</f>
        <v>-62.3</v>
      </c>
      <c r="AC23" s="880">
        <v>149</v>
      </c>
      <c r="AD23" s="880">
        <v>-5329</v>
      </c>
      <c r="AE23" s="516">
        <f t="shared" ref="AE23:AE29" si="23">IF(AC23=0, "    ---- ", IF(ABS(ROUND(100/AC23*AD23-100,1))&lt;999,ROUND(100/AC23*AD23-100,1),IF(ROUND(100/AC23*AD23-100,1)&gt;999,999,-999)))</f>
        <v>-999</v>
      </c>
      <c r="AF23" s="880"/>
      <c r="AG23" s="880"/>
      <c r="AH23" s="516"/>
      <c r="AI23" s="880">
        <v>-200.98366980999995</v>
      </c>
      <c r="AJ23" s="880">
        <v>-43.616963969999773</v>
      </c>
      <c r="AK23" s="516">
        <f t="shared" ref="AK23:AK29" si="24">IF(AI23=0, "    ---- ", IF(ABS(ROUND(100/AI23*AJ23-100,1))&lt;999,ROUND(100/AI23*AJ23-100,1),IF(ROUND(100/AI23*AJ23-100,1)&gt;999,999,-999)))</f>
        <v>-78.3</v>
      </c>
      <c r="AL23" s="880">
        <v>554</v>
      </c>
      <c r="AM23" s="880">
        <v>-5447.7</v>
      </c>
      <c r="AN23" s="516">
        <f t="shared" ref="AN23:AN29" si="25">IF(AL23=0, "    ---- ", IF(ABS(ROUND(100/AL23*AM23-100,1))&lt;999,ROUND(100/AL23*AM23-100,1),IF(ROUND(100/AL23*AM23-100,1)&gt;999,999,-999)))</f>
        <v>-999</v>
      </c>
      <c r="AO23" s="516">
        <f t="shared" ref="AO23:AO34" si="26">B23+H23+K23+N23+Q23+W23+E23+Z23+AC23+AI23+AL23</f>
        <v>5957.2986052900005</v>
      </c>
      <c r="AP23" s="516">
        <f t="shared" ref="AP23:AP34" si="27">C23+I23+L23+O23+R23+X23+F23+AA23+AD23+AJ23+AM23</f>
        <v>-36720.726795559996</v>
      </c>
      <c r="AQ23" s="516">
        <f t="shared" si="13"/>
        <v>-716.4</v>
      </c>
      <c r="AR23" s="516"/>
      <c r="AS23" s="516"/>
      <c r="AT23" s="516"/>
    </row>
    <row r="24" spans="1:46" s="491" customFormat="1" ht="18.75" customHeight="1" x14ac:dyDescent="0.35">
      <c r="A24" s="514" t="s">
        <v>303</v>
      </c>
      <c r="B24" s="880"/>
      <c r="C24" s="880"/>
      <c r="D24" s="516"/>
      <c r="E24" s="334">
        <v>2.8</v>
      </c>
      <c r="F24" s="334"/>
      <c r="G24" s="516">
        <f t="shared" si="1"/>
        <v>-100</v>
      </c>
      <c r="H24" s="880">
        <v>828.98848098999997</v>
      </c>
      <c r="I24" s="880">
        <v>-1166.2971970399999</v>
      </c>
      <c r="J24" s="516">
        <f t="shared" si="19"/>
        <v>-240.7</v>
      </c>
      <c r="K24" s="880"/>
      <c r="L24" s="880"/>
      <c r="M24" s="516" t="str">
        <f>IF(K24=0, "    ---- ", IF(ABS(ROUND(100/K24*L24-100,1))&lt;999,ROUND(100/K24*L24-100,1),IF(ROUND(100/K24*L24-100,1)&gt;999,999,-999)))</f>
        <v xml:space="preserve">    ---- </v>
      </c>
      <c r="N24" s="880">
        <v>-0.28199999999999997</v>
      </c>
      <c r="O24" s="880">
        <v>1.131</v>
      </c>
      <c r="P24" s="516">
        <f>IF(N24=0, "    ---- ", IF(ABS(ROUND(100/N24*O24-100,1))&lt;999,ROUND(100/N24*O24-100,1),IF(ROUND(100/N24*O24-100,1)&gt;999,999,-999)))</f>
        <v>-501.1</v>
      </c>
      <c r="Q24" s="880">
        <v>-11.8</v>
      </c>
      <c r="R24" s="880">
        <v>-36.200000000000003</v>
      </c>
      <c r="S24" s="516">
        <f t="shared" si="20"/>
        <v>206.8</v>
      </c>
      <c r="T24" s="880"/>
      <c r="U24" s="880"/>
      <c r="V24" s="516"/>
      <c r="W24" s="880">
        <v>-7718.6793155200003</v>
      </c>
      <c r="X24" s="441">
        <v>-5329.0798029999996</v>
      </c>
      <c r="Y24" s="516">
        <f t="shared" si="21"/>
        <v>-31</v>
      </c>
      <c r="Z24" s="880">
        <v>-127</v>
      </c>
      <c r="AA24" s="880">
        <v>-1277</v>
      </c>
      <c r="AB24" s="516">
        <f t="shared" si="22"/>
        <v>905.5</v>
      </c>
      <c r="AC24" s="880">
        <v>-657</v>
      </c>
      <c r="AD24" s="880">
        <v>-658</v>
      </c>
      <c r="AE24" s="516">
        <f t="shared" si="23"/>
        <v>0.2</v>
      </c>
      <c r="AF24" s="880"/>
      <c r="AG24" s="880"/>
      <c r="AH24" s="516"/>
      <c r="AI24" s="880">
        <v>133.81029730000014</v>
      </c>
      <c r="AJ24" s="880">
        <v>-213.04247456000002</v>
      </c>
      <c r="AK24" s="516">
        <f t="shared" si="24"/>
        <v>-259.2</v>
      </c>
      <c r="AL24" s="880">
        <v>-2460</v>
      </c>
      <c r="AM24" s="880">
        <v>-2290</v>
      </c>
      <c r="AN24" s="516">
        <f t="shared" si="25"/>
        <v>-6.9</v>
      </c>
      <c r="AO24" s="516">
        <f t="shared" si="26"/>
        <v>-10009.16253723</v>
      </c>
      <c r="AP24" s="516">
        <f t="shared" si="27"/>
        <v>-10968.488474599999</v>
      </c>
      <c r="AQ24" s="516">
        <f t="shared" si="13"/>
        <v>9.6</v>
      </c>
      <c r="AR24" s="516"/>
      <c r="AS24" s="516"/>
      <c r="AT24" s="516"/>
    </row>
    <row r="25" spans="1:46" s="491" customFormat="1" ht="18.75" customHeight="1" x14ac:dyDescent="0.35">
      <c r="A25" s="514" t="s">
        <v>304</v>
      </c>
      <c r="B25" s="880">
        <v>-25.812999999999999</v>
      </c>
      <c r="C25" s="880">
        <v>14.769</v>
      </c>
      <c r="D25" s="516">
        <f t="shared" si="18"/>
        <v>-157.19999999999999</v>
      </c>
      <c r="E25" s="334">
        <v>19.2</v>
      </c>
      <c r="F25" s="334"/>
      <c r="G25" s="516">
        <f t="shared" si="1"/>
        <v>-100</v>
      </c>
      <c r="H25" s="880">
        <v>2930.3086580300001</v>
      </c>
      <c r="I25" s="880">
        <v>-577.45622301999992</v>
      </c>
      <c r="J25" s="516">
        <f t="shared" si="19"/>
        <v>-119.7</v>
      </c>
      <c r="K25" s="880">
        <v>-46.184984680000014</v>
      </c>
      <c r="L25" s="880">
        <v>40.205401439999996</v>
      </c>
      <c r="M25" s="516"/>
      <c r="N25" s="880">
        <v>-0.02</v>
      </c>
      <c r="O25" s="880">
        <v>6.9</v>
      </c>
      <c r="P25" s="516"/>
      <c r="Q25" s="880">
        <v>19.600000000000001</v>
      </c>
      <c r="R25" s="880">
        <v>-10.199999999999999</v>
      </c>
      <c r="S25" s="516">
        <f t="shared" si="20"/>
        <v>-152</v>
      </c>
      <c r="T25" s="880"/>
      <c r="U25" s="880"/>
      <c r="V25" s="516"/>
      <c r="W25" s="880">
        <v>623.45300199999997</v>
      </c>
      <c r="X25" s="441">
        <v>-22259.388221130001</v>
      </c>
      <c r="Y25" s="516">
        <f t="shared" si="21"/>
        <v>-999</v>
      </c>
      <c r="Z25" s="880">
        <v>-710</v>
      </c>
      <c r="AA25" s="880">
        <v>-1046</v>
      </c>
      <c r="AB25" s="516">
        <f t="shared" si="22"/>
        <v>47.3</v>
      </c>
      <c r="AC25" s="880">
        <v>-1082</v>
      </c>
      <c r="AD25" s="880">
        <v>-3657</v>
      </c>
      <c r="AE25" s="516">
        <f t="shared" si="23"/>
        <v>238</v>
      </c>
      <c r="AF25" s="880"/>
      <c r="AG25" s="880"/>
      <c r="AH25" s="516"/>
      <c r="AI25" s="880">
        <v>-480.08549825</v>
      </c>
      <c r="AJ25" s="880">
        <v>69.960516030000008</v>
      </c>
      <c r="AK25" s="516">
        <f t="shared" si="24"/>
        <v>-114.6</v>
      </c>
      <c r="AL25" s="880">
        <v>-1670</v>
      </c>
      <c r="AM25" s="880">
        <v>860.7</v>
      </c>
      <c r="AN25" s="516">
        <f t="shared" si="25"/>
        <v>-151.5</v>
      </c>
      <c r="AO25" s="516">
        <f t="shared" si="26"/>
        <v>-421.54182290000017</v>
      </c>
      <c r="AP25" s="516">
        <f t="shared" si="27"/>
        <v>-26557.509526679998</v>
      </c>
      <c r="AQ25" s="516">
        <f t="shared" si="13"/>
        <v>999</v>
      </c>
      <c r="AR25" s="516"/>
      <c r="AS25" s="516"/>
      <c r="AT25" s="516"/>
    </row>
    <row r="26" spans="1:46" s="491" customFormat="1" ht="18.75" customHeight="1" x14ac:dyDescent="0.35">
      <c r="A26" s="514" t="s">
        <v>305</v>
      </c>
      <c r="B26" s="880"/>
      <c r="C26" s="880"/>
      <c r="D26" s="516"/>
      <c r="E26" s="334">
        <v>-0.2</v>
      </c>
      <c r="F26" s="334"/>
      <c r="G26" s="516">
        <f t="shared" si="1"/>
        <v>-100</v>
      </c>
      <c r="H26" s="880">
        <v>-13.45362051</v>
      </c>
      <c r="I26" s="880">
        <v>-11.430804310000001</v>
      </c>
      <c r="J26" s="516">
        <f t="shared" si="19"/>
        <v>-15</v>
      </c>
      <c r="K26" s="880"/>
      <c r="L26" s="880"/>
      <c r="M26" s="516"/>
      <c r="N26" s="880"/>
      <c r="O26" s="880"/>
      <c r="P26" s="516"/>
      <c r="Q26" s="880">
        <v>1.9</v>
      </c>
      <c r="R26" s="880">
        <v>1.6</v>
      </c>
      <c r="S26" s="516"/>
      <c r="T26" s="880"/>
      <c r="U26" s="880"/>
      <c r="V26" s="516"/>
      <c r="W26" s="880">
        <v>-23840.902377549999</v>
      </c>
      <c r="X26" s="441">
        <v>-3120.0022899999999</v>
      </c>
      <c r="Y26" s="516">
        <f t="shared" si="21"/>
        <v>-86.9</v>
      </c>
      <c r="Z26" s="880">
        <v>-12</v>
      </c>
      <c r="AA26" s="880">
        <v>-12</v>
      </c>
      <c r="AB26" s="516">
        <f t="shared" si="22"/>
        <v>0</v>
      </c>
      <c r="AC26" s="880">
        <f>-5914+3694+1</f>
        <v>-2219</v>
      </c>
      <c r="AD26" s="880">
        <v>-102</v>
      </c>
      <c r="AE26" s="516">
        <f t="shared" si="23"/>
        <v>-95.4</v>
      </c>
      <c r="AF26" s="880"/>
      <c r="AG26" s="880"/>
      <c r="AH26" s="516"/>
      <c r="AI26" s="880">
        <v>-3.793866</v>
      </c>
      <c r="AJ26" s="880">
        <v>-3.1729310000000002</v>
      </c>
      <c r="AK26" s="516">
        <f t="shared" si="24"/>
        <v>-16.399999999999999</v>
      </c>
      <c r="AL26" s="880">
        <v>-3</v>
      </c>
      <c r="AM26" s="880">
        <v>-9.4</v>
      </c>
      <c r="AN26" s="516">
        <f t="shared" si="25"/>
        <v>213.3</v>
      </c>
      <c r="AO26" s="516">
        <f t="shared" si="26"/>
        <v>-26090.44986406</v>
      </c>
      <c r="AP26" s="516">
        <f t="shared" si="27"/>
        <v>-3256.4060253100001</v>
      </c>
      <c r="AQ26" s="516">
        <f t="shared" si="13"/>
        <v>-87.5</v>
      </c>
      <c r="AR26" s="516"/>
      <c r="AS26" s="516"/>
      <c r="AT26" s="516"/>
    </row>
    <row r="27" spans="1:46" s="491" customFormat="1" ht="18.75" customHeight="1" x14ac:dyDescent="0.35">
      <c r="A27" s="514" t="s">
        <v>306</v>
      </c>
      <c r="B27" s="880">
        <v>4.5590000000000002</v>
      </c>
      <c r="C27" s="880">
        <v>1.5549999999999999</v>
      </c>
      <c r="D27" s="516">
        <f t="shared" si="18"/>
        <v>-65.900000000000006</v>
      </c>
      <c r="E27" s="334"/>
      <c r="F27" s="334"/>
      <c r="G27" s="516"/>
      <c r="H27" s="880">
        <v>-105.22135556999999</v>
      </c>
      <c r="I27" s="880">
        <v>-297.25619097000003</v>
      </c>
      <c r="J27" s="516">
        <f t="shared" si="19"/>
        <v>182.5</v>
      </c>
      <c r="K27" s="880"/>
      <c r="L27" s="880"/>
      <c r="M27" s="516" t="str">
        <f>IF(K27=0, "    ---- ", IF(ABS(ROUND(100/K27*L27-100,1))&lt;999,ROUND(100/K27*L27-100,1),IF(ROUND(100/K27*L27-100,1)&gt;999,999,-999)))</f>
        <v xml:space="preserve">    ---- </v>
      </c>
      <c r="N27" s="880">
        <v>-4.3899999999999997</v>
      </c>
      <c r="O27" s="880">
        <v>-9.6270000000000007</v>
      </c>
      <c r="P27" s="516">
        <f>IF(N27=0, "    ---- ", IF(ABS(ROUND(100/N27*O27-100,1))&lt;999,ROUND(100/N27*O27-100,1),IF(ROUND(100/N27*O27-100,1)&gt;999,999,-999)))</f>
        <v>119.3</v>
      </c>
      <c r="Q27" s="880"/>
      <c r="R27" s="880"/>
      <c r="S27" s="516"/>
      <c r="T27" s="880"/>
      <c r="U27" s="880"/>
      <c r="V27" s="516"/>
      <c r="W27" s="880"/>
      <c r="X27" s="334"/>
      <c r="Y27" s="516"/>
      <c r="Z27" s="880">
        <v>0</v>
      </c>
      <c r="AA27" s="880">
        <v>0</v>
      </c>
      <c r="AB27" s="516" t="str">
        <f t="shared" si="22"/>
        <v xml:space="preserve">    ---- </v>
      </c>
      <c r="AC27" s="880">
        <v>14</v>
      </c>
      <c r="AD27" s="880">
        <v>-28</v>
      </c>
      <c r="AE27" s="516"/>
      <c r="AF27" s="880"/>
      <c r="AG27" s="880"/>
      <c r="AH27" s="516"/>
      <c r="AI27" s="880">
        <v>0</v>
      </c>
      <c r="AJ27" s="880">
        <v>0</v>
      </c>
      <c r="AK27" s="516" t="str">
        <f t="shared" si="24"/>
        <v xml:space="preserve">    ---- </v>
      </c>
      <c r="AL27" s="880">
        <v>-106</v>
      </c>
      <c r="AM27" s="880">
        <v>29.8</v>
      </c>
      <c r="AN27" s="516">
        <f t="shared" si="25"/>
        <v>-128.1</v>
      </c>
      <c r="AO27" s="516">
        <f t="shared" si="26"/>
        <v>-197.05235556999997</v>
      </c>
      <c r="AP27" s="516">
        <f t="shared" si="27"/>
        <v>-303.52819097000003</v>
      </c>
      <c r="AQ27" s="516">
        <f t="shared" si="13"/>
        <v>54</v>
      </c>
      <c r="AR27" s="516"/>
      <c r="AS27" s="516"/>
      <c r="AT27" s="516"/>
    </row>
    <row r="28" spans="1:46" s="491" customFormat="1" ht="18.75" customHeight="1" x14ac:dyDescent="0.35">
      <c r="A28" s="514" t="s">
        <v>307</v>
      </c>
      <c r="B28" s="880"/>
      <c r="C28" s="880"/>
      <c r="D28" s="516"/>
      <c r="E28" s="334"/>
      <c r="F28" s="334"/>
      <c r="G28" s="516" t="str">
        <f t="shared" si="1"/>
        <v xml:space="preserve">    ---- </v>
      </c>
      <c r="H28" s="880">
        <v>18.26242869</v>
      </c>
      <c r="I28" s="880">
        <v>14.33181486</v>
      </c>
      <c r="J28" s="516">
        <f t="shared" si="19"/>
        <v>-21.5</v>
      </c>
      <c r="K28" s="880"/>
      <c r="L28" s="880"/>
      <c r="M28" s="516"/>
      <c r="N28" s="880"/>
      <c r="O28" s="880"/>
      <c r="P28" s="516"/>
      <c r="Q28" s="880"/>
      <c r="R28" s="880"/>
      <c r="S28" s="516" t="str">
        <f t="shared" si="20"/>
        <v xml:space="preserve">    ---- </v>
      </c>
      <c r="T28" s="880"/>
      <c r="U28" s="880"/>
      <c r="V28" s="516"/>
      <c r="W28" s="880">
        <v>0</v>
      </c>
      <c r="X28" s="441">
        <v>0</v>
      </c>
      <c r="Y28" s="516" t="str">
        <f t="shared" si="21"/>
        <v xml:space="preserve">    ---- </v>
      </c>
      <c r="Z28" s="880">
        <v>8</v>
      </c>
      <c r="AA28" s="880">
        <v>4</v>
      </c>
      <c r="AB28" s="516">
        <f t="shared" si="22"/>
        <v>-50</v>
      </c>
      <c r="AC28" s="880"/>
      <c r="AD28" s="880"/>
      <c r="AE28" s="516"/>
      <c r="AF28" s="880"/>
      <c r="AG28" s="880"/>
      <c r="AH28" s="516"/>
      <c r="AI28" s="880">
        <v>0</v>
      </c>
      <c r="AJ28" s="880">
        <v>1.120984</v>
      </c>
      <c r="AK28" s="516" t="str">
        <f t="shared" si="24"/>
        <v xml:space="preserve">    ---- </v>
      </c>
      <c r="AL28" s="880">
        <v>27</v>
      </c>
      <c r="AM28" s="880">
        <v>724.3</v>
      </c>
      <c r="AN28" s="516">
        <f t="shared" si="25"/>
        <v>999</v>
      </c>
      <c r="AO28" s="516">
        <f t="shared" si="26"/>
        <v>53.26242869</v>
      </c>
      <c r="AP28" s="516">
        <f t="shared" si="27"/>
        <v>743.75279885999998</v>
      </c>
      <c r="AQ28" s="516">
        <f t="shared" si="13"/>
        <v>999</v>
      </c>
      <c r="AR28" s="516"/>
      <c r="AS28" s="516"/>
      <c r="AT28" s="516"/>
    </row>
    <row r="29" spans="1:46" s="491" customFormat="1" ht="18.75" customHeight="1" x14ac:dyDescent="0.35">
      <c r="A29" s="514" t="s">
        <v>308</v>
      </c>
      <c r="B29" s="880">
        <f>SUM(B23:B28)</f>
        <v>-121.337</v>
      </c>
      <c r="C29" s="880">
        <f>SUM(C23:C28)</f>
        <v>-23.176000000000002</v>
      </c>
      <c r="D29" s="516">
        <f t="shared" si="18"/>
        <v>-80.900000000000006</v>
      </c>
      <c r="E29" s="334">
        <f>SUM(E23:E28)</f>
        <v>-51.8</v>
      </c>
      <c r="F29" s="334"/>
      <c r="G29" s="516">
        <f t="shared" si="1"/>
        <v>-100</v>
      </c>
      <c r="H29" s="880">
        <f>SUM(H23:H28)</f>
        <v>7703.1030990199997</v>
      </c>
      <c r="I29" s="880">
        <f>SUM(I23:I28)</f>
        <v>1935.1585179099998</v>
      </c>
      <c r="J29" s="516">
        <f t="shared" si="19"/>
        <v>-74.900000000000006</v>
      </c>
      <c r="K29" s="880">
        <f>SUM(K23:K28)</f>
        <v>-977.14850308999985</v>
      </c>
      <c r="L29" s="880">
        <f>SUM(L23:L28)</f>
        <v>-392.17890431999956</v>
      </c>
      <c r="M29" s="516">
        <f>IF(K29=0, "    ---- ", IF(ABS(ROUND(100/K29*L29-100,1))&lt;999,ROUND(100/K29*L29-100,1),IF(ROUND(100/K29*L29-100,1)&gt;999,999,-999)))</f>
        <v>-59.9</v>
      </c>
      <c r="N29" s="880">
        <f>SUM(N23:N28)</f>
        <v>-77.085999999999999</v>
      </c>
      <c r="O29" s="880">
        <f>SUM(O23:O28)</f>
        <v>-93.572999999999993</v>
      </c>
      <c r="P29" s="516">
        <f>IF(N29=0, "    ---- ", IF(ABS(ROUND(100/N29*O29-100,1))&lt;999,ROUND(100/N29*O29-100,1),IF(ROUND(100/N29*O29-100,1)&gt;999,999,-999)))</f>
        <v>21.4</v>
      </c>
      <c r="Q29" s="880">
        <f>SUM(Q23:Q28)</f>
        <v>-376.7</v>
      </c>
      <c r="R29" s="880">
        <f>SUM(R23:R28)</f>
        <v>-505.19999999999993</v>
      </c>
      <c r="S29" s="516">
        <f t="shared" si="20"/>
        <v>34.1</v>
      </c>
      <c r="T29" s="880">
        <f>SUM(T23:T28)</f>
        <v>4.2966852099999997</v>
      </c>
      <c r="U29" s="880">
        <f>SUM(U23:U28)</f>
        <v>4.5010000000000003</v>
      </c>
      <c r="V29" s="516"/>
      <c r="W29" s="880">
        <v>-27648.624404949998</v>
      </c>
      <c r="X29" s="434">
        <v>-59439.885958349994</v>
      </c>
      <c r="Y29" s="516">
        <f t="shared" si="21"/>
        <v>115</v>
      </c>
      <c r="Z29" s="880">
        <f>SUM(Z23:Z28)</f>
        <v>-1154</v>
      </c>
      <c r="AA29" s="880">
        <f>SUM(AA23:AA28)</f>
        <v>-2449</v>
      </c>
      <c r="AB29" s="516">
        <f t="shared" si="22"/>
        <v>112.2</v>
      </c>
      <c r="AC29" s="880">
        <f>SUM(AC23:AC28)</f>
        <v>-3795</v>
      </c>
      <c r="AD29" s="880">
        <f>SUM(AD23:AD28)</f>
        <v>-9774</v>
      </c>
      <c r="AE29" s="516">
        <f t="shared" si="23"/>
        <v>157.5</v>
      </c>
      <c r="AF29" s="880">
        <f>SUM(AF23:AF28)</f>
        <v>0</v>
      </c>
      <c r="AG29" s="880">
        <f>SUM(AG23:AG28)</f>
        <v>0</v>
      </c>
      <c r="AH29" s="516"/>
      <c r="AI29" s="880">
        <f>SUM(AI23:AI28)</f>
        <v>-551.05273675999979</v>
      </c>
      <c r="AJ29" s="880">
        <f>SUM(AJ23:AJ28)</f>
        <v>-188.75086949999977</v>
      </c>
      <c r="AK29" s="516">
        <f t="shared" si="24"/>
        <v>-65.7</v>
      </c>
      <c r="AL29" s="880">
        <f>SUM(AL23:AL28)</f>
        <v>-3658</v>
      </c>
      <c r="AM29" s="880">
        <f>SUM(AM23:AM28)</f>
        <v>-6132.2999999999993</v>
      </c>
      <c r="AN29" s="516">
        <f t="shared" si="25"/>
        <v>67.599999999999994</v>
      </c>
      <c r="AO29" s="516">
        <f t="shared" si="26"/>
        <v>-30707.64554578</v>
      </c>
      <c r="AP29" s="516">
        <f t="shared" si="27"/>
        <v>-77062.906214260001</v>
      </c>
      <c r="AQ29" s="516">
        <f t="shared" si="13"/>
        <v>151</v>
      </c>
      <c r="AR29" s="516"/>
      <c r="AS29" s="516"/>
      <c r="AT29" s="516"/>
    </row>
    <row r="30" spans="1:46" s="491" customFormat="1" ht="18.75" customHeight="1" x14ac:dyDescent="0.35">
      <c r="A30" s="514" t="s">
        <v>309</v>
      </c>
      <c r="B30" s="880">
        <v>-3347.7950000000001</v>
      </c>
      <c r="C30" s="880">
        <v>-5172.9740000000002</v>
      </c>
      <c r="D30" s="516">
        <f>IF(B30=0, "    ---- ", IF(ABS(ROUND(100/B30*C30-100,1))&lt;999,ROUND(100/B30*C30-100,1),IF(ROUND(100/B30*C30-100,1)&gt;999,999,-999)))</f>
        <v>54.5</v>
      </c>
      <c r="E30" s="334">
        <v>-1049.9000000000001</v>
      </c>
      <c r="F30" s="334"/>
      <c r="G30" s="516">
        <f t="shared" si="1"/>
        <v>-100</v>
      </c>
      <c r="H30" s="880">
        <v>-11879.2291864</v>
      </c>
      <c r="I30" s="880">
        <v>-22619.862509409999</v>
      </c>
      <c r="J30" s="516">
        <f>IF(H30=0, "    ---- ", IF(ABS(ROUND(100/H30*I30-100,1))&lt;999,ROUND(100/H30*I30-100,1),IF(ROUND(100/H30*I30-100,1)&gt;999,999,-999)))</f>
        <v>90.4</v>
      </c>
      <c r="K30" s="880"/>
      <c r="L30" s="880"/>
      <c r="M30" s="516"/>
      <c r="N30" s="880">
        <v>4236.8549999999996</v>
      </c>
      <c r="O30" s="880"/>
      <c r="P30" s="516"/>
      <c r="Q30" s="880">
        <v>-4565.8999999999996</v>
      </c>
      <c r="R30" s="880">
        <v>-8487.4</v>
      </c>
      <c r="S30" s="516">
        <f t="shared" si="20"/>
        <v>85.9</v>
      </c>
      <c r="T30" s="880"/>
      <c r="U30" s="880"/>
      <c r="V30" s="516"/>
      <c r="W30" s="880">
        <v>486.62024219</v>
      </c>
      <c r="X30" s="441">
        <v>-176.57422717</v>
      </c>
      <c r="Y30" s="516">
        <f t="shared" si="21"/>
        <v>-136.30000000000001</v>
      </c>
      <c r="Z30" s="880">
        <v>-20890</v>
      </c>
      <c r="AA30" s="880">
        <v>-26544</v>
      </c>
      <c r="AB30" s="516">
        <f>IF(Z30=0, "    ---- ", IF(ABS(ROUND(100/Z30*AA30-100,1))&lt;999,ROUND(100/Z30*AA30-100,1),IF(ROUND(100/Z30*AA30-100,1)&gt;999,999,-999)))</f>
        <v>27.1</v>
      </c>
      <c r="AC30" s="880"/>
      <c r="AD30" s="880"/>
      <c r="AE30" s="516"/>
      <c r="AF30" s="880">
        <v>-390.47339749000002</v>
      </c>
      <c r="AG30" s="880">
        <v>-279.529</v>
      </c>
      <c r="AH30" s="516">
        <f>IF(AF30=0, "    ---- ", IF(ABS(ROUND(100/AF30*AG30-100,1))&lt;999,ROUND(100/AF30*AG30-100,1),IF(ROUND(100/AF30*AG30-100,1)&gt;999,999,-999)))</f>
        <v>-28.4</v>
      </c>
      <c r="AI30" s="880">
        <v>-7757.9154452499997</v>
      </c>
      <c r="AJ30" s="880">
        <v>-12644.774600170003</v>
      </c>
      <c r="AK30" s="516">
        <f>IF(AI30=0, "    ---- ", IF(ABS(ROUND(100/AI30*AJ30-100,1))&lt;999,ROUND(100/AI30*AJ30-100,1),IF(ROUND(100/AI30*AJ30-100,1)&gt;999,999,-999)))</f>
        <v>63</v>
      </c>
      <c r="AL30" s="880">
        <v>-22580</v>
      </c>
      <c r="AM30" s="880">
        <v>-20913.5</v>
      </c>
      <c r="AN30" s="516">
        <f>IF(AL30=0, "    ---- ", IF(ABS(ROUND(100/AL30*AM30-100,1))&lt;999,ROUND(100/AL30*AM30-100,1),IF(ROUND(100/AL30*AM30-100,1)&gt;999,999,-999)))</f>
        <v>-7.4</v>
      </c>
      <c r="AO30" s="516">
        <f t="shared" si="26"/>
        <v>-67347.264389460004</v>
      </c>
      <c r="AP30" s="516">
        <f t="shared" si="27"/>
        <v>-96559.085336750009</v>
      </c>
      <c r="AQ30" s="516">
        <f t="shared" si="13"/>
        <v>43.4</v>
      </c>
      <c r="AR30" s="516"/>
      <c r="AS30" s="516"/>
      <c r="AT30" s="516"/>
    </row>
    <row r="31" spans="1:46" s="491" customFormat="1" ht="18.75" customHeight="1" x14ac:dyDescent="0.35">
      <c r="A31" s="514" t="s">
        <v>310</v>
      </c>
      <c r="B31" s="880">
        <v>-2.13</v>
      </c>
      <c r="C31" s="880">
        <v>-5.9340000000000002</v>
      </c>
      <c r="D31" s="516">
        <f>IF(B31=0, "    ---- ", IF(ABS(ROUND(100/B31*C31-100,1))&lt;999,ROUND(100/B31*C31-100,1),IF(ROUND(100/B31*C31-100,1)&gt;999,999,-999)))</f>
        <v>178.6</v>
      </c>
      <c r="E31" s="334">
        <v>-16.2</v>
      </c>
      <c r="F31" s="334"/>
      <c r="G31" s="516"/>
      <c r="H31" s="880">
        <v>-545.76139216000001</v>
      </c>
      <c r="I31" s="880">
        <v>-1167.4646835599999</v>
      </c>
      <c r="J31" s="516">
        <f>IF(H31=0, "    ---- ", IF(ABS(ROUND(100/H31*I31-100,1))&lt;999,ROUND(100/H31*I31-100,1),IF(ROUND(100/H31*I31-100,1)&gt;999,999,-999)))</f>
        <v>113.9</v>
      </c>
      <c r="K31" s="880"/>
      <c r="L31" s="880"/>
      <c r="M31" s="516"/>
      <c r="N31" s="880"/>
      <c r="O31" s="880"/>
      <c r="P31" s="516"/>
      <c r="Q31" s="880">
        <v>-1.7</v>
      </c>
      <c r="R31" s="880">
        <v>-6.4</v>
      </c>
      <c r="S31" s="516">
        <f t="shared" si="20"/>
        <v>276.5</v>
      </c>
      <c r="T31" s="880"/>
      <c r="U31" s="880"/>
      <c r="V31" s="516"/>
      <c r="W31" s="880">
        <v>-4111.4854808199998</v>
      </c>
      <c r="X31" s="441">
        <v>-9415.0914749999993</v>
      </c>
      <c r="Y31" s="516">
        <f>IF(W31=0, "    ---- ", IF(ABS(ROUND(100/W31*X31-100,1))&lt;999,ROUND(100/W31*X31-100,1),IF(ROUND(100/W31*X31-100,1)&gt;999,999,-999)))</f>
        <v>129</v>
      </c>
      <c r="Z31" s="880">
        <v>-119</v>
      </c>
      <c r="AA31" s="880">
        <v>-425</v>
      </c>
      <c r="AB31" s="516">
        <f>IF(Z31=0, "    ---- ", IF(ABS(ROUND(100/Z31*AA31-100,1))&lt;999,ROUND(100/Z31*AA31-100,1),IF(ROUND(100/Z31*AA31-100,1)&gt;999,999,-999)))</f>
        <v>257.10000000000002</v>
      </c>
      <c r="AC31" s="880">
        <f>-70-3694-1</f>
        <v>-3765</v>
      </c>
      <c r="AD31" s="880">
        <v>-4163</v>
      </c>
      <c r="AE31" s="516">
        <f>IF(AC31=0, "    ---- ", IF(ABS(ROUND(100/AC31*AD31-100,1))&lt;999,ROUND(100/AC31*AD31-100,1),IF(ROUND(100/AC31*AD31-100,1)&gt;999,999,-999)))</f>
        <v>10.6</v>
      </c>
      <c r="AF31" s="880"/>
      <c r="AG31" s="880"/>
      <c r="AH31" s="516"/>
      <c r="AI31" s="880">
        <v>-108.96472562000001</v>
      </c>
      <c r="AJ31" s="880">
        <v>-1100.5036735199999</v>
      </c>
      <c r="AK31" s="516">
        <f>IF(AI31=0, "    ---- ", IF(ABS(ROUND(100/AI31*AJ31-100,1))&lt;999,ROUND(100/AI31*AJ31-100,1),IF(ROUND(100/AI31*AJ31-100,1)&gt;999,999,-999)))</f>
        <v>910</v>
      </c>
      <c r="AL31" s="880">
        <v>-705</v>
      </c>
      <c r="AM31" s="880">
        <v>-1395.1</v>
      </c>
      <c r="AN31" s="516">
        <f>IF(AL31=0, "    ---- ", IF(ABS(ROUND(100/AL31*AM31-100,1))&lt;999,ROUND(100/AL31*AM31-100,1),IF(ROUND(100/AL31*AM31-100,1)&gt;999,999,-999)))</f>
        <v>97.9</v>
      </c>
      <c r="AO31" s="516">
        <f t="shared" si="26"/>
        <v>-9375.2415986000015</v>
      </c>
      <c r="AP31" s="516">
        <f t="shared" si="27"/>
        <v>-17678.493832079999</v>
      </c>
      <c r="AQ31" s="516">
        <f t="shared" si="13"/>
        <v>88.6</v>
      </c>
      <c r="AR31" s="516"/>
      <c r="AS31" s="516"/>
      <c r="AT31" s="516"/>
    </row>
    <row r="32" spans="1:46" s="491" customFormat="1" ht="18.75" customHeight="1" x14ac:dyDescent="0.35">
      <c r="A32" s="514" t="s">
        <v>311</v>
      </c>
      <c r="B32" s="880">
        <v>-242.429</v>
      </c>
      <c r="C32" s="880">
        <v>-202.93100000000001</v>
      </c>
      <c r="D32" s="516">
        <f>IF(B32=0, "    ---- ", IF(ABS(ROUND(100/B32*C32-100,1))&lt;999,ROUND(100/B32*C32-100,1),IF(ROUND(100/B32*C32-100,1)&gt;999,999,-999)))</f>
        <v>-16.3</v>
      </c>
      <c r="E32" s="334">
        <v>-86.7</v>
      </c>
      <c r="F32" s="334"/>
      <c r="G32" s="516">
        <f>IF(E32=0, "    ---- ", IF(ABS(ROUND(100/E32*F32-100,1))&lt;999,ROUND(100/E32*F32-100,1),IF(ROUND(100/E32*F32-100,1)&gt;999,999,-999)))</f>
        <v>-100</v>
      </c>
      <c r="H32" s="880">
        <v>-1044.81760863</v>
      </c>
      <c r="I32" s="880">
        <v>-1187.8393588399999</v>
      </c>
      <c r="J32" s="516">
        <f>IF(H32=0, "    ---- ", IF(ABS(ROUND(100/H32*I32-100,1))&lt;999,ROUND(100/H32*I32-100,1),IF(ROUND(100/H32*I32-100,1)&gt;999,999,-999)))</f>
        <v>13.7</v>
      </c>
      <c r="K32" s="880">
        <v>-876.10639155999991</v>
      </c>
      <c r="L32" s="880">
        <v>-835.41398171000003</v>
      </c>
      <c r="M32" s="516">
        <f>IF(K32=0, "    ---- ", IF(ABS(ROUND(100/K32*L32-100,1))&lt;999,ROUND(100/K32*L32-100,1),IF(ROUND(100/K32*L32-100,1)&gt;999,999,-999)))</f>
        <v>-4.5999999999999996</v>
      </c>
      <c r="N32" s="880">
        <v>-282.60199999999998</v>
      </c>
      <c r="O32" s="880">
        <v>-222.43199999999999</v>
      </c>
      <c r="P32" s="516">
        <f>IF(N32=0, "    ---- ", IF(ABS(ROUND(100/N32*O32-100,1))&lt;999,ROUND(100/N32*O32-100,1),IF(ROUND(100/N32*O32-100,1)&gt;999,999,-999)))</f>
        <v>-21.3</v>
      </c>
      <c r="Q32" s="880">
        <v>-291.10000000000002</v>
      </c>
      <c r="R32" s="880">
        <v>-312.89999999999998</v>
      </c>
      <c r="S32" s="516">
        <f>IF(Q32=0, "    ---- ", IF(ABS(ROUND(100/Q32*R32-100,1))&lt;999,ROUND(100/Q32*R32-100,1),IF(ROUND(100/Q32*R32-100,1)&gt;999,999,-999)))</f>
        <v>7.5</v>
      </c>
      <c r="T32" s="880">
        <v>-10.49361519</v>
      </c>
      <c r="U32" s="880">
        <v>-12.000999999999999</v>
      </c>
      <c r="V32" s="516">
        <f>IF(T32=0, "    ---- ", IF(ABS(ROUND(100/T32*U32-100,1))&lt;999,ROUND(100/T32*U32-100,1),IF(ROUND(100/T32*U32-100,1)&gt;999,999,-999)))</f>
        <v>14.4</v>
      </c>
      <c r="W32" s="880">
        <v>-1171.6308235699998</v>
      </c>
      <c r="X32" s="441">
        <v>-1371.9802813599999</v>
      </c>
      <c r="Y32" s="516">
        <f>IF(W32=0, "    ---- ", IF(ABS(ROUND(100/W32*X32-100,1))&lt;999,ROUND(100/W32*X32-100,1),IF(ROUND(100/W32*X32-100,1)&gt;999,999,-999)))</f>
        <v>17.100000000000001</v>
      </c>
      <c r="Z32" s="880">
        <v>-646</v>
      </c>
      <c r="AA32" s="880">
        <v>-727</v>
      </c>
      <c r="AB32" s="516">
        <f>IF(Z32=0, "    ---- ", IF(ABS(ROUND(100/Z32*AA32-100,1))&lt;999,ROUND(100/Z32*AA32-100,1),IF(ROUND(100/Z32*AA32-100,1)&gt;999,999,-999)))</f>
        <v>12.5</v>
      </c>
      <c r="AC32" s="880">
        <v>-202</v>
      </c>
      <c r="AD32" s="880">
        <v>-238</v>
      </c>
      <c r="AE32" s="516">
        <f>IF(AC32=0, "    ---- ", IF(ABS(ROUND(100/AC32*AD32-100,1))&lt;999,ROUND(100/AC32*AD32-100,1),IF(ROUND(100/AC32*AD32-100,1)&gt;999,999,-999)))</f>
        <v>17.8</v>
      </c>
      <c r="AF32" s="880">
        <v>-31.231999999999999</v>
      </c>
      <c r="AG32" s="880">
        <v>-40.369</v>
      </c>
      <c r="AH32" s="516">
        <f>IF(AF32=0, "    ---- ", IF(ABS(ROUND(100/AF32*AG32-100,1))&lt;999,ROUND(100/AF32*AG32-100,1),IF(ROUND(100/AF32*AG32-100,1)&gt;999,999,-999)))</f>
        <v>29.3</v>
      </c>
      <c r="AI32" s="880">
        <v>-612.14451278000001</v>
      </c>
      <c r="AJ32" s="880">
        <v>-709.71918908889984</v>
      </c>
      <c r="AK32" s="516">
        <f>IF(AI32=0, "    ---- ", IF(ABS(ROUND(100/AI32*AJ32-100,1))&lt;999,ROUND(100/AI32*AJ32-100,1),IF(ROUND(100/AI32*AJ32-100,1)&gt;999,999,-999)))</f>
        <v>15.9</v>
      </c>
      <c r="AL32" s="880">
        <v>-1362</v>
      </c>
      <c r="AM32" s="880">
        <v>-1442.2</v>
      </c>
      <c r="AN32" s="516">
        <f>IF(AL32=0, "    ---- ", IF(ABS(ROUND(100/AL32*AM32-100,1))&lt;999,ROUND(100/AL32*AM32-100,1),IF(ROUND(100/AL32*AM32-100,1)&gt;999,999,-999)))</f>
        <v>5.9</v>
      </c>
      <c r="AO32" s="516">
        <f t="shared" si="26"/>
        <v>-6817.5303365399996</v>
      </c>
      <c r="AP32" s="516">
        <f t="shared" si="27"/>
        <v>-7250.4158109988994</v>
      </c>
      <c r="AQ32" s="516">
        <f t="shared" si="13"/>
        <v>6.3</v>
      </c>
      <c r="AR32" s="516"/>
      <c r="AS32" s="516"/>
      <c r="AT32" s="516"/>
    </row>
    <row r="33" spans="1:46" s="528" customFormat="1" ht="18.75" customHeight="1" x14ac:dyDescent="0.35">
      <c r="A33" s="514" t="s">
        <v>312</v>
      </c>
      <c r="B33" s="882"/>
      <c r="C33" s="882"/>
      <c r="D33" s="520"/>
      <c r="E33" s="441">
        <v>-13.8</v>
      </c>
      <c r="F33" s="441"/>
      <c r="G33" s="520">
        <f>IF(E33=0, "    ---- ", IF(ABS(ROUND(100/E33*F33-100,1))&lt;999,ROUND(100/E33*F33-100,1),IF(ROUND(100/E33*F33-100,1)&gt;999,999,-999)))</f>
        <v>-100</v>
      </c>
      <c r="H33" s="882">
        <f>-22.10179996-13.946</f>
        <v>-36.047799959999999</v>
      </c>
      <c r="I33" s="882">
        <v>17.464507900000005</v>
      </c>
      <c r="J33" s="520">
        <f>IF(H33=0, "    ---- ", IF(ABS(ROUND(100/H33*I33-100,1))&lt;999,ROUND(100/H33*I33-100,1),IF(ROUND(100/H33*I33-100,1)&gt;999,999,-999)))</f>
        <v>-148.4</v>
      </c>
      <c r="K33" s="882">
        <v>-13.875374219999998</v>
      </c>
      <c r="L33" s="882">
        <v>-32.924841790000009</v>
      </c>
      <c r="M33" s="520"/>
      <c r="N33" s="882"/>
      <c r="O33" s="882"/>
      <c r="P33" s="520"/>
      <c r="Q33" s="882"/>
      <c r="R33" s="882"/>
      <c r="S33" s="520"/>
      <c r="T33" s="882"/>
      <c r="U33" s="882"/>
      <c r="V33" s="520"/>
      <c r="W33" s="882">
        <v>-1205.7581</v>
      </c>
      <c r="X33" s="441">
        <v>-1285.6790579999999</v>
      </c>
      <c r="Y33" s="520">
        <f>IF(W33=0, "    ---- ", IF(ABS(ROUND(100/W33*X33-100,1))&lt;999,ROUND(100/W33*X33-100,1),IF(ROUND(100/W33*X33-100,1)&gt;999,999,-999)))</f>
        <v>6.6</v>
      </c>
      <c r="Z33" s="882">
        <v>-60.56</v>
      </c>
      <c r="AA33" s="882">
        <v>-32</v>
      </c>
      <c r="AB33" s="520">
        <f>IF(Z33=0, "    ---- ", IF(ABS(ROUND(100/Z33*AA33-100,1))&lt;999,ROUND(100/Z33*AA33-100,1),IF(ROUND(100/Z33*AA33-100,1)&gt;999,999,-999)))</f>
        <v>-47.2</v>
      </c>
      <c r="AC33" s="882"/>
      <c r="AD33" s="882"/>
      <c r="AE33" s="520"/>
      <c r="AF33" s="882"/>
      <c r="AG33" s="882"/>
      <c r="AH33" s="520"/>
      <c r="AI33" s="882">
        <v>-0.66995852</v>
      </c>
      <c r="AJ33" s="882">
        <v>-3.6433634500000003</v>
      </c>
      <c r="AK33" s="520">
        <f>IF(AI33=0, "    ---- ", IF(ABS(ROUND(100/AI33*AJ33-100,1))&lt;999,ROUND(100/AI33*AJ33-100,1),IF(ROUND(100/AI33*AJ33-100,1)&gt;999,999,-999)))</f>
        <v>443.8</v>
      </c>
      <c r="AL33" s="882">
        <v>-247</v>
      </c>
      <c r="AM33" s="882">
        <v>-135.1</v>
      </c>
      <c r="AN33" s="520">
        <f>IF(AL33=0, "    ---- ", IF(ABS(ROUND(100/AL33*AM33-100,1))&lt;999,ROUND(100/AL33*AM33-100,1),IF(ROUND(100/AL33*AM33-100,1)&gt;999,999,-999)))</f>
        <v>-45.3</v>
      </c>
      <c r="AO33" s="516">
        <f t="shared" si="26"/>
        <v>-1577.7112326999998</v>
      </c>
      <c r="AP33" s="516">
        <f t="shared" si="27"/>
        <v>-1471.8827553399997</v>
      </c>
      <c r="AQ33" s="520">
        <f t="shared" si="13"/>
        <v>-6.7</v>
      </c>
      <c r="AR33" s="520"/>
      <c r="AS33" s="520"/>
      <c r="AT33" s="520"/>
    </row>
    <row r="34" spans="1:46" s="531" customFormat="1" ht="18.75" customHeight="1" x14ac:dyDescent="0.3">
      <c r="A34" s="529" t="s">
        <v>313</v>
      </c>
      <c r="B34" s="883">
        <f>SUM(B14+B15+B16+B17+B21+B29+B30+B31+B32+B33)</f>
        <v>104.2190000000007</v>
      </c>
      <c r="C34" s="883">
        <f>SUM(C14+C15+C16+C17+C21+C29+C30+C31+C32+C33)</f>
        <v>144.95899999999776</v>
      </c>
      <c r="D34" s="530">
        <f>IF(B34=0, "    ---- ", IF(ABS(ROUND(100/B34*C34-100,1))&lt;999,ROUND(100/B34*C34-100,1),IF(ROUND(100/B34*C34-100,1)&gt;999,999,-999)))</f>
        <v>39.1</v>
      </c>
      <c r="E34" s="447">
        <f>SUM(E14+E15+E16+E17+E21+E29+E30+E31+E32+E33)</f>
        <v>-59.600000000000094</v>
      </c>
      <c r="F34" s="447"/>
      <c r="G34" s="530">
        <f>IF(E34=0, "    ---- ", IF(ABS(ROUND(100/E34*F34-100,1))&lt;999,ROUND(100/E34*F34-100,1),IF(ROUND(100/E34*F34-100,1)&gt;999,999,-999)))</f>
        <v>-100</v>
      </c>
      <c r="H34" s="883">
        <f>SUM(H14+H15+H16+H17+H21+H29+H30+H31+H32+H33)</f>
        <v>1031.5396888500056</v>
      </c>
      <c r="I34" s="883">
        <f>SUM(I14+I15+I16+I17+I21+I29+I30+I31+I32+I33)</f>
        <v>1013.2398664199967</v>
      </c>
      <c r="J34" s="530">
        <f>IF(H34=0, "    ---- ", IF(ABS(ROUND(100/H34*I34-100,1))&lt;999,ROUND(100/H34*I34-100,1),IF(ROUND(100/H34*I34-100,1)&gt;999,999,-999)))</f>
        <v>-1.8</v>
      </c>
      <c r="K34" s="883">
        <f>SUM(K14+K15+K16+K17+K21+K29+K30+K31+K32+K33)</f>
        <v>181.74660287999998</v>
      </c>
      <c r="L34" s="883">
        <f>SUM(L14+L15+L16+L17+L21+L29+L30+L31+L32+L33)</f>
        <v>873.18417284000066</v>
      </c>
      <c r="M34" s="530">
        <f>IF(K34=0, "    ---- ", IF(ABS(ROUND(100/K34*L34-100,1))&lt;999,ROUND(100/K34*L34-100,1),IF(ROUND(100/K34*L34-100,1)&gt;999,999,-999)))</f>
        <v>380.4</v>
      </c>
      <c r="N34" s="883">
        <f>SUM(N14+N15+N16+N17+N21+N29+N30+N31+N32+N33)</f>
        <v>329.32200000000046</v>
      </c>
      <c r="O34" s="883">
        <f>SUM(O14+O15+O16+O17+O21+O29+O30+O31+O32+O33)</f>
        <v>85.156752000000068</v>
      </c>
      <c r="P34" s="530">
        <f>IF(N34=0, "    ---- ", IF(ABS(ROUND(100/N34*O34-100,1))&lt;999,ROUND(100/N34*O34-100,1),IF(ROUND(100/N34*O34-100,1)&gt;999,999,-999)))</f>
        <v>-74.099999999999994</v>
      </c>
      <c r="Q34" s="883">
        <f>SUM(Q14+Q15+Q16+Q17+Q21+Q29+Q30+Q31+Q32+Q33)</f>
        <v>160.59999999999872</v>
      </c>
      <c r="R34" s="883">
        <f>SUM(R14+R15+R16+R17+R21+R29+R30+R31+R32+R33)</f>
        <v>213.20000000000005</v>
      </c>
      <c r="S34" s="530">
        <f>IF(Q34=0, "    ---- ", IF(ABS(ROUND(100/Q34*R34-100,1))&lt;999,ROUND(100/Q34*R34-100,1),IF(ROUND(100/Q34*R34-100,1)&gt;999,999,-999)))</f>
        <v>32.799999999999997</v>
      </c>
      <c r="T34" s="883">
        <f>SUM(T14+T15+T16+T17+T21+T29+T30+T31+T32+T33)</f>
        <v>12.512394869999998</v>
      </c>
      <c r="U34" s="883">
        <f>SUM(U14+U15+U16+U17+U21+U29+U30+U31+U32+U33)</f>
        <v>12.798</v>
      </c>
      <c r="V34" s="530">
        <f>IF(T34=0, "    ---- ", IF(ABS(ROUND(100/T34*U34-100,1))&lt;999,ROUND(100/T34*U34-100,1),IF(ROUND(100/T34*U34-100,1)&gt;999,999,-999)))</f>
        <v>2.2999999999999998</v>
      </c>
      <c r="W34" s="883">
        <v>526.34686674000386</v>
      </c>
      <c r="X34" s="447">
        <v>-741.70899792000296</v>
      </c>
      <c r="Y34" s="530">
        <f>IF(W34=0, "    ---- ", IF(ABS(ROUND(100/W34*X34-100,1))&lt;999,ROUND(100/W34*X34-100,1),IF(ROUND(100/W34*X34-100,1)&gt;999,999,-999)))</f>
        <v>-240.9</v>
      </c>
      <c r="Z34" s="883">
        <f>SUM(Z14+Z15+Z16+Z17+Z21+Z29+Z30+Z31+Z32+Z33)</f>
        <v>663.64000000000078</v>
      </c>
      <c r="AA34" s="883">
        <f>SUM(AA14+AA15+AA16+AA17+AA21+AA29+AA30+AA31+AA32+AA33)</f>
        <v>955</v>
      </c>
      <c r="AB34" s="530">
        <f>IF(Z34=0, "    ---- ", IF(ABS(ROUND(100/Z34*AA34-100,1))&lt;999,ROUND(100/Z34*AA34-100,1),IF(ROUND(100/Z34*AA34-100,1)&gt;999,999,-999)))</f>
        <v>43.9</v>
      </c>
      <c r="AC34" s="883">
        <f>SUM(AC14+AC15+AC16+AC17+AC21+AC29+AC30+AC31+AC32+AC33)</f>
        <v>643</v>
      </c>
      <c r="AD34" s="883">
        <f>SUM(AD14+AD15+AD16+AD17+AD21+AD29+AD30+AD31+AD32+AD33)</f>
        <v>669</v>
      </c>
      <c r="AE34" s="530">
        <f>IF(AC34=0, "    ---- ", IF(ABS(ROUND(100/AC34*AD34-100,1))&lt;999,ROUND(100/AC34*AD34-100,1),IF(ROUND(100/AC34*AD34-100,1)&gt;999,999,-999)))</f>
        <v>4</v>
      </c>
      <c r="AF34" s="883">
        <f>SUM(AF14+AF15+AF16+AF17+AF21+AF29+AF30+AF31+AF32+AF33)</f>
        <v>16.050416909999939</v>
      </c>
      <c r="AG34" s="883">
        <f>SUM(AG14+AG15+AG16+AG17+AG21+AG29+AG30+AG31+AG32+AG33)</f>
        <v>16.897000000000077</v>
      </c>
      <c r="AH34" s="530">
        <f>IF(AF34=0, "    ---- ", IF(ABS(ROUND(100/AF34*AG34-100,1))&lt;999,ROUND(100/AF34*AG34-100,1),IF(ROUND(100/AF34*AG34-100,1)&gt;999,999,-999)))</f>
        <v>5.3</v>
      </c>
      <c r="AI34" s="883">
        <f>SUM(AI14+AI15+AI16+AI17+AI21+AI29+AI30+AI31+AI32+AI33)</f>
        <v>90.879699570001122</v>
      </c>
      <c r="AJ34" s="883">
        <f>SUM(AJ14+AJ15+AJ16+AJ17+AJ21+AJ29+AJ30+AJ31+AJ32+AJ33)</f>
        <v>546.90388842108871</v>
      </c>
      <c r="AK34" s="530">
        <f>IF(AI34=0, "    ---- ", IF(ABS(ROUND(100/AI34*AJ34-100,1))&lt;999,ROUND(100/AI34*AJ34-100,1),IF(ROUND(100/AI34*AJ34-100,1)&gt;999,999,-999)))</f>
        <v>501.8</v>
      </c>
      <c r="AL34" s="883">
        <f>SUM(AL14+AL15+AL16+AL17+AL21+AL29+AL30+AL31+AL32+AL33)</f>
        <v>808</v>
      </c>
      <c r="AM34" s="883">
        <f>SUM(AM14+AM15+AM16+AM17+AM21+AM29+AM30+AM31+AM32+AM33)</f>
        <v>1417.0999999999965</v>
      </c>
      <c r="AN34" s="530">
        <f>IF(AL34=0, "    ---- ", IF(ABS(ROUND(100/AL34*AM34-100,1))&lt;999,ROUND(100/AL34*AM34-100,1),IF(ROUND(100/AL34*AM34-100,1)&gt;999,999,-999)))</f>
        <v>75.400000000000006</v>
      </c>
      <c r="AO34" s="530">
        <f t="shared" si="26"/>
        <v>4479.6938580400119</v>
      </c>
      <c r="AP34" s="530">
        <f t="shared" si="27"/>
        <v>5176.034681761078</v>
      </c>
      <c r="AQ34" s="530">
        <f t="shared" si="13"/>
        <v>15.5</v>
      </c>
      <c r="AR34" s="530"/>
      <c r="AS34" s="530"/>
      <c r="AT34" s="530"/>
    </row>
    <row r="35" spans="1:46" s="531" customFormat="1" ht="18.75" customHeight="1" x14ac:dyDescent="0.3">
      <c r="A35" s="532"/>
      <c r="B35" s="533"/>
      <c r="C35" s="533"/>
      <c r="D35" s="534"/>
      <c r="E35" s="533"/>
      <c r="F35" s="533"/>
      <c r="G35" s="534"/>
      <c r="H35" s="533"/>
      <c r="I35" s="533"/>
      <c r="J35" s="534"/>
      <c r="K35" s="533"/>
      <c r="L35" s="533"/>
      <c r="M35" s="534"/>
      <c r="N35" s="533"/>
      <c r="O35" s="533"/>
      <c r="P35" s="534"/>
      <c r="Q35" s="533"/>
      <c r="R35" s="533"/>
      <c r="S35" s="534"/>
      <c r="T35" s="533"/>
      <c r="U35" s="533"/>
      <c r="V35" s="534"/>
      <c r="W35" s="533"/>
      <c r="X35" s="533"/>
      <c r="Y35" s="534"/>
      <c r="Z35" s="533"/>
      <c r="AA35" s="533"/>
      <c r="AB35" s="534"/>
      <c r="AC35" s="533"/>
      <c r="AD35" s="533"/>
      <c r="AE35" s="534"/>
      <c r="AF35" s="533"/>
      <c r="AG35" s="533"/>
      <c r="AH35" s="534"/>
      <c r="AI35" s="533"/>
      <c r="AJ35" s="533"/>
      <c r="AK35" s="535"/>
      <c r="AL35" s="533"/>
      <c r="AM35" s="533"/>
      <c r="AN35" s="535"/>
      <c r="AO35" s="535"/>
      <c r="AP35" s="535"/>
      <c r="AQ35" s="535"/>
      <c r="AR35" s="536"/>
      <c r="AS35" s="537"/>
      <c r="AT35" s="538"/>
    </row>
    <row r="36" spans="1:46" s="531" customFormat="1" ht="18.75" customHeight="1" x14ac:dyDescent="0.3">
      <c r="A36" s="506" t="s">
        <v>314</v>
      </c>
      <c r="B36" s="533"/>
      <c r="C36" s="533"/>
      <c r="D36" s="534"/>
      <c r="E36" s="533"/>
      <c r="F36" s="533"/>
      <c r="G36" s="534"/>
      <c r="H36" s="533"/>
      <c r="I36" s="533"/>
      <c r="J36" s="534"/>
      <c r="K36" s="533"/>
      <c r="L36" s="533"/>
      <c r="M36" s="534"/>
      <c r="N36" s="533"/>
      <c r="O36" s="533"/>
      <c r="P36" s="534"/>
      <c r="Q36" s="533"/>
      <c r="R36" s="533"/>
      <c r="S36" s="534"/>
      <c r="T36" s="533"/>
      <c r="U36" s="533"/>
      <c r="V36" s="534"/>
      <c r="W36" s="533"/>
      <c r="X36" s="533"/>
      <c r="Y36" s="534"/>
      <c r="Z36" s="533"/>
      <c r="AA36" s="533"/>
      <c r="AB36" s="534"/>
      <c r="AC36" s="533"/>
      <c r="AD36" s="533"/>
      <c r="AE36" s="534"/>
      <c r="AF36" s="533"/>
      <c r="AG36" s="533"/>
      <c r="AH36" s="534"/>
      <c r="AI36" s="533"/>
      <c r="AJ36" s="533"/>
      <c r="AK36" s="534"/>
      <c r="AL36" s="533"/>
      <c r="AM36" s="533"/>
      <c r="AN36" s="534"/>
      <c r="AO36" s="534"/>
      <c r="AP36" s="534"/>
      <c r="AQ36" s="534"/>
      <c r="AR36" s="539"/>
      <c r="AS36" s="540"/>
      <c r="AT36" s="541"/>
    </row>
    <row r="37" spans="1:46" s="543" customFormat="1" ht="18.75" customHeight="1" x14ac:dyDescent="0.35">
      <c r="A37" s="514" t="s">
        <v>315</v>
      </c>
      <c r="B37" s="517">
        <v>23.067</v>
      </c>
      <c r="C37" s="517">
        <v>6.4009999999999998</v>
      </c>
      <c r="D37" s="516">
        <f t="shared" ref="D37:D43" si="28">IF(B37=0, "    ---- ", IF(ABS(ROUND(100/B37*C37-100,1))&lt;999,ROUND(100/B37*C37-100,1),IF(ROUND(100/B37*C37-100,1)&gt;999,999,-999)))</f>
        <v>-72.3</v>
      </c>
      <c r="E37" s="517">
        <v>13</v>
      </c>
      <c r="F37" s="517"/>
      <c r="G37" s="516">
        <f t="shared" ref="G37:G44" si="29">IF(E37=0, "    ---- ", IF(ABS(ROUND(100/E37*F37-100,1))&lt;999,ROUND(100/E37*F37-100,1),IF(ROUND(100/E37*F37-100,1)&gt;999,999,-999)))</f>
        <v>-100</v>
      </c>
      <c r="H37" s="517">
        <v>838.32301487999996</v>
      </c>
      <c r="I37" s="517">
        <v>902.62692090999997</v>
      </c>
      <c r="J37" s="516">
        <f t="shared" ref="J37:J44" si="30">IF(H37=0, "    ---- ", IF(ABS(ROUND(100/H37*I37-100,1))&lt;999,ROUND(100/H37*I37-100,1),IF(ROUND(100/H37*I37-100,1)&gt;999,999,-999)))</f>
        <v>7.7</v>
      </c>
      <c r="K37" s="517">
        <v>24.944283530000003</v>
      </c>
      <c r="L37" s="517">
        <v>16.815604799999999</v>
      </c>
      <c r="M37" s="516">
        <f t="shared" ref="M37:M43" si="31">IF(K37=0, "    ---- ", IF(ABS(ROUND(100/K37*L37-100,1))&lt;999,ROUND(100/K37*L37-100,1),IF(ROUND(100/K37*L37-100,1)&gt;999,999,-999)))</f>
        <v>-32.6</v>
      </c>
      <c r="N37" s="517">
        <v>25.984999999999999</v>
      </c>
      <c r="O37" s="517">
        <v>27.719000000000001</v>
      </c>
      <c r="P37" s="516">
        <f t="shared" ref="P37:P43" si="32">IF(N37=0, "    ---- ", IF(ABS(ROUND(100/N37*O37-100,1))&lt;999,ROUND(100/N37*O37-100,1),IF(ROUND(100/N37*O37-100,1)&gt;999,999,-999)))</f>
        <v>6.7</v>
      </c>
      <c r="Q37" s="517">
        <v>18</v>
      </c>
      <c r="R37" s="517">
        <v>8.8000000000000007</v>
      </c>
      <c r="S37" s="516">
        <f t="shared" ref="S37:S44" si="33">IF(Q37=0, "    ---- ", IF(ABS(ROUND(100/Q37*R37-100,1))&lt;999,ROUND(100/Q37*R37-100,1),IF(ROUND(100/Q37*R37-100,1)&gt;999,999,-999)))</f>
        <v>-51.1</v>
      </c>
      <c r="T37" s="517">
        <v>1.61268414</v>
      </c>
      <c r="U37" s="517">
        <v>0.74299999999999999</v>
      </c>
      <c r="V37" s="516">
        <f t="shared" ref="V37:V43" si="34">IF(T37=0, "    ---- ", IF(ABS(ROUND(100/T37*U37-100,1))&lt;999,ROUND(100/T37*U37-100,1),IF(ROUND(100/T37*U37-100,1)&gt;999,999,-999)))</f>
        <v>-53.9</v>
      </c>
      <c r="W37" s="517">
        <v>1456.5574816800001</v>
      </c>
      <c r="X37" s="441">
        <v>1291.7368135300001</v>
      </c>
      <c r="Y37" s="516">
        <f t="shared" ref="Y37:Y44" si="35">IF(W37=0, "    ---- ", IF(ABS(ROUND(100/W37*X37-100,1))&lt;999,ROUND(100/W37*X37-100,1),IF(ROUND(100/W37*X37-100,1)&gt;999,999,-999)))</f>
        <v>-11.3</v>
      </c>
      <c r="Z37" s="517">
        <v>216.44</v>
      </c>
      <c r="AA37" s="517">
        <v>14</v>
      </c>
      <c r="AB37" s="516">
        <f t="shared" ref="AB37:AB44" si="36">IF(Z37=0, "    ---- ", IF(ABS(ROUND(100/Z37*AA37-100,1))&lt;999,ROUND(100/Z37*AA37-100,1),IF(ROUND(100/Z37*AA37-100,1)&gt;999,999,-999)))</f>
        <v>-93.5</v>
      </c>
      <c r="AC37" s="517">
        <v>578</v>
      </c>
      <c r="AD37" s="517">
        <v>664</v>
      </c>
      <c r="AE37" s="516">
        <f t="shared" ref="AE37:AE43" si="37">IF(AC37=0, "    ---- ", IF(ABS(ROUND(100/AC37*AD37-100,1))&lt;999,ROUND(100/AC37*AD37-100,1),IF(ROUND(100/AC37*AD37-100,1)&gt;999,999,-999)))</f>
        <v>14.9</v>
      </c>
      <c r="AF37" s="517">
        <v>4.4722400000000002E-2</v>
      </c>
      <c r="AG37" s="517">
        <v>0.39400000000000002</v>
      </c>
      <c r="AH37" s="516"/>
      <c r="AI37" s="517">
        <v>237.64465351000004</v>
      </c>
      <c r="AJ37" s="517">
        <v>405.86493707999995</v>
      </c>
      <c r="AK37" s="516">
        <f t="shared" ref="AK37:AK44" si="38">IF(AI37=0, "    ---- ", IF(ABS(ROUND(100/AI37*AJ37-100,1))&lt;999,ROUND(100/AI37*AJ37-100,1),IF(ROUND(100/AI37*AJ37-100,1)&gt;999,999,-999)))</f>
        <v>70.8</v>
      </c>
      <c r="AL37" s="517">
        <v>989</v>
      </c>
      <c r="AM37" s="517">
        <v>2220</v>
      </c>
      <c r="AN37" s="516">
        <f t="shared" ref="AN37:AN44" si="39">IF(AL37=0, "    ---- ", IF(ABS(ROUND(100/AL37*AM37-100,1))&lt;999,ROUND(100/AL37*AM37-100,1),IF(ROUND(100/AL37*AM37-100,1)&gt;999,999,-999)))</f>
        <v>124.5</v>
      </c>
      <c r="AO37" s="516">
        <f t="shared" ref="AO37:AO45" si="40">B37+H37+K37+N37+Q37+W37+E37+Z37+AC37+AI37+AL37</f>
        <v>4420.9614335999995</v>
      </c>
      <c r="AP37" s="516">
        <f t="shared" ref="AP37:AP45" si="41">C37+I37+L37+O37+R37+X37+F37+AA37+AD37+AJ37+AM37</f>
        <v>5557.96427632</v>
      </c>
      <c r="AQ37" s="516">
        <f t="shared" si="13"/>
        <v>25.7</v>
      </c>
      <c r="AR37" s="519"/>
      <c r="AS37" s="542"/>
      <c r="AT37" s="521"/>
    </row>
    <row r="38" spans="1:46" s="543" customFormat="1" ht="18.75" customHeight="1" x14ac:dyDescent="0.35">
      <c r="A38" s="514" t="s">
        <v>316</v>
      </c>
      <c r="B38" s="517"/>
      <c r="C38" s="517"/>
      <c r="D38" s="516"/>
      <c r="E38" s="517">
        <v>5.4</v>
      </c>
      <c r="F38" s="517"/>
      <c r="G38" s="516">
        <f t="shared" si="29"/>
        <v>-100</v>
      </c>
      <c r="H38" s="517">
        <v>1278.6659534599999</v>
      </c>
      <c r="I38" s="517">
        <v>81.046770069999994</v>
      </c>
      <c r="J38" s="516">
        <f t="shared" si="30"/>
        <v>-93.7</v>
      </c>
      <c r="K38" s="517"/>
      <c r="L38" s="517"/>
      <c r="M38" s="516" t="str">
        <f t="shared" si="31"/>
        <v xml:space="preserve">    ---- </v>
      </c>
      <c r="N38" s="517">
        <v>5.3999999999999999E-2</v>
      </c>
      <c r="O38" s="517">
        <v>5.3999999999999999E-2</v>
      </c>
      <c r="P38" s="516">
        <f t="shared" si="32"/>
        <v>0</v>
      </c>
      <c r="Q38" s="517"/>
      <c r="R38" s="517"/>
      <c r="S38" s="516" t="str">
        <f t="shared" si="33"/>
        <v xml:space="preserve">    ---- </v>
      </c>
      <c r="T38" s="517"/>
      <c r="U38" s="517"/>
      <c r="V38" s="516"/>
      <c r="W38" s="517">
        <v>18.166457999999999</v>
      </c>
      <c r="X38" s="441">
        <v>9.7113466199999987</v>
      </c>
      <c r="Y38" s="516">
        <f t="shared" si="35"/>
        <v>-46.5</v>
      </c>
      <c r="Z38" s="517">
        <v>2</v>
      </c>
      <c r="AA38" s="517">
        <v>0</v>
      </c>
      <c r="AB38" s="516">
        <f t="shared" si="36"/>
        <v>-100</v>
      </c>
      <c r="AC38" s="517">
        <v>7</v>
      </c>
      <c r="AD38" s="517">
        <v>6</v>
      </c>
      <c r="AE38" s="516">
        <f t="shared" si="37"/>
        <v>-14.3</v>
      </c>
      <c r="AF38" s="517"/>
      <c r="AG38" s="517"/>
      <c r="AH38" s="516"/>
      <c r="AI38" s="517">
        <v>22.634259189999998</v>
      </c>
      <c r="AJ38" s="517">
        <v>3.0159212900000001</v>
      </c>
      <c r="AK38" s="516">
        <f t="shared" si="38"/>
        <v>-86.7</v>
      </c>
      <c r="AL38" s="517">
        <v>4</v>
      </c>
      <c r="AM38" s="517">
        <v>12.1</v>
      </c>
      <c r="AN38" s="516">
        <f t="shared" si="39"/>
        <v>202.5</v>
      </c>
      <c r="AO38" s="516">
        <f t="shared" si="40"/>
        <v>1337.9206706499999</v>
      </c>
      <c r="AP38" s="516">
        <f t="shared" si="41"/>
        <v>111.92803797999998</v>
      </c>
      <c r="AQ38" s="516">
        <f t="shared" si="13"/>
        <v>-91.6</v>
      </c>
      <c r="AR38" s="516"/>
      <c r="AS38" s="544"/>
      <c r="AT38" s="516"/>
    </row>
    <row r="39" spans="1:46" s="543" customFormat="1" ht="18.75" customHeight="1" x14ac:dyDescent="0.35">
      <c r="A39" s="514" t="s">
        <v>317</v>
      </c>
      <c r="B39" s="517"/>
      <c r="C39" s="517"/>
      <c r="D39" s="516"/>
      <c r="E39" s="517">
        <v>-11.7</v>
      </c>
      <c r="F39" s="517"/>
      <c r="G39" s="516">
        <f t="shared" si="29"/>
        <v>-100</v>
      </c>
      <c r="H39" s="517">
        <v>-359.39391899999998</v>
      </c>
      <c r="I39" s="517">
        <v>-475.76172188999999</v>
      </c>
      <c r="J39" s="516">
        <f t="shared" si="30"/>
        <v>32.4</v>
      </c>
      <c r="K39" s="517">
        <v>-13.355364210000003</v>
      </c>
      <c r="L39" s="517">
        <v>-19.614094139999999</v>
      </c>
      <c r="M39" s="516">
        <f t="shared" si="31"/>
        <v>46.9</v>
      </c>
      <c r="N39" s="517"/>
      <c r="O39" s="517">
        <v>-7.6</v>
      </c>
      <c r="P39" s="516" t="str">
        <f t="shared" si="32"/>
        <v xml:space="preserve">    ---- </v>
      </c>
      <c r="Q39" s="517">
        <v>-11.9</v>
      </c>
      <c r="R39" s="517">
        <v>-8.3000000000000007</v>
      </c>
      <c r="S39" s="516">
        <f t="shared" si="33"/>
        <v>-30.3</v>
      </c>
      <c r="T39" s="517"/>
      <c r="U39" s="517"/>
      <c r="V39" s="516"/>
      <c r="W39" s="517">
        <v>-712.37046499999997</v>
      </c>
      <c r="X39" s="441">
        <v>-271.80655637000001</v>
      </c>
      <c r="Y39" s="516">
        <f t="shared" si="35"/>
        <v>-61.8</v>
      </c>
      <c r="Z39" s="517">
        <v>-112</v>
      </c>
      <c r="AA39" s="517">
        <v>-85</v>
      </c>
      <c r="AB39" s="516">
        <f t="shared" si="36"/>
        <v>-24.1</v>
      </c>
      <c r="AC39" s="517">
        <v>-100</v>
      </c>
      <c r="AD39" s="517">
        <v>-128</v>
      </c>
      <c r="AE39" s="516">
        <f t="shared" si="37"/>
        <v>28</v>
      </c>
      <c r="AF39" s="517"/>
      <c r="AG39" s="517"/>
      <c r="AH39" s="516"/>
      <c r="AI39" s="517">
        <v>-52.951943430000007</v>
      </c>
      <c r="AJ39" s="517">
        <v>-62.366978431100002</v>
      </c>
      <c r="AK39" s="516">
        <f t="shared" si="38"/>
        <v>17.8</v>
      </c>
      <c r="AL39" s="517">
        <v>-411</v>
      </c>
      <c r="AM39" s="517">
        <v>-500.5</v>
      </c>
      <c r="AN39" s="516">
        <f t="shared" si="39"/>
        <v>21.8</v>
      </c>
      <c r="AO39" s="516">
        <f t="shared" si="40"/>
        <v>-1784.6716916400001</v>
      </c>
      <c r="AP39" s="516">
        <f t="shared" si="41"/>
        <v>-1558.9493508311</v>
      </c>
      <c r="AQ39" s="516">
        <f t="shared" si="13"/>
        <v>-12.6</v>
      </c>
      <c r="AR39" s="516"/>
      <c r="AS39" s="544"/>
      <c r="AT39" s="516"/>
    </row>
    <row r="40" spans="1:46" s="546" customFormat="1" ht="18.75" customHeight="1" x14ac:dyDescent="0.3">
      <c r="A40" s="532" t="s">
        <v>318</v>
      </c>
      <c r="B40" s="533">
        <f>SUM(B37:B39)</f>
        <v>23.067</v>
      </c>
      <c r="C40" s="533">
        <f>SUM(C37:C39)</f>
        <v>6.4009999999999998</v>
      </c>
      <c r="D40" s="534">
        <f t="shared" si="28"/>
        <v>-72.3</v>
      </c>
      <c r="E40" s="533">
        <f>SUM(E37:E39)</f>
        <v>6.6999999999999993</v>
      </c>
      <c r="F40" s="533"/>
      <c r="G40" s="534">
        <f t="shared" si="29"/>
        <v>-100</v>
      </c>
      <c r="H40" s="533">
        <f>SUM(H37:H39)</f>
        <v>1757.5950493399996</v>
      </c>
      <c r="I40" s="533">
        <f>SUM(I37:I39)</f>
        <v>507.91196908999996</v>
      </c>
      <c r="J40" s="534">
        <f t="shared" si="30"/>
        <v>-71.099999999999994</v>
      </c>
      <c r="K40" s="533">
        <f>SUM(K37:K39)</f>
        <v>11.58891932</v>
      </c>
      <c r="L40" s="533">
        <f>SUM(L37:L39)</f>
        <v>-2.7984893399999997</v>
      </c>
      <c r="M40" s="534">
        <f t="shared" si="31"/>
        <v>-124.1</v>
      </c>
      <c r="N40" s="533">
        <f>SUM(N37:N39)</f>
        <v>26.038999999999998</v>
      </c>
      <c r="O40" s="533">
        <f>SUM(O37:O39)</f>
        <v>20.173000000000002</v>
      </c>
      <c r="P40" s="534">
        <f t="shared" si="32"/>
        <v>-22.5</v>
      </c>
      <c r="Q40" s="533">
        <f>SUM(Q37:Q39)</f>
        <v>6.1</v>
      </c>
      <c r="R40" s="533">
        <f>SUM(R37:R39)</f>
        <v>0.5</v>
      </c>
      <c r="S40" s="534">
        <f t="shared" si="33"/>
        <v>-91.8</v>
      </c>
      <c r="T40" s="533">
        <f>SUM(T37:T39)</f>
        <v>1.61268414</v>
      </c>
      <c r="U40" s="533">
        <f>SUM(U37:U39)</f>
        <v>0.74299999999999999</v>
      </c>
      <c r="V40" s="534">
        <f t="shared" si="34"/>
        <v>-53.9</v>
      </c>
      <c r="W40" s="533">
        <v>762.35347468000009</v>
      </c>
      <c r="X40" s="909">
        <v>1029.6416037800002</v>
      </c>
      <c r="Y40" s="534">
        <f t="shared" si="35"/>
        <v>35.1</v>
      </c>
      <c r="Z40" s="533">
        <f>SUM(Z37:Z39)</f>
        <v>106.44</v>
      </c>
      <c r="AA40" s="533">
        <f>SUM(AA37:AA39)</f>
        <v>-71</v>
      </c>
      <c r="AB40" s="534">
        <f t="shared" si="36"/>
        <v>-166.7</v>
      </c>
      <c r="AC40" s="533">
        <f>SUM(AC37:AC39)</f>
        <v>485</v>
      </c>
      <c r="AD40" s="533">
        <f>SUM(AD37:AD39)</f>
        <v>542</v>
      </c>
      <c r="AE40" s="534">
        <f t="shared" si="37"/>
        <v>11.8</v>
      </c>
      <c r="AF40" s="533">
        <f>SUM(AF37:AF39)</f>
        <v>4.4722400000000002E-2</v>
      </c>
      <c r="AG40" s="533">
        <f>SUM(AG37:AG39)</f>
        <v>0.39400000000000002</v>
      </c>
      <c r="AH40" s="534"/>
      <c r="AI40" s="533">
        <f>SUM(AI37:AI39)</f>
        <v>207.32696927000003</v>
      </c>
      <c r="AJ40" s="533">
        <f>SUM(AJ37:AJ39)</f>
        <v>346.51387993889995</v>
      </c>
      <c r="AK40" s="534">
        <f t="shared" si="38"/>
        <v>67.099999999999994</v>
      </c>
      <c r="AL40" s="533">
        <f>SUM(AL37:AL39)</f>
        <v>582</v>
      </c>
      <c r="AM40" s="533">
        <f>SUM(AM37:AM39)</f>
        <v>1731.6</v>
      </c>
      <c r="AN40" s="534">
        <f t="shared" si="39"/>
        <v>197.5</v>
      </c>
      <c r="AO40" s="534">
        <f t="shared" si="40"/>
        <v>3974.2104126099994</v>
      </c>
      <c r="AP40" s="534">
        <f t="shared" si="41"/>
        <v>4110.9429634689004</v>
      </c>
      <c r="AQ40" s="534">
        <f t="shared" si="13"/>
        <v>3.4</v>
      </c>
      <c r="AR40" s="534"/>
      <c r="AS40" s="545"/>
      <c r="AT40" s="534"/>
    </row>
    <row r="41" spans="1:46" s="546" customFormat="1" ht="18.75" customHeight="1" x14ac:dyDescent="0.3">
      <c r="A41" s="532" t="s">
        <v>319</v>
      </c>
      <c r="B41" s="533">
        <f>B34+B40</f>
        <v>127.28600000000071</v>
      </c>
      <c r="C41" s="533">
        <f>C34+C40</f>
        <v>151.35999999999777</v>
      </c>
      <c r="D41" s="534">
        <f t="shared" si="28"/>
        <v>18.899999999999999</v>
      </c>
      <c r="E41" s="533">
        <f>E34+E40</f>
        <v>-52.900000000000091</v>
      </c>
      <c r="F41" s="533"/>
      <c r="G41" s="534">
        <f t="shared" si="29"/>
        <v>-100</v>
      </c>
      <c r="H41" s="533">
        <f>H34+H40</f>
        <v>2789.134738190005</v>
      </c>
      <c r="I41" s="533">
        <f>I34+I40</f>
        <v>1521.1518355099965</v>
      </c>
      <c r="J41" s="534">
        <f t="shared" si="30"/>
        <v>-45.5</v>
      </c>
      <c r="K41" s="533">
        <f>K34+K40</f>
        <v>193.33552219999999</v>
      </c>
      <c r="L41" s="533">
        <f>L34+L40</f>
        <v>870.38568350000071</v>
      </c>
      <c r="M41" s="534">
        <f t="shared" si="31"/>
        <v>350.2</v>
      </c>
      <c r="N41" s="533">
        <f>N34+N40</f>
        <v>355.36100000000044</v>
      </c>
      <c r="O41" s="533">
        <f>O34+O40</f>
        <v>105.32975200000007</v>
      </c>
      <c r="P41" s="534">
        <f t="shared" si="32"/>
        <v>-70.400000000000006</v>
      </c>
      <c r="Q41" s="533">
        <f>Q34+Q40</f>
        <v>166.69999999999871</v>
      </c>
      <c r="R41" s="533">
        <f>R34+R40</f>
        <v>213.70000000000005</v>
      </c>
      <c r="S41" s="534">
        <f t="shared" si="33"/>
        <v>28.2</v>
      </c>
      <c r="T41" s="533">
        <f>T34+T40</f>
        <v>14.125079009999999</v>
      </c>
      <c r="U41" s="533">
        <f>U34+U40</f>
        <v>13.541</v>
      </c>
      <c r="V41" s="534">
        <f t="shared" si="34"/>
        <v>-4.0999999999999996</v>
      </c>
      <c r="W41" s="533">
        <v>1288.700341420004</v>
      </c>
      <c r="X41" s="909">
        <v>287.93260585999724</v>
      </c>
      <c r="Y41" s="534">
        <f t="shared" si="35"/>
        <v>-77.7</v>
      </c>
      <c r="Z41" s="533">
        <f>Z34+Z40</f>
        <v>770.08000000000084</v>
      </c>
      <c r="AA41" s="533">
        <f>AA34+AA40</f>
        <v>884</v>
      </c>
      <c r="AB41" s="534">
        <f t="shared" si="36"/>
        <v>14.8</v>
      </c>
      <c r="AC41" s="533">
        <f>AC34+AC40</f>
        <v>1128</v>
      </c>
      <c r="AD41" s="533">
        <f>AD34+AD40</f>
        <v>1211</v>
      </c>
      <c r="AE41" s="534">
        <f t="shared" si="37"/>
        <v>7.4</v>
      </c>
      <c r="AF41" s="533">
        <f>AF34+AF40</f>
        <v>16.09513930999994</v>
      </c>
      <c r="AG41" s="533">
        <f>AG34+AG40</f>
        <v>17.291000000000075</v>
      </c>
      <c r="AH41" s="534">
        <f>IF(AF41=0, "    ---- ", IF(ABS(ROUND(100/AF41*AG41-100,1))&lt;999,ROUND(100/AF41*AG41-100,1),IF(ROUND(100/AF41*AG41-100,1)&gt;999,999,-999)))</f>
        <v>7.4</v>
      </c>
      <c r="AI41" s="533">
        <f>AI34+AI40</f>
        <v>298.20666884000116</v>
      </c>
      <c r="AJ41" s="533">
        <f>AJ34+AJ40</f>
        <v>893.41776835998871</v>
      </c>
      <c r="AK41" s="534">
        <f t="shared" si="38"/>
        <v>199.6</v>
      </c>
      <c r="AL41" s="533">
        <f>AL34+AL40</f>
        <v>1390</v>
      </c>
      <c r="AM41" s="533">
        <f>AM34+AM40</f>
        <v>3148.6999999999962</v>
      </c>
      <c r="AN41" s="534">
        <f t="shared" si="39"/>
        <v>126.5</v>
      </c>
      <c r="AO41" s="534">
        <f t="shared" si="40"/>
        <v>8453.9042706500113</v>
      </c>
      <c r="AP41" s="534">
        <f t="shared" si="41"/>
        <v>9286.9776452299775</v>
      </c>
      <c r="AQ41" s="534">
        <f t="shared" si="13"/>
        <v>9.9</v>
      </c>
      <c r="AR41" s="534"/>
      <c r="AS41" s="545"/>
      <c r="AT41" s="534"/>
    </row>
    <row r="42" spans="1:46" s="543" customFormat="1" ht="18.75" customHeight="1" x14ac:dyDescent="0.35">
      <c r="A42" s="514" t="s">
        <v>320</v>
      </c>
      <c r="B42" s="517">
        <v>-31.949000000000002</v>
      </c>
      <c r="C42" s="517">
        <v>-37.646999999999998</v>
      </c>
      <c r="D42" s="516">
        <f t="shared" si="28"/>
        <v>17.8</v>
      </c>
      <c r="E42" s="517">
        <v>71</v>
      </c>
      <c r="F42" s="517"/>
      <c r="G42" s="516"/>
      <c r="H42" s="517">
        <v>-326.64815800000002</v>
      </c>
      <c r="I42" s="517">
        <v>-596.31950700000004</v>
      </c>
      <c r="J42" s="516">
        <f t="shared" si="30"/>
        <v>82.6</v>
      </c>
      <c r="K42" s="517">
        <v>-79.584699299999997</v>
      </c>
      <c r="L42" s="517">
        <v>-249.49672551</v>
      </c>
      <c r="M42" s="516">
        <f t="shared" si="31"/>
        <v>213.5</v>
      </c>
      <c r="N42" s="517">
        <v>-86.182000000000002</v>
      </c>
      <c r="O42" s="517">
        <v>-22.620999999999999</v>
      </c>
      <c r="P42" s="516">
        <f t="shared" si="32"/>
        <v>-73.8</v>
      </c>
      <c r="Q42" s="517">
        <v>-40.799999999999997</v>
      </c>
      <c r="R42" s="517">
        <v>-51</v>
      </c>
      <c r="S42" s="516">
        <f t="shared" si="33"/>
        <v>25</v>
      </c>
      <c r="T42" s="517">
        <v>-3.2009020000000001</v>
      </c>
      <c r="U42" s="517">
        <v>-3.395</v>
      </c>
      <c r="V42" s="516">
        <f t="shared" si="34"/>
        <v>6.1</v>
      </c>
      <c r="W42" s="517">
        <v>-207.41131247500002</v>
      </c>
      <c r="X42" s="441">
        <v>115.303496525</v>
      </c>
      <c r="Y42" s="516"/>
      <c r="Z42" s="517">
        <v>-146</v>
      </c>
      <c r="AA42" s="517">
        <v>-211</v>
      </c>
      <c r="AB42" s="516">
        <f t="shared" si="36"/>
        <v>44.5</v>
      </c>
      <c r="AC42" s="517">
        <v>-203</v>
      </c>
      <c r="AD42" s="517">
        <v>-333</v>
      </c>
      <c r="AE42" s="516">
        <f t="shared" si="37"/>
        <v>64</v>
      </c>
      <c r="AF42" s="517">
        <v>-3.6728070000000002</v>
      </c>
      <c r="AG42" s="517">
        <v>-3.8039999999999998</v>
      </c>
      <c r="AH42" s="516"/>
      <c r="AI42" s="517">
        <v>-64.485875950000008</v>
      </c>
      <c r="AJ42" s="517">
        <v>-115.60053499999999</v>
      </c>
      <c r="AK42" s="516">
        <f t="shared" si="38"/>
        <v>79.3</v>
      </c>
      <c r="AL42" s="517">
        <v>369</v>
      </c>
      <c r="AM42" s="517">
        <v>-503.7</v>
      </c>
      <c r="AN42" s="516">
        <f t="shared" si="39"/>
        <v>-236.5</v>
      </c>
      <c r="AO42" s="516">
        <f t="shared" si="40"/>
        <v>-746.06104572500021</v>
      </c>
      <c r="AP42" s="516">
        <f t="shared" si="41"/>
        <v>-2005.0812709850002</v>
      </c>
      <c r="AQ42" s="516">
        <f t="shared" si="13"/>
        <v>168.8</v>
      </c>
      <c r="AR42" s="516"/>
      <c r="AS42" s="544"/>
      <c r="AT42" s="516"/>
    </row>
    <row r="43" spans="1:46" s="546" customFormat="1" ht="18.75" customHeight="1" x14ac:dyDescent="0.3">
      <c r="A43" s="532" t="s">
        <v>321</v>
      </c>
      <c r="B43" s="533">
        <f>B41+B42</f>
        <v>95.337000000000714</v>
      </c>
      <c r="C43" s="533">
        <f>C41+C42</f>
        <v>113.71299999999778</v>
      </c>
      <c r="D43" s="534">
        <f t="shared" si="28"/>
        <v>19.3</v>
      </c>
      <c r="E43" s="533">
        <f>E41+E42</f>
        <v>18.099999999999909</v>
      </c>
      <c r="F43" s="533"/>
      <c r="G43" s="534">
        <f t="shared" si="29"/>
        <v>-100</v>
      </c>
      <c r="H43" s="533">
        <f>H41+H42</f>
        <v>2462.486580190005</v>
      </c>
      <c r="I43" s="533">
        <f>I41+I42</f>
        <v>924.8323285099965</v>
      </c>
      <c r="J43" s="534">
        <f t="shared" si="30"/>
        <v>-62.4</v>
      </c>
      <c r="K43" s="533">
        <f>K41+K42</f>
        <v>113.75082289999999</v>
      </c>
      <c r="L43" s="533">
        <f>L41+L42</f>
        <v>620.88895799000068</v>
      </c>
      <c r="M43" s="534">
        <f t="shared" si="31"/>
        <v>445.8</v>
      </c>
      <c r="N43" s="533">
        <f>N41+N42</f>
        <v>269.17900000000043</v>
      </c>
      <c r="O43" s="533">
        <f>O41+O42</f>
        <v>82.708752000000075</v>
      </c>
      <c r="P43" s="534">
        <f t="shared" si="32"/>
        <v>-69.3</v>
      </c>
      <c r="Q43" s="533">
        <f>Q41+Q42</f>
        <v>125.89999999999871</v>
      </c>
      <c r="R43" s="533">
        <f>R41+R42</f>
        <v>162.70000000000005</v>
      </c>
      <c r="S43" s="534">
        <f t="shared" si="33"/>
        <v>29.2</v>
      </c>
      <c r="T43" s="533">
        <f>T41+T42</f>
        <v>10.924177009999998</v>
      </c>
      <c r="U43" s="533">
        <f>U41+U42</f>
        <v>10.146000000000001</v>
      </c>
      <c r="V43" s="534">
        <f t="shared" si="34"/>
        <v>-7.1</v>
      </c>
      <c r="W43" s="533">
        <v>1081.289028945004</v>
      </c>
      <c r="X43" s="909">
        <v>403.23610238499725</v>
      </c>
      <c r="Y43" s="534">
        <f t="shared" si="35"/>
        <v>-62.7</v>
      </c>
      <c r="Z43" s="533">
        <f>Z41+Z42</f>
        <v>624.08000000000084</v>
      </c>
      <c r="AA43" s="533">
        <f>AA41+AA42</f>
        <v>673</v>
      </c>
      <c r="AB43" s="534">
        <f t="shared" si="36"/>
        <v>7.8</v>
      </c>
      <c r="AC43" s="533">
        <f>AC41+AC42</f>
        <v>925</v>
      </c>
      <c r="AD43" s="533">
        <f>AD41+AD42</f>
        <v>878</v>
      </c>
      <c r="AE43" s="534">
        <f t="shared" si="37"/>
        <v>-5.0999999999999996</v>
      </c>
      <c r="AF43" s="533">
        <f>AF41+AF42</f>
        <v>12.422332309999939</v>
      </c>
      <c r="AG43" s="533">
        <f>AG41+AG42</f>
        <v>13.487000000000075</v>
      </c>
      <c r="AH43" s="534">
        <f>IF(AF43=0, "    ---- ", IF(ABS(ROUND(100/AF43*AG43-100,1))&lt;999,ROUND(100/AF43*AG43-100,1),IF(ROUND(100/AF43*AG43-100,1)&gt;999,999,-999)))</f>
        <v>8.6</v>
      </c>
      <c r="AI43" s="533">
        <f>AI41+AI42</f>
        <v>233.72079289000115</v>
      </c>
      <c r="AJ43" s="533">
        <f>AJ41+AJ42</f>
        <v>777.81723335998868</v>
      </c>
      <c r="AK43" s="534">
        <f t="shared" si="38"/>
        <v>232.8</v>
      </c>
      <c r="AL43" s="533">
        <f>AL41+AL42</f>
        <v>1759</v>
      </c>
      <c r="AM43" s="533">
        <f>AM41+AM42</f>
        <v>2644.9999999999964</v>
      </c>
      <c r="AN43" s="534">
        <f t="shared" si="39"/>
        <v>50.4</v>
      </c>
      <c r="AO43" s="534">
        <f t="shared" si="40"/>
        <v>7707.8432249250109</v>
      </c>
      <c r="AP43" s="534">
        <f t="shared" si="41"/>
        <v>7281.8963742449778</v>
      </c>
      <c r="AQ43" s="534">
        <f t="shared" si="13"/>
        <v>-5.5</v>
      </c>
      <c r="AR43" s="534"/>
      <c r="AS43" s="545"/>
      <c r="AT43" s="534"/>
    </row>
    <row r="44" spans="1:46" s="543" customFormat="1" ht="18.75" customHeight="1" x14ac:dyDescent="0.35">
      <c r="A44" s="514" t="s">
        <v>322</v>
      </c>
      <c r="B44" s="517"/>
      <c r="C44" s="517"/>
      <c r="D44" s="516"/>
      <c r="E44" s="517">
        <v>0.2</v>
      </c>
      <c r="F44" s="517"/>
      <c r="G44" s="516">
        <f t="shared" si="29"/>
        <v>-100</v>
      </c>
      <c r="H44" s="517">
        <v>-2.8548374900000004</v>
      </c>
      <c r="I44" s="517"/>
      <c r="J44" s="516">
        <f t="shared" si="30"/>
        <v>-100</v>
      </c>
      <c r="K44" s="517"/>
      <c r="L44" s="517"/>
      <c r="M44" s="516"/>
      <c r="N44" s="517">
        <v>-0.78300000000000003</v>
      </c>
      <c r="O44" s="517">
        <v>3.5999999999999997E-2</v>
      </c>
      <c r="P44" s="516"/>
      <c r="Q44" s="517">
        <v>-1.9</v>
      </c>
      <c r="R44" s="517">
        <v>-0.7</v>
      </c>
      <c r="S44" s="516">
        <f t="shared" si="33"/>
        <v>-63.2</v>
      </c>
      <c r="T44" s="517"/>
      <c r="U44" s="517"/>
      <c r="V44" s="516"/>
      <c r="W44" s="517">
        <v>-53.603887275000005</v>
      </c>
      <c r="X44" s="441">
        <v>65.844472175000007</v>
      </c>
      <c r="Y44" s="516">
        <f t="shared" si="35"/>
        <v>-222.8</v>
      </c>
      <c r="Z44" s="517">
        <v>18</v>
      </c>
      <c r="AA44" s="517">
        <v>12</v>
      </c>
      <c r="AB44" s="516">
        <f t="shared" si="36"/>
        <v>-33.299999999999997</v>
      </c>
      <c r="AC44" s="517">
        <v>-6</v>
      </c>
      <c r="AD44" s="517"/>
      <c r="AE44" s="516"/>
      <c r="AF44" s="517"/>
      <c r="AG44" s="517"/>
      <c r="AH44" s="516"/>
      <c r="AI44" s="517"/>
      <c r="AJ44" s="517">
        <v>0.150949</v>
      </c>
      <c r="AK44" s="516" t="str">
        <f t="shared" si="38"/>
        <v xml:space="preserve">    ---- </v>
      </c>
      <c r="AL44" s="517">
        <f>5-32</f>
        <v>-27</v>
      </c>
      <c r="AM44" s="517">
        <f>15.9-56.2</f>
        <v>-40.300000000000004</v>
      </c>
      <c r="AN44" s="516">
        <f t="shared" si="39"/>
        <v>49.3</v>
      </c>
      <c r="AO44" s="516">
        <f t="shared" si="40"/>
        <v>-73.941724765000004</v>
      </c>
      <c r="AP44" s="516">
        <f t="shared" si="41"/>
        <v>37.031421174999998</v>
      </c>
      <c r="AQ44" s="516">
        <f t="shared" si="13"/>
        <v>-150.1</v>
      </c>
      <c r="AR44" s="516"/>
      <c r="AS44" s="544"/>
      <c r="AT44" s="516"/>
    </row>
    <row r="45" spans="1:46" s="546" customFormat="1" ht="18.75" customHeight="1" x14ac:dyDescent="0.3">
      <c r="A45" s="529" t="s">
        <v>323</v>
      </c>
      <c r="B45" s="547">
        <f>B43+B44</f>
        <v>95.337000000000714</v>
      </c>
      <c r="C45" s="547">
        <f>C43+C44</f>
        <v>113.71299999999778</v>
      </c>
      <c r="D45" s="530">
        <f>IF(B45=0, "    ---- ", IF(ABS(ROUND(100/B45*C45-100,1))&lt;999,ROUND(100/B45*C45-100,1),IF(ROUND(100/B45*C45-100,1)&gt;999,999,-999)))</f>
        <v>19.3</v>
      </c>
      <c r="E45" s="547">
        <f>E43+E44</f>
        <v>18.299999999999908</v>
      </c>
      <c r="F45" s="547"/>
      <c r="G45" s="530">
        <f>IF(E45=0, "    ---- ", IF(ABS(ROUND(100/E45*F45-100,1))&lt;999,ROUND(100/E45*F45-100,1),IF(ROUND(100/E45*F45-100,1)&gt;999,999,-999)))</f>
        <v>-100</v>
      </c>
      <c r="H45" s="547">
        <f>H43+H44</f>
        <v>2459.6317427000049</v>
      </c>
      <c r="I45" s="547">
        <f>I43+I44</f>
        <v>924.8323285099965</v>
      </c>
      <c r="J45" s="530">
        <f>IF(H45=0, "    ---- ", IF(ABS(ROUND(100/H45*I45-100,1))&lt;999,ROUND(100/H45*I45-100,1),IF(ROUND(100/H45*I45-100,1)&gt;999,999,-999)))</f>
        <v>-62.4</v>
      </c>
      <c r="K45" s="547">
        <f>K43+K44</f>
        <v>113.75082289999999</v>
      </c>
      <c r="L45" s="547">
        <f>L43+L44</f>
        <v>620.88895799000068</v>
      </c>
      <c r="M45" s="530">
        <f>IF(K45=0, "    ---- ", IF(ABS(ROUND(100/K45*L45-100,1))&lt;999,ROUND(100/K45*L45-100,1),IF(ROUND(100/K45*L45-100,1)&gt;999,999,-999)))</f>
        <v>445.8</v>
      </c>
      <c r="N45" s="547">
        <f>N43+N44</f>
        <v>268.39600000000041</v>
      </c>
      <c r="O45" s="547">
        <f>O43+O44</f>
        <v>82.744752000000076</v>
      </c>
      <c r="P45" s="530">
        <f>IF(N45=0, "    ---- ", IF(ABS(ROUND(100/N45*O45-100,1))&lt;999,ROUND(100/N45*O45-100,1),IF(ROUND(100/N45*O45-100,1)&gt;999,999,-999)))</f>
        <v>-69.2</v>
      </c>
      <c r="Q45" s="547">
        <f>Q43+Q44</f>
        <v>123.99999999999871</v>
      </c>
      <c r="R45" s="547">
        <f>R43+R44</f>
        <v>162.00000000000006</v>
      </c>
      <c r="S45" s="530">
        <f>IF(Q45=0, "    ---- ", IF(ABS(ROUND(100/Q45*R45-100,1))&lt;999,ROUND(100/Q45*R45-100,1),IF(ROUND(100/Q45*R45-100,1)&gt;999,999,-999)))</f>
        <v>30.6</v>
      </c>
      <c r="T45" s="547">
        <f>T43+T44</f>
        <v>10.924177009999998</v>
      </c>
      <c r="U45" s="547">
        <f>U43+U44</f>
        <v>10.146000000000001</v>
      </c>
      <c r="V45" s="530">
        <f>IF(T45=0, "    ---- ", IF(ABS(ROUND(100/T45*U45-100,1))&lt;999,ROUND(100/T45*U45-100,1),IF(ROUND(100/T45*U45-100,1)&gt;999,999,-999)))</f>
        <v>-7.1</v>
      </c>
      <c r="W45" s="547">
        <v>1027.685141670004</v>
      </c>
      <c r="X45" s="910">
        <v>469.08057455999727</v>
      </c>
      <c r="Y45" s="530">
        <f>IF(W45=0, "    ---- ", IF(ABS(ROUND(100/W45*X45-100,1))&lt;999,ROUND(100/W45*X45-100,1),IF(ROUND(100/W45*X45-100,1)&gt;999,999,-999)))</f>
        <v>-54.4</v>
      </c>
      <c r="Z45" s="547">
        <f>Z43+Z44</f>
        <v>642.08000000000084</v>
      </c>
      <c r="AA45" s="547">
        <f>AA43+AA44</f>
        <v>685</v>
      </c>
      <c r="AB45" s="530">
        <f>IF(Z45=0, "    ---- ", IF(ABS(ROUND(100/Z45*AA45-100,1))&lt;999,ROUND(100/Z45*AA45-100,1),IF(ROUND(100/Z45*AA45-100,1)&gt;999,999,-999)))</f>
        <v>6.7</v>
      </c>
      <c r="AC45" s="547">
        <f>AC43+AC44</f>
        <v>919</v>
      </c>
      <c r="AD45" s="547">
        <f>AD43+AD44</f>
        <v>878</v>
      </c>
      <c r="AE45" s="530">
        <f>IF(AC45=0, "    ---- ", IF(ABS(ROUND(100/AC45*AD45-100,1))&lt;999,ROUND(100/AC45*AD45-100,1),IF(ROUND(100/AC45*AD45-100,1)&gt;999,999,-999)))</f>
        <v>-4.5</v>
      </c>
      <c r="AF45" s="547">
        <f>AF43+AF44</f>
        <v>12.422332309999939</v>
      </c>
      <c r="AG45" s="547">
        <f>AG43+AG44</f>
        <v>13.487000000000075</v>
      </c>
      <c r="AH45" s="530">
        <f>IF(AF45=0, "    ---- ", IF(ABS(ROUND(100/AF45*AG45-100,1))&lt;999,ROUND(100/AF45*AG45-100,1),IF(ROUND(100/AF45*AG45-100,1)&gt;999,999,-999)))</f>
        <v>8.6</v>
      </c>
      <c r="AI45" s="547">
        <f>AI43+AI44</f>
        <v>233.72079289000115</v>
      </c>
      <c r="AJ45" s="547">
        <f>AJ43+AJ44</f>
        <v>777.96818235998865</v>
      </c>
      <c r="AK45" s="530">
        <f>IF(AI45=0, "    ---- ", IF(ABS(ROUND(100/AI45*AJ45-100,1))&lt;999,ROUND(100/AI45*AJ45-100,1),IF(ROUND(100/AI45*AJ45-100,1)&gt;999,999,-999)))</f>
        <v>232.9</v>
      </c>
      <c r="AL45" s="547">
        <f>AL43+AL44</f>
        <v>1732</v>
      </c>
      <c r="AM45" s="547">
        <f>AM43+AM44</f>
        <v>2604.6999999999962</v>
      </c>
      <c r="AN45" s="530">
        <f>IF(AL45=0, "    ---- ", IF(ABS(ROUND(100/AL45*AM45-100,1))&lt;999,ROUND(100/AL45*AM45-100,1),IF(ROUND(100/AL45*AM45-100,1)&gt;999,999,-999)))</f>
        <v>50.4</v>
      </c>
      <c r="AO45" s="530">
        <f t="shared" si="40"/>
        <v>7633.9015001600119</v>
      </c>
      <c r="AP45" s="530">
        <f t="shared" si="41"/>
        <v>7318.927795419977</v>
      </c>
      <c r="AQ45" s="530">
        <f t="shared" si="13"/>
        <v>-4.0999999999999996</v>
      </c>
      <c r="AR45" s="548"/>
      <c r="AS45" s="549"/>
      <c r="AT45" s="550"/>
    </row>
    <row r="46" spans="1:46" s="546" customFormat="1" ht="18.75" customHeight="1" x14ac:dyDescent="0.3">
      <c r="A46" s="551"/>
      <c r="B46" s="884"/>
      <c r="C46" s="884"/>
      <c r="D46" s="553"/>
      <c r="E46" s="868"/>
      <c r="F46" s="552"/>
      <c r="G46" s="535"/>
      <c r="H46" s="884"/>
      <c r="I46" s="884"/>
      <c r="J46" s="535"/>
      <c r="K46" s="884"/>
      <c r="L46" s="884"/>
      <c r="M46" s="535"/>
      <c r="N46" s="884"/>
      <c r="O46" s="884"/>
      <c r="P46" s="535"/>
      <c r="Q46" s="904"/>
      <c r="R46" s="884"/>
      <c r="S46" s="553"/>
      <c r="T46" s="817"/>
      <c r="U46" s="884"/>
      <c r="V46" s="535"/>
      <c r="W46" s="904"/>
      <c r="X46" s="884"/>
      <c r="Y46" s="535"/>
      <c r="Z46" s="904"/>
      <c r="AA46" s="884"/>
      <c r="AB46" s="535"/>
      <c r="AC46" s="904"/>
      <c r="AD46" s="884"/>
      <c r="AE46" s="535"/>
      <c r="AF46" s="904"/>
      <c r="AG46" s="884"/>
      <c r="AH46" s="535"/>
      <c r="AI46" s="904"/>
      <c r="AJ46" s="884"/>
      <c r="AK46" s="535"/>
      <c r="AL46" s="904"/>
      <c r="AM46" s="884"/>
      <c r="AN46" s="535"/>
      <c r="AO46" s="553"/>
      <c r="AP46" s="553"/>
      <c r="AQ46" s="535"/>
      <c r="AR46" s="554"/>
      <c r="AS46" s="554"/>
      <c r="AT46" s="555"/>
    </row>
    <row r="47" spans="1:46" s="557" customFormat="1" ht="18.75" customHeight="1" x14ac:dyDescent="0.35">
      <c r="A47" s="914" t="s">
        <v>324</v>
      </c>
      <c r="B47" s="915"/>
      <c r="C47" s="915"/>
      <c r="D47" s="914"/>
      <c r="E47" s="916"/>
      <c r="F47" s="916"/>
      <c r="G47" s="914"/>
      <c r="H47" s="915"/>
      <c r="I47" s="915"/>
      <c r="J47" s="914"/>
      <c r="K47" s="915"/>
      <c r="L47" s="917"/>
      <c r="M47" s="914"/>
      <c r="N47" s="915"/>
      <c r="O47" s="915"/>
      <c r="P47" s="914"/>
      <c r="Q47" s="915"/>
      <c r="R47" s="915"/>
      <c r="S47" s="914"/>
      <c r="T47" s="918"/>
      <c r="U47" s="915"/>
      <c r="V47" s="914"/>
      <c r="W47" s="915"/>
      <c r="X47" s="915"/>
      <c r="Y47" s="914"/>
      <c r="Z47" s="915"/>
      <c r="AA47" s="915"/>
      <c r="AB47" s="914"/>
      <c r="AC47" s="915"/>
      <c r="AD47" s="915"/>
      <c r="AE47" s="914"/>
      <c r="AF47" s="915"/>
      <c r="AG47" s="915"/>
      <c r="AH47" s="914"/>
      <c r="AI47" s="915"/>
      <c r="AJ47" s="915"/>
      <c r="AK47" s="914"/>
      <c r="AL47" s="915"/>
      <c r="AM47" s="915"/>
      <c r="AN47" s="914"/>
      <c r="AO47" s="914"/>
      <c r="AP47" s="914"/>
      <c r="AQ47" s="914"/>
      <c r="AR47" s="914"/>
      <c r="AS47" s="914"/>
      <c r="AT47" s="914"/>
    </row>
    <row r="48" spans="1:46" s="558" customFormat="1" ht="18.75" customHeight="1" x14ac:dyDescent="0.35">
      <c r="A48" s="914" t="s">
        <v>325</v>
      </c>
      <c r="B48" s="915"/>
      <c r="C48" s="915"/>
      <c r="D48" s="914"/>
      <c r="E48" s="916"/>
      <c r="F48" s="916"/>
      <c r="G48" s="914"/>
      <c r="H48" s="915"/>
      <c r="I48" s="915"/>
      <c r="J48" s="914"/>
      <c r="K48" s="915"/>
      <c r="L48" s="917"/>
      <c r="M48" s="914"/>
      <c r="N48" s="915"/>
      <c r="O48" s="915"/>
      <c r="P48" s="914"/>
      <c r="Q48" s="915"/>
      <c r="R48" s="915"/>
      <c r="S48" s="914"/>
      <c r="T48" s="918"/>
      <c r="U48" s="915"/>
      <c r="V48" s="914"/>
      <c r="W48" s="915"/>
      <c r="X48" s="915"/>
      <c r="Y48" s="914"/>
      <c r="Z48" s="915"/>
      <c r="AA48" s="915"/>
      <c r="AB48" s="914"/>
      <c r="AC48" s="915"/>
      <c r="AD48" s="915"/>
      <c r="AE48" s="914"/>
      <c r="AF48" s="915"/>
      <c r="AG48" s="915"/>
      <c r="AH48" s="914"/>
      <c r="AI48" s="915"/>
      <c r="AJ48" s="915"/>
      <c r="AK48" s="914"/>
      <c r="AL48" s="915"/>
      <c r="AM48" s="915"/>
      <c r="AN48" s="914"/>
      <c r="AO48" s="914"/>
      <c r="AP48" s="914"/>
      <c r="AQ48" s="914"/>
      <c r="AR48" s="914"/>
      <c r="AS48" s="914"/>
      <c r="AT48" s="914"/>
    </row>
    <row r="49" spans="1:46" s="558" customFormat="1" ht="18.75" customHeight="1" x14ac:dyDescent="0.35">
      <c r="A49" s="914" t="s">
        <v>326</v>
      </c>
      <c r="B49" s="915"/>
      <c r="C49" s="915"/>
      <c r="D49" s="914"/>
      <c r="E49" s="916"/>
      <c r="F49" s="916"/>
      <c r="G49" s="914"/>
      <c r="H49" s="915"/>
      <c r="I49" s="915"/>
      <c r="J49" s="914"/>
      <c r="K49" s="915"/>
      <c r="L49" s="917"/>
      <c r="M49" s="914"/>
      <c r="N49" s="915"/>
      <c r="O49" s="915"/>
      <c r="P49" s="914"/>
      <c r="Q49" s="915"/>
      <c r="R49" s="915"/>
      <c r="S49" s="914"/>
      <c r="T49" s="918"/>
      <c r="U49" s="915"/>
      <c r="V49" s="914"/>
      <c r="W49" s="915"/>
      <c r="X49" s="915"/>
      <c r="Y49" s="914"/>
      <c r="Z49" s="915"/>
      <c r="AA49" s="915"/>
      <c r="AB49" s="914"/>
      <c r="AC49" s="915"/>
      <c r="AD49" s="915"/>
      <c r="AE49" s="914"/>
      <c r="AF49" s="915"/>
      <c r="AG49" s="915"/>
      <c r="AH49" s="914"/>
      <c r="AI49" s="915"/>
      <c r="AJ49" s="915"/>
      <c r="AK49" s="914"/>
      <c r="AL49" s="915"/>
      <c r="AM49" s="915"/>
      <c r="AN49" s="914"/>
      <c r="AO49" s="914"/>
      <c r="AP49" s="914"/>
      <c r="AQ49" s="914"/>
      <c r="AR49" s="914"/>
      <c r="AS49" s="914"/>
      <c r="AT49" s="914"/>
    </row>
    <row r="50" spans="1:46" s="558" customFormat="1" ht="18.75" customHeight="1" x14ac:dyDescent="0.35">
      <c r="A50" s="914" t="s">
        <v>327</v>
      </c>
      <c r="B50" s="915"/>
      <c r="C50" s="915"/>
      <c r="D50" s="914"/>
      <c r="E50" s="916"/>
      <c r="F50" s="916"/>
      <c r="G50" s="914"/>
      <c r="H50" s="915"/>
      <c r="I50" s="915"/>
      <c r="J50" s="914"/>
      <c r="K50" s="915"/>
      <c r="L50" s="917"/>
      <c r="M50" s="914"/>
      <c r="N50" s="915"/>
      <c r="O50" s="915"/>
      <c r="P50" s="914"/>
      <c r="Q50" s="915"/>
      <c r="R50" s="915"/>
      <c r="S50" s="914"/>
      <c r="T50" s="918"/>
      <c r="U50" s="915"/>
      <c r="V50" s="914"/>
      <c r="W50" s="915"/>
      <c r="X50" s="915"/>
      <c r="Y50" s="914"/>
      <c r="Z50" s="915"/>
      <c r="AA50" s="915"/>
      <c r="AB50" s="914"/>
      <c r="AC50" s="915"/>
      <c r="AD50" s="915"/>
      <c r="AE50" s="914"/>
      <c r="AF50" s="915"/>
      <c r="AG50" s="915"/>
      <c r="AH50" s="914"/>
      <c r="AI50" s="915"/>
      <c r="AJ50" s="915"/>
      <c r="AK50" s="914"/>
      <c r="AL50" s="915"/>
      <c r="AM50" s="915"/>
      <c r="AN50" s="914"/>
      <c r="AO50" s="914"/>
      <c r="AP50" s="914"/>
      <c r="AQ50" s="914"/>
      <c r="AR50" s="914"/>
      <c r="AS50" s="914"/>
      <c r="AT50" s="914"/>
    </row>
    <row r="51" spans="1:46" s="558" customFormat="1" ht="18.75" customHeight="1" x14ac:dyDescent="0.35">
      <c r="A51" s="914" t="s">
        <v>328</v>
      </c>
      <c r="B51" s="915"/>
      <c r="C51" s="915"/>
      <c r="D51" s="914"/>
      <c r="E51" s="916"/>
      <c r="F51" s="916"/>
      <c r="G51" s="914"/>
      <c r="H51" s="915"/>
      <c r="I51" s="915"/>
      <c r="J51" s="914"/>
      <c r="K51" s="915"/>
      <c r="L51" s="917"/>
      <c r="M51" s="914"/>
      <c r="N51" s="915"/>
      <c r="O51" s="915"/>
      <c r="P51" s="914"/>
      <c r="Q51" s="915"/>
      <c r="R51" s="915"/>
      <c r="S51" s="914"/>
      <c r="T51" s="918"/>
      <c r="U51" s="915"/>
      <c r="V51" s="914"/>
      <c r="W51" s="915"/>
      <c r="X51" s="915"/>
      <c r="Y51" s="914"/>
      <c r="Z51" s="915"/>
      <c r="AA51" s="915"/>
      <c r="AB51" s="914"/>
      <c r="AC51" s="915"/>
      <c r="AD51" s="915"/>
      <c r="AE51" s="914"/>
      <c r="AF51" s="915"/>
      <c r="AG51" s="915"/>
      <c r="AH51" s="914"/>
      <c r="AI51" s="915"/>
      <c r="AJ51" s="915"/>
      <c r="AK51" s="914"/>
      <c r="AL51" s="915"/>
      <c r="AM51" s="915"/>
      <c r="AN51" s="914"/>
      <c r="AO51" s="914"/>
      <c r="AP51" s="914"/>
      <c r="AQ51" s="914"/>
      <c r="AR51" s="914"/>
      <c r="AS51" s="914"/>
      <c r="AT51" s="914"/>
    </row>
    <row r="52" spans="1:46" s="558" customFormat="1" ht="18.75" customHeight="1" x14ac:dyDescent="0.35">
      <c r="A52" s="914" t="s">
        <v>329</v>
      </c>
      <c r="B52" s="915"/>
      <c r="C52" s="915"/>
      <c r="D52" s="914"/>
      <c r="E52" s="916"/>
      <c r="F52" s="916"/>
      <c r="G52" s="914"/>
      <c r="H52" s="915"/>
      <c r="I52" s="915"/>
      <c r="J52" s="914"/>
      <c r="K52" s="915"/>
      <c r="L52" s="917"/>
      <c r="M52" s="914"/>
      <c r="N52" s="915"/>
      <c r="O52" s="915"/>
      <c r="P52" s="914"/>
      <c r="Q52" s="915"/>
      <c r="R52" s="915"/>
      <c r="S52" s="914"/>
      <c r="T52" s="918"/>
      <c r="U52" s="915"/>
      <c r="V52" s="914"/>
      <c r="W52" s="915"/>
      <c r="X52" s="915"/>
      <c r="Y52" s="914"/>
      <c r="Z52" s="915"/>
      <c r="AA52" s="915"/>
      <c r="AB52" s="914"/>
      <c r="AC52" s="915"/>
      <c r="AD52" s="915"/>
      <c r="AE52" s="914"/>
      <c r="AF52" s="915"/>
      <c r="AG52" s="915"/>
      <c r="AH52" s="914"/>
      <c r="AI52" s="915"/>
      <c r="AJ52" s="915"/>
      <c r="AK52" s="914"/>
      <c r="AL52" s="915"/>
      <c r="AM52" s="915"/>
      <c r="AN52" s="914"/>
      <c r="AO52" s="914"/>
      <c r="AP52" s="914"/>
      <c r="AQ52" s="914"/>
      <c r="AR52" s="914"/>
      <c r="AS52" s="914"/>
      <c r="AT52" s="914"/>
    </row>
    <row r="53" spans="1:46" s="558" customFormat="1" ht="18.75" customHeight="1" x14ac:dyDescent="0.35">
      <c r="A53" s="914" t="s">
        <v>330</v>
      </c>
      <c r="B53" s="915"/>
      <c r="C53" s="915"/>
      <c r="D53" s="914"/>
      <c r="E53" s="916"/>
      <c r="F53" s="916"/>
      <c r="G53" s="914"/>
      <c r="H53" s="915">
        <v>0</v>
      </c>
      <c r="I53" s="915"/>
      <c r="J53" s="914"/>
      <c r="K53" s="915"/>
      <c r="L53" s="917"/>
      <c r="M53" s="914"/>
      <c r="N53" s="915"/>
      <c r="O53" s="915"/>
      <c r="P53" s="914"/>
      <c r="Q53" s="915"/>
      <c r="R53" s="915">
        <v>150</v>
      </c>
      <c r="S53" s="914"/>
      <c r="T53" s="918"/>
      <c r="U53" s="915"/>
      <c r="V53" s="914"/>
      <c r="W53" s="915"/>
      <c r="X53" s="915"/>
      <c r="Y53" s="914"/>
      <c r="Z53" s="915"/>
      <c r="AA53" s="915"/>
      <c r="AB53" s="914"/>
      <c r="AC53" s="915"/>
      <c r="AD53" s="915"/>
      <c r="AE53" s="914"/>
      <c r="AF53" s="915"/>
      <c r="AG53" s="915"/>
      <c r="AH53" s="914"/>
      <c r="AI53" s="915"/>
      <c r="AJ53" s="915"/>
      <c r="AK53" s="914"/>
      <c r="AL53" s="915"/>
      <c r="AM53" s="915"/>
      <c r="AN53" s="914"/>
      <c r="AO53" s="914">
        <f t="shared" ref="AO53:AO57" si="42">B53+H53+K53+N53+Q53+W53+E53+Z53+AC53+AI53+AL53</f>
        <v>0</v>
      </c>
      <c r="AP53" s="914">
        <f t="shared" ref="AP53:AP57" si="43">C53+I53+L53+O53+R53+X53+F53+AA53+AD53+AJ53+AM53</f>
        <v>150</v>
      </c>
      <c r="AQ53" s="914"/>
      <c r="AR53" s="914"/>
      <c r="AS53" s="914"/>
      <c r="AT53" s="914"/>
    </row>
    <row r="54" spans="1:46" s="558" customFormat="1" ht="18.75" customHeight="1" x14ac:dyDescent="0.35">
      <c r="A54" s="914" t="s">
        <v>331</v>
      </c>
      <c r="B54" s="915"/>
      <c r="C54" s="915"/>
      <c r="D54" s="914"/>
      <c r="E54" s="916"/>
      <c r="F54" s="916"/>
      <c r="G54" s="914"/>
      <c r="H54" s="915"/>
      <c r="I54" s="915"/>
      <c r="J54" s="914"/>
      <c r="K54" s="915"/>
      <c r="L54" s="917"/>
      <c r="M54" s="914"/>
      <c r="N54" s="915"/>
      <c r="O54" s="915"/>
      <c r="P54" s="914"/>
      <c r="Q54" s="915"/>
      <c r="R54" s="917"/>
      <c r="S54" s="914"/>
      <c r="T54" s="918"/>
      <c r="U54" s="915"/>
      <c r="V54" s="914"/>
      <c r="W54" s="915"/>
      <c r="X54" s="915"/>
      <c r="Y54" s="914"/>
      <c r="Z54" s="915"/>
      <c r="AA54" s="915"/>
      <c r="AB54" s="914"/>
      <c r="AC54" s="915"/>
      <c r="AD54" s="915"/>
      <c r="AE54" s="914"/>
      <c r="AF54" s="915"/>
      <c r="AG54" s="915"/>
      <c r="AH54" s="914"/>
      <c r="AI54" s="915">
        <v>-34.838000000000001</v>
      </c>
      <c r="AJ54" s="915"/>
      <c r="AK54" s="914"/>
      <c r="AL54" s="915">
        <v>2222</v>
      </c>
      <c r="AM54" s="915">
        <v>3210</v>
      </c>
      <c r="AN54" s="914"/>
      <c r="AO54" s="924">
        <f t="shared" si="42"/>
        <v>2187.1619999999998</v>
      </c>
      <c r="AP54" s="924">
        <f t="shared" si="43"/>
        <v>3210</v>
      </c>
      <c r="AQ54" s="914"/>
      <c r="AR54" s="914"/>
      <c r="AS54" s="914"/>
      <c r="AT54" s="914"/>
    </row>
    <row r="55" spans="1:46" s="558" customFormat="1" ht="18.75" customHeight="1" x14ac:dyDescent="0.35">
      <c r="A55" s="914" t="s">
        <v>332</v>
      </c>
      <c r="B55" s="915">
        <v>95.335999999999999</v>
      </c>
      <c r="C55" s="915">
        <v>113.712</v>
      </c>
      <c r="D55" s="914"/>
      <c r="E55" s="916">
        <v>-18.2</v>
      </c>
      <c r="F55" s="916"/>
      <c r="G55" s="914"/>
      <c r="H55" s="915">
        <v>2459.6317427000049</v>
      </c>
      <c r="I55" s="915"/>
      <c r="J55" s="914"/>
      <c r="K55" s="915"/>
      <c r="L55" s="917"/>
      <c r="M55" s="914"/>
      <c r="N55" s="915">
        <v>268.39699999999999</v>
      </c>
      <c r="O55" s="915">
        <v>82.742999999999995</v>
      </c>
      <c r="P55" s="914"/>
      <c r="Q55" s="915">
        <v>124</v>
      </c>
      <c r="R55" s="917">
        <v>12</v>
      </c>
      <c r="S55" s="914"/>
      <c r="T55" s="918"/>
      <c r="U55" s="915"/>
      <c r="V55" s="914"/>
      <c r="W55" s="915"/>
      <c r="X55" s="915"/>
      <c r="Y55" s="914"/>
      <c r="Z55" s="915">
        <v>642</v>
      </c>
      <c r="AA55" s="915">
        <v>684</v>
      </c>
      <c r="AB55" s="914"/>
      <c r="AC55" s="915"/>
      <c r="AD55" s="915"/>
      <c r="AE55" s="914"/>
      <c r="AF55" s="915"/>
      <c r="AG55" s="915"/>
      <c r="AH55" s="914"/>
      <c r="AI55" s="915">
        <v>-198.88399999999999</v>
      </c>
      <c r="AJ55" s="915">
        <v>-777.96799323000005</v>
      </c>
      <c r="AK55" s="914"/>
      <c r="AL55" s="915">
        <v>-478</v>
      </c>
      <c r="AM55" s="915">
        <v>-605</v>
      </c>
      <c r="AN55" s="914"/>
      <c r="AO55" s="924">
        <f t="shared" si="42"/>
        <v>2894.2807427000048</v>
      </c>
      <c r="AP55" s="924">
        <f t="shared" si="43"/>
        <v>-490.51299323000012</v>
      </c>
      <c r="AQ55" s="914"/>
      <c r="AR55" s="914"/>
      <c r="AS55" s="914"/>
      <c r="AT55" s="914"/>
    </row>
    <row r="56" spans="1:46" s="558" customFormat="1" ht="18.75" customHeight="1" x14ac:dyDescent="0.35">
      <c r="A56" s="914" t="s">
        <v>333</v>
      </c>
      <c r="B56" s="915">
        <f>B53+B54+B55</f>
        <v>95.335999999999999</v>
      </c>
      <c r="C56" s="915">
        <v>113.712</v>
      </c>
      <c r="D56" s="914"/>
      <c r="E56" s="916">
        <f>E53+E54+E55</f>
        <v>-18.2</v>
      </c>
      <c r="F56" s="916"/>
      <c r="G56" s="914"/>
      <c r="H56" s="915">
        <f>H53+H54+H55</f>
        <v>2459.6317427000049</v>
      </c>
      <c r="I56" s="915"/>
      <c r="J56" s="914"/>
      <c r="K56" s="915"/>
      <c r="L56" s="917"/>
      <c r="M56" s="914"/>
      <c r="N56" s="915">
        <f>N53+N54+N55</f>
        <v>268.39699999999999</v>
      </c>
      <c r="O56" s="915">
        <f>O53+O54+O55</f>
        <v>82.742999999999995</v>
      </c>
      <c r="P56" s="914"/>
      <c r="Q56" s="915">
        <f>Q53+Q54+Q55</f>
        <v>124</v>
      </c>
      <c r="R56" s="917">
        <v>162</v>
      </c>
      <c r="S56" s="914"/>
      <c r="T56" s="918"/>
      <c r="U56" s="915"/>
      <c r="V56" s="914"/>
      <c r="W56" s="915"/>
      <c r="X56" s="915"/>
      <c r="Y56" s="914"/>
      <c r="Z56" s="915">
        <f>Z53+Z54+Z55</f>
        <v>642</v>
      </c>
      <c r="AA56" s="915">
        <f>AA53+AA54+AA55</f>
        <v>684</v>
      </c>
      <c r="AB56" s="914"/>
      <c r="AC56" s="915"/>
      <c r="AD56" s="915"/>
      <c r="AE56" s="914"/>
      <c r="AF56" s="915"/>
      <c r="AG56" s="915"/>
      <c r="AH56" s="914"/>
      <c r="AI56" s="915">
        <f>AI53+AI54+AI55</f>
        <v>-233.72199999999998</v>
      </c>
      <c r="AJ56" s="915">
        <f>AJ53+AJ54+AJ55</f>
        <v>-777.96799323000005</v>
      </c>
      <c r="AK56" s="914"/>
      <c r="AL56" s="915">
        <f>AL53+AL54+AL55</f>
        <v>1744</v>
      </c>
      <c r="AM56" s="915">
        <f>AM53+AM54+AM55</f>
        <v>2605</v>
      </c>
      <c r="AN56" s="914"/>
      <c r="AO56" s="924">
        <f t="shared" si="42"/>
        <v>5081.4427427000046</v>
      </c>
      <c r="AP56" s="924">
        <f t="shared" si="43"/>
        <v>2869.4870067699999</v>
      </c>
      <c r="AQ56" s="914"/>
      <c r="AR56" s="914"/>
      <c r="AS56" s="914"/>
      <c r="AT56" s="914"/>
    </row>
    <row r="57" spans="1:46" s="557" customFormat="1" ht="18.75" customHeight="1" x14ac:dyDescent="0.35">
      <c r="A57" s="919" t="s">
        <v>334</v>
      </c>
      <c r="B57" s="920">
        <f>B51+B56</f>
        <v>95.335999999999999</v>
      </c>
      <c r="C57" s="920">
        <v>113.712</v>
      </c>
      <c r="D57" s="919"/>
      <c r="E57" s="921">
        <f>E51+E56</f>
        <v>-18.2</v>
      </c>
      <c r="F57" s="921"/>
      <c r="G57" s="919"/>
      <c r="H57" s="920">
        <f>H51+H56</f>
        <v>2459.6317427000049</v>
      </c>
      <c r="I57" s="920"/>
      <c r="J57" s="919"/>
      <c r="K57" s="920"/>
      <c r="L57" s="922"/>
      <c r="M57" s="919"/>
      <c r="N57" s="920">
        <f>N51+N56</f>
        <v>268.39699999999999</v>
      </c>
      <c r="O57" s="920">
        <f>O51+O56</f>
        <v>82.742999999999995</v>
      </c>
      <c r="P57" s="919"/>
      <c r="Q57" s="920">
        <f>Q51+Q56</f>
        <v>124</v>
      </c>
      <c r="R57" s="922">
        <v>162</v>
      </c>
      <c r="S57" s="919"/>
      <c r="T57" s="923"/>
      <c r="U57" s="920"/>
      <c r="V57" s="919"/>
      <c r="W57" s="920"/>
      <c r="X57" s="920"/>
      <c r="Y57" s="919"/>
      <c r="Z57" s="920">
        <f>Z51+Z56</f>
        <v>642</v>
      </c>
      <c r="AA57" s="920">
        <f>AA51+AA56</f>
        <v>684</v>
      </c>
      <c r="AB57" s="919"/>
      <c r="AC57" s="920"/>
      <c r="AD57" s="920"/>
      <c r="AE57" s="919"/>
      <c r="AF57" s="920"/>
      <c r="AG57" s="920"/>
      <c r="AH57" s="919"/>
      <c r="AI57" s="920">
        <f>AI51+AI56</f>
        <v>-233.72199999999998</v>
      </c>
      <c r="AJ57" s="920">
        <f>AJ51+AJ56</f>
        <v>-777.96799323000005</v>
      </c>
      <c r="AK57" s="919"/>
      <c r="AL57" s="920">
        <f>AL51+AL56</f>
        <v>1744</v>
      </c>
      <c r="AM57" s="920">
        <f>AM51+AM56</f>
        <v>2605</v>
      </c>
      <c r="AN57" s="919"/>
      <c r="AO57" s="925">
        <f t="shared" si="42"/>
        <v>5081.4427427000046</v>
      </c>
      <c r="AP57" s="925">
        <f t="shared" si="43"/>
        <v>2869.4870067699999</v>
      </c>
      <c r="AQ57" s="919"/>
      <c r="AR57" s="919"/>
      <c r="AS57" s="919"/>
      <c r="AT57" s="919"/>
    </row>
    <row r="58" spans="1:46" s="560" customFormat="1" ht="18.75" customHeight="1" x14ac:dyDescent="0.35">
      <c r="A58" s="543" t="s">
        <v>252</v>
      </c>
      <c r="B58" s="543"/>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59"/>
      <c r="AI58" s="559"/>
      <c r="AJ58" s="559"/>
      <c r="AK58" s="559"/>
      <c r="AL58" s="559"/>
      <c r="AM58" s="559"/>
      <c r="AN58" s="559"/>
      <c r="AO58" s="559"/>
      <c r="AP58" s="559"/>
      <c r="AQ58" s="559"/>
      <c r="AR58" s="559"/>
      <c r="AS58" s="559"/>
    </row>
    <row r="59" spans="1:46" s="560" customFormat="1" ht="18.75" customHeight="1" x14ac:dyDescent="0.35">
      <c r="A59" s="543" t="s">
        <v>253</v>
      </c>
    </row>
    <row r="60" spans="1:46" s="560" customFormat="1" ht="18.75" customHeight="1" x14ac:dyDescent="0.35">
      <c r="A60" s="543" t="s">
        <v>254</v>
      </c>
    </row>
    <row r="61" spans="1:46" s="560" customFormat="1" ht="18" x14ac:dyDescent="0.35"/>
  </sheetData>
  <mergeCells count="26">
    <mergeCell ref="B5:D5"/>
    <mergeCell ref="H5:J5"/>
    <mergeCell ref="K5:M5"/>
    <mergeCell ref="N5:P5"/>
    <mergeCell ref="AI5:AK5"/>
    <mergeCell ref="E5:G5"/>
    <mergeCell ref="B6:D6"/>
    <mergeCell ref="H6:J6"/>
    <mergeCell ref="K6:M6"/>
    <mergeCell ref="N6:P6"/>
    <mergeCell ref="Q6:S6"/>
    <mergeCell ref="E6:G6"/>
    <mergeCell ref="AI6:AK6"/>
    <mergeCell ref="AL6:AN6"/>
    <mergeCell ref="AO6:AQ6"/>
    <mergeCell ref="Q5:S5"/>
    <mergeCell ref="AR6:AT6"/>
    <mergeCell ref="AR5:AT5"/>
    <mergeCell ref="T6:V6"/>
    <mergeCell ref="W6:Y6"/>
    <mergeCell ref="Z6:AB6"/>
    <mergeCell ref="AC6:AE6"/>
    <mergeCell ref="AC5:AE5"/>
    <mergeCell ref="AL5:AN5"/>
    <mergeCell ref="AO5:AQ5"/>
    <mergeCell ref="AF6:AH6"/>
  </mergeCells>
  <conditionalFormatting sqref="E29">
    <cfRule type="expression" dxfId="959" priority="211">
      <formula>#REF! ="30≠24+25+26+27+28+29"</formula>
    </cfRule>
  </conditionalFormatting>
  <conditionalFormatting sqref="E34">
    <cfRule type="expression" dxfId="958" priority="212">
      <formula>#REF! ="35≠14+15+16+17+22+30+31+32+33+34"</formula>
    </cfRule>
  </conditionalFormatting>
  <conditionalFormatting sqref="E45">
    <cfRule type="expression" dxfId="957" priority="213">
      <formula>#REF! ="46≠35+38+39+40+43+45"</formula>
    </cfRule>
  </conditionalFormatting>
  <conditionalFormatting sqref="E14">
    <cfRule type="expression" dxfId="956" priority="214">
      <formula>#REF! ="14≠11+12+13"</formula>
    </cfRule>
  </conditionalFormatting>
  <conditionalFormatting sqref="E21">
    <cfRule type="expression" dxfId="955" priority="215">
      <formula>#REF! ="22≠19+20+21"</formula>
    </cfRule>
  </conditionalFormatting>
  <conditionalFormatting sqref="B29">
    <cfRule type="expression" dxfId="954" priority="111">
      <formula>#REF! ="30≠24+25+26+27+28+29"</formula>
    </cfRule>
  </conditionalFormatting>
  <conditionalFormatting sqref="B34">
    <cfRule type="expression" dxfId="953" priority="112">
      <formula>#REF! ="35≠14+15+16+17+22+30+31+32+33+34"</formula>
    </cfRule>
  </conditionalFormatting>
  <conditionalFormatting sqref="B45">
    <cfRule type="expression" dxfId="952" priority="113">
      <formula>#REF! ="46≠35+38+39+40+43+45"</formula>
    </cfRule>
  </conditionalFormatting>
  <conditionalFormatting sqref="B14">
    <cfRule type="expression" dxfId="951" priority="114">
      <formula>#REF! ="14≠11+12+13"</formula>
    </cfRule>
  </conditionalFormatting>
  <conditionalFormatting sqref="B21">
    <cfRule type="expression" dxfId="950" priority="115">
      <formula>#REF! ="22≠19+20+21"</formula>
    </cfRule>
  </conditionalFormatting>
  <conditionalFormatting sqref="H29">
    <cfRule type="expression" dxfId="949" priority="101">
      <formula>#REF! ="30≠24+25+26+27+28+29"</formula>
    </cfRule>
  </conditionalFormatting>
  <conditionalFormatting sqref="H34">
    <cfRule type="expression" dxfId="948" priority="102">
      <formula>#REF! ="35≠14+15+16+17+22+30+31+32+33+34"</formula>
    </cfRule>
  </conditionalFormatting>
  <conditionalFormatting sqref="H45">
    <cfRule type="expression" dxfId="947" priority="103">
      <formula>#REF! ="46≠35+38+39+40+43+45"</formula>
    </cfRule>
  </conditionalFormatting>
  <conditionalFormatting sqref="H14">
    <cfRule type="expression" dxfId="946" priority="104">
      <formula>#REF! ="14≠11+12+13"</formula>
    </cfRule>
  </conditionalFormatting>
  <conditionalFormatting sqref="H21">
    <cfRule type="expression" dxfId="945" priority="105">
      <formula>#REF! ="22≠19+20+21"</formula>
    </cfRule>
  </conditionalFormatting>
  <conditionalFormatting sqref="K29">
    <cfRule type="expression" dxfId="944" priority="91">
      <formula>#REF! ="30≠24+25+26+27+28+29"</formula>
    </cfRule>
  </conditionalFormatting>
  <conditionalFormatting sqref="K34">
    <cfRule type="expression" dxfId="943" priority="92">
      <formula>#REF! ="35≠14+15+16+17+22+30+31+32+33+34"</formula>
    </cfRule>
  </conditionalFormatting>
  <conditionalFormatting sqref="K45">
    <cfRule type="expression" dxfId="942" priority="93">
      <formula>#REF! ="46≠35+38+39+40+43+45"</formula>
    </cfRule>
  </conditionalFormatting>
  <conditionalFormatting sqref="K14">
    <cfRule type="expression" dxfId="941" priority="94">
      <formula>#REF! ="14≠11+12+13"</formula>
    </cfRule>
  </conditionalFormatting>
  <conditionalFormatting sqref="K21">
    <cfRule type="expression" dxfId="940" priority="95">
      <formula>#REF! ="22≠19+20+21"</formula>
    </cfRule>
  </conditionalFormatting>
  <conditionalFormatting sqref="N29">
    <cfRule type="expression" dxfId="939" priority="81">
      <formula>#REF! ="30≠24+25+26+27+28+29"</formula>
    </cfRule>
  </conditionalFormatting>
  <conditionalFormatting sqref="N34">
    <cfRule type="expression" dxfId="938" priority="82">
      <formula>#REF! ="35≠14+15+16+17+22+30+31+32+33+34"</formula>
    </cfRule>
  </conditionalFormatting>
  <conditionalFormatting sqref="N45">
    <cfRule type="expression" dxfId="937" priority="83">
      <formula>#REF! ="46≠35+38+39+40+43+45"</formula>
    </cfRule>
  </conditionalFormatting>
  <conditionalFormatting sqref="N14">
    <cfRule type="expression" dxfId="936" priority="84">
      <formula>#REF! ="14≠11+12+13"</formula>
    </cfRule>
  </conditionalFormatting>
  <conditionalFormatting sqref="N21">
    <cfRule type="expression" dxfId="935" priority="85">
      <formula>#REF! ="22≠19+20+21"</formula>
    </cfRule>
  </conditionalFormatting>
  <conditionalFormatting sqref="Q29">
    <cfRule type="expression" dxfId="934" priority="71">
      <formula>#REF! ="30≠24+25+26+27+28+29"</formula>
    </cfRule>
  </conditionalFormatting>
  <conditionalFormatting sqref="Q34">
    <cfRule type="expression" dxfId="933" priority="72">
      <formula>#REF! ="35≠14+15+16+17+22+30+31+32+33+34"</formula>
    </cfRule>
  </conditionalFormatting>
  <conditionalFormatting sqref="Q45">
    <cfRule type="expression" dxfId="932" priority="73">
      <formula>#REF! ="46≠35+38+39+40+43+45"</formula>
    </cfRule>
  </conditionalFormatting>
  <conditionalFormatting sqref="Q14">
    <cfRule type="expression" dxfId="931" priority="74">
      <formula>#REF! ="14≠11+12+13"</formula>
    </cfRule>
  </conditionalFormatting>
  <conditionalFormatting sqref="Q21">
    <cfRule type="expression" dxfId="930" priority="75">
      <formula>#REF! ="22≠19+20+21"</formula>
    </cfRule>
  </conditionalFormatting>
  <conditionalFormatting sqref="AF29">
    <cfRule type="expression" dxfId="929" priority="61">
      <formula>#REF! ="30≠24+25+26+27+28+29"</formula>
    </cfRule>
  </conditionalFormatting>
  <conditionalFormatting sqref="AF34">
    <cfRule type="expression" dxfId="928" priority="62">
      <formula>#REF! ="35≠14+15+16+17+22+30+31+32+33+34"</formula>
    </cfRule>
  </conditionalFormatting>
  <conditionalFormatting sqref="AF45">
    <cfRule type="expression" dxfId="927" priority="63">
      <formula>#REF! ="46≠35+38+39+40+43+45"</formula>
    </cfRule>
  </conditionalFormatting>
  <conditionalFormatting sqref="AF14">
    <cfRule type="expression" dxfId="926" priority="64">
      <formula>#REF! ="14≠11+12+13"</formula>
    </cfRule>
  </conditionalFormatting>
  <conditionalFormatting sqref="AF21">
    <cfRule type="expression" dxfId="925" priority="65">
      <formula>#REF! ="22≠19+20+21"</formula>
    </cfRule>
  </conditionalFormatting>
  <conditionalFormatting sqref="T29">
    <cfRule type="expression" dxfId="924" priority="51">
      <formula>#REF! ="30≠24+25+26+27+28+29"</formula>
    </cfRule>
  </conditionalFormatting>
  <conditionalFormatting sqref="T34">
    <cfRule type="expression" dxfId="923" priority="52">
      <formula>#REF! ="35≠14+15+16+17+22+30+31+32+33+34"</formula>
    </cfRule>
  </conditionalFormatting>
  <conditionalFormatting sqref="T45">
    <cfRule type="expression" dxfId="922" priority="53">
      <formula>#REF! ="46≠35+38+39+40+43+45"</formula>
    </cfRule>
  </conditionalFormatting>
  <conditionalFormatting sqref="T14">
    <cfRule type="expression" dxfId="921" priority="54">
      <formula>#REF! ="14≠11+12+13"</formula>
    </cfRule>
  </conditionalFormatting>
  <conditionalFormatting sqref="T21">
    <cfRule type="expression" dxfId="920" priority="55">
      <formula>#REF! ="22≠19+20+21"</formula>
    </cfRule>
  </conditionalFormatting>
  <conditionalFormatting sqref="W29">
    <cfRule type="expression" dxfId="919" priority="41">
      <formula>#REF! ="30≠24+25+26+27+28+29"</formula>
    </cfRule>
  </conditionalFormatting>
  <conditionalFormatting sqref="W34">
    <cfRule type="expression" dxfId="918" priority="42">
      <formula>#REF! ="35≠14+15+16+17+22+30+31+32+33+34"</formula>
    </cfRule>
  </conditionalFormatting>
  <conditionalFormatting sqref="W45">
    <cfRule type="expression" dxfId="917" priority="43">
      <formula>#REF! ="46≠35+38+39+40+43+45"</formula>
    </cfRule>
  </conditionalFormatting>
  <conditionalFormatting sqref="W14">
    <cfRule type="expression" dxfId="916" priority="44">
      <formula>#REF! ="14≠11+12+13"</formula>
    </cfRule>
  </conditionalFormatting>
  <conditionalFormatting sqref="W21">
    <cfRule type="expression" dxfId="915" priority="45">
      <formula>#REF! ="22≠19+20+21"</formula>
    </cfRule>
  </conditionalFormatting>
  <conditionalFormatting sqref="Z29">
    <cfRule type="expression" dxfId="914" priority="31">
      <formula>#REF! ="30≠24+25+26+27+28+29"</formula>
    </cfRule>
  </conditionalFormatting>
  <conditionalFormatting sqref="Z34">
    <cfRule type="expression" dxfId="913" priority="32">
      <formula>#REF! ="35≠14+15+16+17+22+30+31+32+33+34"</formula>
    </cfRule>
  </conditionalFormatting>
  <conditionalFormatting sqref="Z45">
    <cfRule type="expression" dxfId="912" priority="33">
      <formula>#REF! ="46≠35+38+39+40+43+45"</formula>
    </cfRule>
  </conditionalFormatting>
  <conditionalFormatting sqref="Z14">
    <cfRule type="expression" dxfId="911" priority="34">
      <formula>#REF! ="14≠11+12+13"</formula>
    </cfRule>
  </conditionalFormatting>
  <conditionalFormatting sqref="Z21">
    <cfRule type="expression" dxfId="910" priority="35">
      <formula>#REF! ="22≠19+20+21"</formula>
    </cfRule>
  </conditionalFormatting>
  <conditionalFormatting sqref="AC29">
    <cfRule type="expression" dxfId="909" priority="21">
      <formula>#REF! ="30≠24+25+26+27+28+29"</formula>
    </cfRule>
  </conditionalFormatting>
  <conditionalFormatting sqref="AC34">
    <cfRule type="expression" dxfId="908" priority="22">
      <formula>#REF! ="35≠14+15+16+17+22+30+31+32+33+34"</formula>
    </cfRule>
  </conditionalFormatting>
  <conditionalFormatting sqref="AC45">
    <cfRule type="expression" dxfId="907" priority="23">
      <formula>#REF! ="46≠35+38+39+40+43+45"</formula>
    </cfRule>
  </conditionalFormatting>
  <conditionalFormatting sqref="AC14">
    <cfRule type="expression" dxfId="906" priority="24">
      <formula>#REF! ="14≠11+12+13"</formula>
    </cfRule>
  </conditionalFormatting>
  <conditionalFormatting sqref="AC21">
    <cfRule type="expression" dxfId="905" priority="25">
      <formula>#REF! ="22≠19+20+21"</formula>
    </cfRule>
  </conditionalFormatting>
  <conditionalFormatting sqref="AI29">
    <cfRule type="expression" dxfId="904" priority="11">
      <formula>#REF! ="30≠24+25+26+27+28+29"</formula>
    </cfRule>
  </conditionalFormatting>
  <conditionalFormatting sqref="AI34">
    <cfRule type="expression" dxfId="903" priority="12">
      <formula>#REF! ="35≠14+15+16+17+22+30+31+32+33+34"</formula>
    </cfRule>
  </conditionalFormatting>
  <conditionalFormatting sqref="AI45">
    <cfRule type="expression" dxfId="902" priority="13">
      <formula>#REF! ="46≠35+38+39+40+43+45"</formula>
    </cfRule>
  </conditionalFormatting>
  <conditionalFormatting sqref="AI14">
    <cfRule type="expression" dxfId="901" priority="14">
      <formula>#REF! ="14≠11+12+13"</formula>
    </cfRule>
  </conditionalFormatting>
  <conditionalFormatting sqref="AI21">
    <cfRule type="expression" dxfId="900" priority="15">
      <formula>#REF! ="22≠19+20+21"</formula>
    </cfRule>
  </conditionalFormatting>
  <conditionalFormatting sqref="AL29">
    <cfRule type="expression" dxfId="899" priority="1">
      <formula>#REF! ="30≠24+25+26+27+28+29"</formula>
    </cfRule>
  </conditionalFormatting>
  <conditionalFormatting sqref="AL34">
    <cfRule type="expression" dxfId="898" priority="2">
      <formula>#REF! ="35≠14+15+16+17+22+30+31+32+33+34"</formula>
    </cfRule>
  </conditionalFormatting>
  <conditionalFormatting sqref="AL45">
    <cfRule type="expression" dxfId="897" priority="3">
      <formula>#REF! ="46≠35+38+39+40+43+45"</formula>
    </cfRule>
  </conditionalFormatting>
  <conditionalFormatting sqref="AL14">
    <cfRule type="expression" dxfId="896" priority="4">
      <formula>#REF! ="14≠11+12+13"</formula>
    </cfRule>
  </conditionalFormatting>
  <conditionalFormatting sqref="AL21">
    <cfRule type="expression" dxfId="895" priority="5">
      <formula>#REF! ="22≠19+20+21"</formula>
    </cfRule>
  </conditionalFormatting>
  <conditionalFormatting sqref="AR29:AS29 F29 C29 I29 L29 O29 R29 AG29 U29 X29 AA29 AD29 AJ29 AM29">
    <cfRule type="expression" dxfId="894" priority="1317">
      <formula>#REF! ="30≠24+25+26+27+28+29"</formula>
    </cfRule>
  </conditionalFormatting>
  <conditionalFormatting sqref="AR34:AS34 AO34:AP34 AO45:AP45 F34 C34 I34 L34 O34 R34 AG34 U34 X34 AA34 AD34 AJ34 AM34">
    <cfRule type="expression" dxfId="893" priority="1319">
      <formula>#REF! ="35≠14+15+16+17+22+30+31+32+33+34"</formula>
    </cfRule>
  </conditionalFormatting>
  <conditionalFormatting sqref="AR45:AS45 F45 C45 I45 L45 O45 R45 AG45 U45 X45 AA45 AD45 AJ45 AM45">
    <cfRule type="expression" dxfId="892" priority="1323">
      <formula>#REF! ="46≠35+38+39+40+43+45"</formula>
    </cfRule>
  </conditionalFormatting>
  <conditionalFormatting sqref="F14 C14 I14 L14 O14 R14 AG14 U14 X14 AA14 AD14 AJ14 AM14">
    <cfRule type="expression" dxfId="891" priority="1325">
      <formula>#REF! ="14≠11+12+13"</formula>
    </cfRule>
  </conditionalFormatting>
  <conditionalFormatting sqref="F21 C21 I21 L21 O21 R21 AG21 U21 X21 AA21 AD21 AJ21 AM21">
    <cfRule type="expression" dxfId="890" priority="1326">
      <formula>#REF! ="22≠19+20+21"</formula>
    </cfRule>
  </conditionalFormatting>
  <hyperlinks>
    <hyperlink ref="B1" location="Innhold!A1" display="Tilbake" xr:uid="{00000000-0004-0000-1E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U189"/>
  <sheetViews>
    <sheetView showGridLines="0" zoomScale="70" zoomScaleNormal="7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1.44140625" defaultRowHeight="13.2" x14ac:dyDescent="0.25"/>
  <cols>
    <col min="1" max="1" width="68.5546875" style="564" customWidth="1"/>
    <col min="2" max="46" width="11.6640625" style="564" customWidth="1"/>
    <col min="47" max="47" width="14.6640625" style="564" bestFit="1" customWidth="1"/>
    <col min="48" max="16384" width="11.44140625" style="564"/>
  </cols>
  <sheetData>
    <row r="1" spans="1:47" ht="20.25" customHeight="1" x14ac:dyDescent="0.35">
      <c r="A1" s="562" t="s">
        <v>173</v>
      </c>
      <c r="B1" s="466" t="s">
        <v>52</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row>
    <row r="2" spans="1:47" ht="20.100000000000001" customHeight="1" x14ac:dyDescent="0.35">
      <c r="A2" s="565" t="s">
        <v>258</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row>
    <row r="3" spans="1:47" ht="20.100000000000001" customHeight="1" x14ac:dyDescent="0.35">
      <c r="A3" s="566" t="s">
        <v>363</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row>
    <row r="4" spans="1:47" ht="20.100000000000001" customHeight="1" x14ac:dyDescent="0.35">
      <c r="A4" s="567" t="s">
        <v>364</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row>
    <row r="5" spans="1:47" ht="18.75" customHeight="1" x14ac:dyDescent="0.35">
      <c r="A5" s="568" t="s">
        <v>360</v>
      </c>
      <c r="B5" s="569"/>
      <c r="C5" s="569"/>
      <c r="D5" s="570"/>
      <c r="E5" s="571"/>
      <c r="F5" s="569"/>
      <c r="G5" s="570"/>
      <c r="H5" s="571"/>
      <c r="I5" s="569"/>
      <c r="J5" s="570"/>
      <c r="K5" s="571"/>
      <c r="L5" s="569"/>
      <c r="M5" s="570"/>
      <c r="N5" s="571"/>
      <c r="O5" s="569"/>
      <c r="P5" s="570"/>
      <c r="Q5" s="569"/>
      <c r="R5" s="569"/>
      <c r="S5" s="569"/>
      <c r="T5" s="571"/>
      <c r="U5" s="569"/>
      <c r="V5" s="570"/>
      <c r="W5" s="571"/>
      <c r="X5" s="569"/>
      <c r="Y5" s="570"/>
      <c r="Z5" s="571"/>
      <c r="AA5" s="569"/>
      <c r="AB5" s="570"/>
      <c r="AC5" s="571"/>
      <c r="AD5" s="569"/>
      <c r="AE5" s="570"/>
      <c r="AF5" s="571"/>
      <c r="AG5" s="569"/>
      <c r="AH5" s="570"/>
      <c r="AI5" s="571"/>
      <c r="AJ5" s="569"/>
      <c r="AK5" s="570"/>
      <c r="AL5" s="571"/>
      <c r="AM5" s="569"/>
      <c r="AN5" s="570"/>
      <c r="AO5" s="571"/>
      <c r="AP5" s="569"/>
      <c r="AQ5" s="570"/>
      <c r="AR5" s="571"/>
      <c r="AS5" s="569"/>
      <c r="AT5" s="570"/>
      <c r="AU5" s="563"/>
    </row>
    <row r="6" spans="1:47" ht="18.75" customHeight="1" x14ac:dyDescent="0.35">
      <c r="A6" s="572" t="s">
        <v>101</v>
      </c>
      <c r="B6" s="986" t="s">
        <v>176</v>
      </c>
      <c r="C6" s="987"/>
      <c r="D6" s="988"/>
      <c r="E6" s="986" t="s">
        <v>177</v>
      </c>
      <c r="F6" s="987"/>
      <c r="G6" s="988"/>
      <c r="H6" s="986" t="s">
        <v>177</v>
      </c>
      <c r="I6" s="987"/>
      <c r="J6" s="988"/>
      <c r="K6" s="986" t="s">
        <v>481</v>
      </c>
      <c r="L6" s="987"/>
      <c r="M6" s="988"/>
      <c r="N6" s="986" t="s">
        <v>178</v>
      </c>
      <c r="O6" s="987"/>
      <c r="P6" s="988"/>
      <c r="Q6" s="986" t="s">
        <v>179</v>
      </c>
      <c r="R6" s="987"/>
      <c r="S6" s="988"/>
      <c r="T6" s="986" t="s">
        <v>180</v>
      </c>
      <c r="U6" s="987"/>
      <c r="V6" s="988"/>
      <c r="W6" s="858" t="s">
        <v>180</v>
      </c>
      <c r="X6" s="859"/>
      <c r="Y6" s="860"/>
      <c r="Z6" s="858"/>
      <c r="AA6" s="859"/>
      <c r="AB6" s="860"/>
      <c r="AC6" s="986" t="s">
        <v>181</v>
      </c>
      <c r="AD6" s="987"/>
      <c r="AE6" s="988"/>
      <c r="AF6" s="858"/>
      <c r="AG6" s="859"/>
      <c r="AH6" s="860"/>
      <c r="AI6" s="971" t="s">
        <v>68</v>
      </c>
      <c r="AJ6" s="972"/>
      <c r="AK6" s="973"/>
      <c r="AL6" s="986" t="s">
        <v>73</v>
      </c>
      <c r="AM6" s="987"/>
      <c r="AN6" s="988"/>
      <c r="AO6" s="989" t="s">
        <v>2</v>
      </c>
      <c r="AP6" s="990"/>
      <c r="AQ6" s="991"/>
      <c r="AR6" s="986" t="s">
        <v>2</v>
      </c>
      <c r="AS6" s="987"/>
      <c r="AT6" s="988"/>
      <c r="AU6" s="563"/>
    </row>
    <row r="7" spans="1:47" ht="21" customHeight="1" x14ac:dyDescent="0.35">
      <c r="A7" s="573"/>
      <c r="B7" s="983" t="s">
        <v>182</v>
      </c>
      <c r="C7" s="984"/>
      <c r="D7" s="985"/>
      <c r="E7" s="983" t="s">
        <v>496</v>
      </c>
      <c r="F7" s="984"/>
      <c r="G7" s="985"/>
      <c r="H7" s="983" t="s">
        <v>183</v>
      </c>
      <c r="I7" s="984"/>
      <c r="J7" s="985"/>
      <c r="K7" s="983" t="s">
        <v>183</v>
      </c>
      <c r="L7" s="984"/>
      <c r="M7" s="985"/>
      <c r="N7" s="983" t="s">
        <v>183</v>
      </c>
      <c r="O7" s="984"/>
      <c r="P7" s="985"/>
      <c r="Q7" s="983" t="s">
        <v>184</v>
      </c>
      <c r="R7" s="984"/>
      <c r="S7" s="985"/>
      <c r="T7" s="983" t="s">
        <v>91</v>
      </c>
      <c r="U7" s="984"/>
      <c r="V7" s="985"/>
      <c r="W7" s="983" t="s">
        <v>63</v>
      </c>
      <c r="X7" s="984"/>
      <c r="Y7" s="985"/>
      <c r="Z7" s="983" t="s">
        <v>66</v>
      </c>
      <c r="AA7" s="984"/>
      <c r="AB7" s="985"/>
      <c r="AC7" s="983" t="s">
        <v>182</v>
      </c>
      <c r="AD7" s="984"/>
      <c r="AE7" s="985"/>
      <c r="AF7" s="983" t="s">
        <v>72</v>
      </c>
      <c r="AG7" s="984"/>
      <c r="AH7" s="985"/>
      <c r="AI7" s="965" t="s">
        <v>497</v>
      </c>
      <c r="AJ7" s="966"/>
      <c r="AK7" s="967"/>
      <c r="AL7" s="983" t="s">
        <v>183</v>
      </c>
      <c r="AM7" s="984"/>
      <c r="AN7" s="985"/>
      <c r="AO7" s="977" t="s">
        <v>286</v>
      </c>
      <c r="AP7" s="978"/>
      <c r="AQ7" s="979"/>
      <c r="AR7" s="980" t="s">
        <v>287</v>
      </c>
      <c r="AS7" s="981"/>
      <c r="AT7" s="982"/>
      <c r="AU7" s="563"/>
    </row>
    <row r="8" spans="1:47" ht="18.75" customHeight="1" x14ac:dyDescent="0.35">
      <c r="A8" s="573"/>
      <c r="B8" s="574"/>
      <c r="C8" s="574"/>
      <c r="D8" s="575" t="s">
        <v>81</v>
      </c>
      <c r="E8" s="574"/>
      <c r="F8" s="574"/>
      <c r="G8" s="575" t="s">
        <v>81</v>
      </c>
      <c r="H8" s="574"/>
      <c r="I8" s="574"/>
      <c r="J8" s="575" t="s">
        <v>81</v>
      </c>
      <c r="K8" s="574"/>
      <c r="L8" s="574"/>
      <c r="M8" s="575" t="s">
        <v>81</v>
      </c>
      <c r="N8" s="574"/>
      <c r="O8" s="574"/>
      <c r="P8" s="575" t="s">
        <v>81</v>
      </c>
      <c r="Q8" s="574"/>
      <c r="R8" s="574"/>
      <c r="S8" s="575" t="s">
        <v>81</v>
      </c>
      <c r="T8" s="574"/>
      <c r="U8" s="574"/>
      <c r="V8" s="575" t="s">
        <v>81</v>
      </c>
      <c r="W8" s="574"/>
      <c r="X8" s="574"/>
      <c r="Y8" s="575" t="s">
        <v>81</v>
      </c>
      <c r="Z8" s="574"/>
      <c r="AA8" s="574"/>
      <c r="AB8" s="575" t="s">
        <v>81</v>
      </c>
      <c r="AC8" s="574"/>
      <c r="AD8" s="574"/>
      <c r="AE8" s="575" t="s">
        <v>81</v>
      </c>
      <c r="AF8" s="574"/>
      <c r="AG8" s="574"/>
      <c r="AH8" s="575" t="s">
        <v>81</v>
      </c>
      <c r="AI8" s="574"/>
      <c r="AJ8" s="574"/>
      <c r="AK8" s="575" t="s">
        <v>81</v>
      </c>
      <c r="AL8" s="574"/>
      <c r="AM8" s="574"/>
      <c r="AN8" s="575" t="s">
        <v>81</v>
      </c>
      <c r="AO8" s="574"/>
      <c r="AP8" s="574"/>
      <c r="AQ8" s="575" t="s">
        <v>81</v>
      </c>
      <c r="AR8" s="574"/>
      <c r="AS8" s="574"/>
      <c r="AT8" s="575" t="s">
        <v>81</v>
      </c>
      <c r="AU8" s="563"/>
    </row>
    <row r="9" spans="1:47" ht="18.75" customHeight="1" x14ac:dyDescent="0.35">
      <c r="A9" s="576" t="s">
        <v>288</v>
      </c>
      <c r="B9" s="577">
        <v>2020</v>
      </c>
      <c r="C9" s="577">
        <v>2021</v>
      </c>
      <c r="D9" s="578" t="s">
        <v>83</v>
      </c>
      <c r="E9" s="577">
        <f>$B$9</f>
        <v>2020</v>
      </c>
      <c r="F9" s="577">
        <f>$C$9</f>
        <v>2021</v>
      </c>
      <c r="G9" s="578" t="s">
        <v>83</v>
      </c>
      <c r="H9" s="577">
        <f>$B$9</f>
        <v>2020</v>
      </c>
      <c r="I9" s="577">
        <f>$C$9</f>
        <v>2021</v>
      </c>
      <c r="J9" s="578" t="s">
        <v>83</v>
      </c>
      <c r="K9" s="577">
        <f>$B$9</f>
        <v>2020</v>
      </c>
      <c r="L9" s="577">
        <f>$C$9</f>
        <v>2021</v>
      </c>
      <c r="M9" s="578" t="s">
        <v>83</v>
      </c>
      <c r="N9" s="577">
        <f>$B$9</f>
        <v>2020</v>
      </c>
      <c r="O9" s="577">
        <f>$C$9</f>
        <v>2021</v>
      </c>
      <c r="P9" s="578" t="s">
        <v>83</v>
      </c>
      <c r="Q9" s="577">
        <f>$B$9</f>
        <v>2020</v>
      </c>
      <c r="R9" s="577">
        <f>$C$9</f>
        <v>2021</v>
      </c>
      <c r="S9" s="578" t="s">
        <v>83</v>
      </c>
      <c r="T9" s="577">
        <f>$B$9</f>
        <v>2020</v>
      </c>
      <c r="U9" s="577">
        <f>$C$9</f>
        <v>2021</v>
      </c>
      <c r="V9" s="578" t="s">
        <v>83</v>
      </c>
      <c r="W9" s="577">
        <f>$B$9</f>
        <v>2020</v>
      </c>
      <c r="X9" s="577">
        <f>$C$9</f>
        <v>2021</v>
      </c>
      <c r="Y9" s="578" t="s">
        <v>83</v>
      </c>
      <c r="Z9" s="577">
        <f>$B$9</f>
        <v>2020</v>
      </c>
      <c r="AA9" s="577">
        <f>$C$9</f>
        <v>2021</v>
      </c>
      <c r="AB9" s="578" t="s">
        <v>83</v>
      </c>
      <c r="AC9" s="577">
        <f>$B$9</f>
        <v>2020</v>
      </c>
      <c r="AD9" s="577">
        <f>$C$9</f>
        <v>2021</v>
      </c>
      <c r="AE9" s="578" t="s">
        <v>83</v>
      </c>
      <c r="AF9" s="577">
        <f>$B$9</f>
        <v>2020</v>
      </c>
      <c r="AG9" s="577">
        <f>$C$9</f>
        <v>2021</v>
      </c>
      <c r="AH9" s="578" t="s">
        <v>83</v>
      </c>
      <c r="AI9" s="577">
        <f>$B$9</f>
        <v>2020</v>
      </c>
      <c r="AJ9" s="577">
        <f>$C$9</f>
        <v>2021</v>
      </c>
      <c r="AK9" s="578" t="s">
        <v>83</v>
      </c>
      <c r="AL9" s="577">
        <f>$B$9</f>
        <v>2020</v>
      </c>
      <c r="AM9" s="577">
        <f>$C$9</f>
        <v>2021</v>
      </c>
      <c r="AN9" s="578" t="s">
        <v>83</v>
      </c>
      <c r="AO9" s="577">
        <f>$B$9</f>
        <v>2020</v>
      </c>
      <c r="AP9" s="577">
        <f>$C$9</f>
        <v>2021</v>
      </c>
      <c r="AQ9" s="578" t="s">
        <v>83</v>
      </c>
      <c r="AR9" s="577">
        <f>$B$9</f>
        <v>2020</v>
      </c>
      <c r="AS9" s="577">
        <f>$C$9</f>
        <v>2021</v>
      </c>
      <c r="AT9" s="578" t="s">
        <v>83</v>
      </c>
      <c r="AU9" s="563"/>
    </row>
    <row r="10" spans="1:47" ht="18.75" customHeight="1" x14ac:dyDescent="0.35">
      <c r="A10" s="579"/>
      <c r="B10" s="818"/>
      <c r="C10" s="818"/>
      <c r="D10" s="580"/>
      <c r="E10" s="818"/>
      <c r="F10" s="818"/>
      <c r="G10" s="581"/>
      <c r="H10" s="818"/>
      <c r="I10" s="818"/>
      <c r="J10" s="581"/>
      <c r="K10" s="818"/>
      <c r="L10" s="818"/>
      <c r="M10" s="581"/>
      <c r="N10" s="818"/>
      <c r="O10" s="818"/>
      <c r="P10" s="581"/>
      <c r="Q10" s="818"/>
      <c r="R10" s="818"/>
      <c r="S10" s="580"/>
      <c r="T10" s="818"/>
      <c r="U10" s="818"/>
      <c r="V10" s="581"/>
      <c r="W10" s="818"/>
      <c r="X10" s="818"/>
      <c r="Y10" s="581"/>
      <c r="Z10" s="818"/>
      <c r="AA10" s="818"/>
      <c r="AB10" s="581"/>
      <c r="AC10" s="818"/>
      <c r="AD10" s="818"/>
      <c r="AE10" s="581"/>
      <c r="AF10" s="818"/>
      <c r="AG10" s="818"/>
      <c r="AH10" s="581"/>
      <c r="AI10" s="818"/>
      <c r="AJ10" s="818"/>
      <c r="AK10" s="581"/>
      <c r="AL10" s="818"/>
      <c r="AM10" s="818"/>
      <c r="AN10" s="581"/>
      <c r="AO10" s="580"/>
      <c r="AP10" s="580"/>
      <c r="AQ10" s="581"/>
      <c r="AR10" s="582"/>
      <c r="AS10" s="582"/>
      <c r="AT10" s="581"/>
      <c r="AU10" s="563"/>
    </row>
    <row r="11" spans="1:47" s="563" customFormat="1" ht="18.75" customHeight="1" x14ac:dyDescent="0.35">
      <c r="A11" s="583" t="s">
        <v>365</v>
      </c>
      <c r="B11" s="820"/>
      <c r="C11" s="820"/>
      <c r="D11" s="584"/>
      <c r="E11" s="820"/>
      <c r="F11" s="820"/>
      <c r="G11" s="585"/>
      <c r="H11" s="820"/>
      <c r="I11" s="820"/>
      <c r="J11" s="585"/>
      <c r="K11" s="820"/>
      <c r="L11" s="820"/>
      <c r="M11" s="585"/>
      <c r="N11" s="820"/>
      <c r="O11" s="820"/>
      <c r="P11" s="585"/>
      <c r="Q11" s="820"/>
      <c r="R11" s="820"/>
      <c r="S11" s="584"/>
      <c r="T11" s="820"/>
      <c r="U11" s="820"/>
      <c r="V11" s="585"/>
      <c r="W11" s="820"/>
      <c r="X11" s="820"/>
      <c r="Y11" s="585"/>
      <c r="Z11" s="820"/>
      <c r="AA11" s="820"/>
      <c r="AB11" s="586"/>
      <c r="AC11" s="820"/>
      <c r="AD11" s="820"/>
      <c r="AE11" s="585"/>
      <c r="AF11" s="820"/>
      <c r="AG11" s="820"/>
      <c r="AH11" s="585"/>
      <c r="AI11" s="820"/>
      <c r="AJ11" s="820"/>
      <c r="AK11" s="585"/>
      <c r="AL11" s="820"/>
      <c r="AM11" s="820"/>
      <c r="AN11" s="585"/>
      <c r="AO11" s="584"/>
      <c r="AP11" s="584"/>
      <c r="AQ11" s="585"/>
      <c r="AR11" s="587"/>
      <c r="AS11" s="587"/>
      <c r="AT11" s="585"/>
    </row>
    <row r="12" spans="1:47" s="563" customFormat="1" ht="18.75" customHeight="1" x14ac:dyDescent="0.35">
      <c r="A12" s="588" t="s">
        <v>366</v>
      </c>
      <c r="B12" s="822"/>
      <c r="C12" s="822"/>
      <c r="D12" s="590"/>
      <c r="E12" s="822"/>
      <c r="F12" s="822"/>
      <c r="G12" s="592"/>
      <c r="H12" s="822">
        <v>-50</v>
      </c>
      <c r="I12" s="822">
        <v>34.179042079198709</v>
      </c>
      <c r="J12" s="591">
        <f>IF(H12=0, "    ---- ", IF(ABS(ROUND(100/H12*I12-100,1))&lt;999,ROUND(100/H12*I12-100,1),IF(ROUND(100/H12*I12-100,1)&gt;999,999,-999)))</f>
        <v>-168.4</v>
      </c>
      <c r="K12" s="822"/>
      <c r="L12" s="822"/>
      <c r="M12" s="592"/>
      <c r="N12" s="822"/>
      <c r="O12" s="822"/>
      <c r="P12" s="592"/>
      <c r="Q12" s="822"/>
      <c r="R12" s="822"/>
      <c r="S12" s="590"/>
      <c r="T12" s="822"/>
      <c r="U12" s="822"/>
      <c r="V12" s="592"/>
      <c r="W12" s="822"/>
      <c r="X12" s="822"/>
      <c r="Y12" s="592"/>
      <c r="Z12" s="822">
        <v>-1</v>
      </c>
      <c r="AA12" s="822">
        <v>12.57</v>
      </c>
      <c r="AB12" s="591">
        <f t="shared" ref="AB12:AB58" si="0">IF(Z12=0, "    ---- ", IF(ABS(ROUND(100/Z12*AA12-100,1))&lt;999,ROUND(100/Z12*AA12-100,1),IF(ROUND(100/Z12*AA12-100,1)&gt;999,999,-999)))</f>
        <v>-999</v>
      </c>
      <c r="AC12" s="822"/>
      <c r="AD12" s="822"/>
      <c r="AE12" s="592"/>
      <c r="AF12" s="822"/>
      <c r="AG12" s="822"/>
      <c r="AH12" s="592"/>
      <c r="AI12" s="822">
        <v>8</v>
      </c>
      <c r="AJ12" s="822">
        <v>26</v>
      </c>
      <c r="AK12" s="591">
        <f>IF(AI12=0, "    ---- ", IF(ABS(ROUND(100/AI12*AJ12-100,1))&lt;999,ROUND(100/AI12*AJ12-100,1),IF(ROUND(100/AI12*AJ12-100,1)&gt;999,999,-999)))</f>
        <v>225</v>
      </c>
      <c r="AL12" s="822">
        <v>10</v>
      </c>
      <c r="AM12" s="822">
        <v>15</v>
      </c>
      <c r="AN12" s="591">
        <f>IF(AL12=0, "    ---- ", IF(ABS(ROUND(100/AL12*AM12-100,1))&lt;999,ROUND(100/AL12*AM12-100,1),IF(ROUND(100/AL12*AM12-100,1)&gt;999,999,-999)))</f>
        <v>50</v>
      </c>
      <c r="AO12" s="593">
        <f t="shared" ref="AO12:AO22" si="1">B12+H12+K12+N12+Q12+W12+E12+Z12+AC12+AI12+AL12</f>
        <v>-33</v>
      </c>
      <c r="AP12" s="593">
        <f t="shared" ref="AP12:AP22" si="2">C12+I12+L12+O12+R12+X12+F12+AA12+AD12+AJ12+AM12</f>
        <v>87.749042079198716</v>
      </c>
      <c r="AQ12" s="591">
        <f t="shared" ref="AQ12:AQ22" si="3">IF(AO12=0, "    ---- ", IF(ABS(ROUND(100/AO12*AP12-100,1))&lt;999,ROUND(100/AO12*AP12-100,1),IF(ROUND(100/AO12*AP12-100,1)&gt;999,999,-999)))</f>
        <v>-365.9</v>
      </c>
      <c r="AR12" s="593">
        <f t="shared" ref="AR12:AR22" si="4">+B12+H12+K12+N12+Q12+T12+W12+E12+Z12+AC12+AF12+AI12+AL12</f>
        <v>-33</v>
      </c>
      <c r="AS12" s="593">
        <f t="shared" ref="AS12:AS22" si="5">+C12+I12+L12+O12+R12+U12+X12+F12+AA12+AD12+AG12+AJ12+AM12</f>
        <v>87.749042079198716</v>
      </c>
      <c r="AT12" s="591">
        <f t="shared" ref="AT12:AT22" si="6">IF(AR12=0, "    ---- ", IF(ABS(ROUND(100/AR12*AS12-100,1))&lt;999,ROUND(100/AR12*AS12-100,1),IF(ROUND(100/AR12*AS12-100,1)&gt;999,999,-999)))</f>
        <v>-365.9</v>
      </c>
    </row>
    <row r="13" spans="1:47" s="563" customFormat="1" ht="18.75" customHeight="1" x14ac:dyDescent="0.35">
      <c r="A13" s="588" t="s">
        <v>367</v>
      </c>
      <c r="B13" s="822"/>
      <c r="C13" s="822"/>
      <c r="D13" s="590"/>
      <c r="E13" s="822"/>
      <c r="F13" s="822"/>
      <c r="G13" s="592"/>
      <c r="H13" s="822">
        <v>51</v>
      </c>
      <c r="I13" s="822">
        <v>-24.7790420791987</v>
      </c>
      <c r="J13" s="591">
        <f>IF(H13=0, "    ---- ", IF(ABS(ROUND(100/H13*I13-100,1))&lt;999,ROUND(100/H13*I13-100,1),IF(ROUND(100/H13*I13-100,1)&gt;999,999,-999)))</f>
        <v>-148.6</v>
      </c>
      <c r="K13" s="822"/>
      <c r="L13" s="822"/>
      <c r="M13" s="592"/>
      <c r="N13" s="822"/>
      <c r="O13" s="822"/>
      <c r="P13" s="592"/>
      <c r="Q13" s="822"/>
      <c r="R13" s="822"/>
      <c r="S13" s="590"/>
      <c r="T13" s="822"/>
      <c r="U13" s="822"/>
      <c r="V13" s="592"/>
      <c r="W13" s="822"/>
      <c r="X13" s="822"/>
      <c r="Y13" s="592"/>
      <c r="Z13" s="822">
        <v>1</v>
      </c>
      <c r="AA13" s="822">
        <v>-12.57</v>
      </c>
      <c r="AB13" s="591">
        <f t="shared" si="0"/>
        <v>-999</v>
      </c>
      <c r="AC13" s="822"/>
      <c r="AD13" s="822"/>
      <c r="AE13" s="592"/>
      <c r="AF13" s="822"/>
      <c r="AG13" s="822"/>
      <c r="AH13" s="592"/>
      <c r="AI13" s="822"/>
      <c r="AJ13" s="822"/>
      <c r="AK13" s="591"/>
      <c r="AL13" s="822">
        <v>-4.5</v>
      </c>
      <c r="AM13" s="822">
        <v>-1</v>
      </c>
      <c r="AN13" s="591">
        <f>IF(AL13=0, "    ---- ", IF(ABS(ROUND(100/AL13*AM13-100,1))&lt;999,ROUND(100/AL13*AM13-100,1),IF(ROUND(100/AL13*AM13-100,1)&gt;999,999,-999)))</f>
        <v>-77.8</v>
      </c>
      <c r="AO13" s="593">
        <f t="shared" si="1"/>
        <v>47.5</v>
      </c>
      <c r="AP13" s="593">
        <f t="shared" si="2"/>
        <v>-38.349042079198696</v>
      </c>
      <c r="AQ13" s="591">
        <f t="shared" si="3"/>
        <v>-180.7</v>
      </c>
      <c r="AR13" s="593">
        <f t="shared" si="4"/>
        <v>47.5</v>
      </c>
      <c r="AS13" s="593">
        <f t="shared" si="5"/>
        <v>-38.349042079198696</v>
      </c>
      <c r="AT13" s="591">
        <f t="shared" si="6"/>
        <v>-180.7</v>
      </c>
    </row>
    <row r="14" spans="1:47" s="563" customFormat="1" ht="18.75" customHeight="1" x14ac:dyDescent="0.35">
      <c r="A14" s="588" t="s">
        <v>368</v>
      </c>
      <c r="B14" s="822"/>
      <c r="C14" s="822"/>
      <c r="D14" s="590"/>
      <c r="E14" s="822"/>
      <c r="F14" s="822"/>
      <c r="G14" s="592"/>
      <c r="H14" s="822">
        <v>23</v>
      </c>
      <c r="I14" s="822">
        <v>16.504179835875803</v>
      </c>
      <c r="J14" s="591">
        <f>IF(H14=0, "    ---- ", IF(ABS(ROUND(100/H14*I14-100,1))&lt;999,ROUND(100/H14*I14-100,1),IF(ROUND(100/H14*I14-100,1)&gt;999,999,-999)))</f>
        <v>-28.2</v>
      </c>
      <c r="K14" s="822"/>
      <c r="L14" s="822"/>
      <c r="M14" s="592"/>
      <c r="N14" s="822"/>
      <c r="O14" s="822"/>
      <c r="P14" s="592"/>
      <c r="Q14" s="822"/>
      <c r="R14" s="822"/>
      <c r="S14" s="590"/>
      <c r="T14" s="822"/>
      <c r="U14" s="822"/>
      <c r="V14" s="592"/>
      <c r="W14" s="822"/>
      <c r="X14" s="822"/>
      <c r="Y14" s="592"/>
      <c r="Z14" s="822">
        <v>2</v>
      </c>
      <c r="AA14" s="822">
        <v>4.58</v>
      </c>
      <c r="AB14" s="591">
        <f t="shared" si="0"/>
        <v>129</v>
      </c>
      <c r="AC14" s="822"/>
      <c r="AD14" s="822"/>
      <c r="AE14" s="592"/>
      <c r="AF14" s="822"/>
      <c r="AG14" s="822"/>
      <c r="AH14" s="592"/>
      <c r="AI14" s="822">
        <v>-8</v>
      </c>
      <c r="AJ14" s="822">
        <v>-8</v>
      </c>
      <c r="AK14" s="591">
        <f>IF(AI14=0, "    ---- ", IF(ABS(ROUND(100/AI14*AJ14-100,1))&lt;999,ROUND(100/AI14*AJ14-100,1),IF(ROUND(100/AI14*AJ14-100,1)&gt;999,999,-999)))</f>
        <v>0</v>
      </c>
      <c r="AL14" s="822">
        <v>6</v>
      </c>
      <c r="AM14" s="822">
        <v>11</v>
      </c>
      <c r="AN14" s="591">
        <f>IF(AL14=0, "    ---- ", IF(ABS(ROUND(100/AL14*AM14-100,1))&lt;999,ROUND(100/AL14*AM14-100,1),IF(ROUND(100/AL14*AM14-100,1)&gt;999,999,-999)))</f>
        <v>83.3</v>
      </c>
      <c r="AO14" s="593">
        <f t="shared" si="1"/>
        <v>23</v>
      </c>
      <c r="AP14" s="593">
        <f t="shared" si="2"/>
        <v>24.084179835875801</v>
      </c>
      <c r="AQ14" s="591">
        <f t="shared" si="3"/>
        <v>4.7</v>
      </c>
      <c r="AR14" s="593">
        <f t="shared" si="4"/>
        <v>23</v>
      </c>
      <c r="AS14" s="593">
        <f t="shared" si="5"/>
        <v>24.084179835875801</v>
      </c>
      <c r="AT14" s="591">
        <f t="shared" si="6"/>
        <v>4.7</v>
      </c>
    </row>
    <row r="15" spans="1:47" s="563" customFormat="1" ht="18.75" customHeight="1" x14ac:dyDescent="0.35">
      <c r="A15" s="588" t="s">
        <v>369</v>
      </c>
      <c r="B15" s="822"/>
      <c r="C15" s="822"/>
      <c r="D15" s="590"/>
      <c r="E15" s="822"/>
      <c r="F15" s="822"/>
      <c r="G15" s="592"/>
      <c r="H15" s="822"/>
      <c r="I15" s="822"/>
      <c r="J15" s="591"/>
      <c r="K15" s="822"/>
      <c r="L15" s="822"/>
      <c r="M15" s="592"/>
      <c r="N15" s="822"/>
      <c r="O15" s="822"/>
      <c r="P15" s="592"/>
      <c r="Q15" s="822"/>
      <c r="R15" s="822"/>
      <c r="S15" s="590"/>
      <c r="T15" s="822"/>
      <c r="U15" s="822"/>
      <c r="V15" s="592"/>
      <c r="W15" s="822"/>
      <c r="X15" s="822"/>
      <c r="Y15" s="592"/>
      <c r="Z15" s="822"/>
      <c r="AA15" s="822"/>
      <c r="AB15" s="591"/>
      <c r="AC15" s="822"/>
      <c r="AD15" s="822"/>
      <c r="AE15" s="592"/>
      <c r="AF15" s="822"/>
      <c r="AG15" s="822"/>
      <c r="AH15" s="592"/>
      <c r="AI15" s="822"/>
      <c r="AJ15" s="822"/>
      <c r="AK15" s="591"/>
      <c r="AL15" s="822"/>
      <c r="AM15" s="822"/>
      <c r="AN15" s="591"/>
      <c r="AO15" s="593">
        <f t="shared" si="1"/>
        <v>0</v>
      </c>
      <c r="AP15" s="593">
        <f t="shared" si="2"/>
        <v>0</v>
      </c>
      <c r="AQ15" s="591" t="str">
        <f t="shared" si="3"/>
        <v xml:space="preserve">    ---- </v>
      </c>
      <c r="AR15" s="593">
        <f t="shared" si="4"/>
        <v>0</v>
      </c>
      <c r="AS15" s="593">
        <f t="shared" si="5"/>
        <v>0</v>
      </c>
      <c r="AT15" s="591" t="str">
        <f t="shared" si="6"/>
        <v xml:space="preserve">    ---- </v>
      </c>
    </row>
    <row r="16" spans="1:47" s="563" customFormat="1" ht="18.75" customHeight="1" x14ac:dyDescent="0.35">
      <c r="A16" s="588" t="s">
        <v>370</v>
      </c>
      <c r="B16" s="822"/>
      <c r="C16" s="822"/>
      <c r="D16" s="590"/>
      <c r="E16" s="822"/>
      <c r="F16" s="822"/>
      <c r="G16" s="592"/>
      <c r="H16" s="822"/>
      <c r="I16" s="822"/>
      <c r="J16" s="591"/>
      <c r="K16" s="822"/>
      <c r="L16" s="822"/>
      <c r="M16" s="592"/>
      <c r="N16" s="822"/>
      <c r="O16" s="822"/>
      <c r="P16" s="592"/>
      <c r="Q16" s="822"/>
      <c r="R16" s="822"/>
      <c r="S16" s="590"/>
      <c r="T16" s="822"/>
      <c r="U16" s="822"/>
      <c r="V16" s="592"/>
      <c r="W16" s="822"/>
      <c r="X16" s="822"/>
      <c r="Y16" s="592"/>
      <c r="Z16" s="822"/>
      <c r="AA16" s="822"/>
      <c r="AB16" s="591"/>
      <c r="AC16" s="822"/>
      <c r="AD16" s="822"/>
      <c r="AE16" s="592"/>
      <c r="AF16" s="822"/>
      <c r="AG16" s="822"/>
      <c r="AH16" s="592"/>
      <c r="AI16" s="822"/>
      <c r="AJ16" s="822"/>
      <c r="AK16" s="591"/>
      <c r="AL16" s="822"/>
      <c r="AM16" s="822"/>
      <c r="AN16" s="591"/>
      <c r="AO16" s="593">
        <f t="shared" si="1"/>
        <v>0</v>
      </c>
      <c r="AP16" s="593">
        <f t="shared" si="2"/>
        <v>0</v>
      </c>
      <c r="AQ16" s="591" t="str">
        <f t="shared" si="3"/>
        <v xml:space="preserve">    ---- </v>
      </c>
      <c r="AR16" s="593">
        <f t="shared" si="4"/>
        <v>0</v>
      </c>
      <c r="AS16" s="593">
        <f t="shared" si="5"/>
        <v>0</v>
      </c>
      <c r="AT16" s="591" t="str">
        <f t="shared" si="6"/>
        <v xml:space="preserve">    ---- </v>
      </c>
    </row>
    <row r="17" spans="1:46" s="563" customFormat="1" ht="18.75" customHeight="1" x14ac:dyDescent="0.35">
      <c r="A17" s="588" t="s">
        <v>371</v>
      </c>
      <c r="B17" s="822"/>
      <c r="C17" s="822"/>
      <c r="D17" s="590"/>
      <c r="E17" s="822"/>
      <c r="F17" s="822"/>
      <c r="G17" s="592"/>
      <c r="H17" s="822">
        <v>14</v>
      </c>
      <c r="I17" s="822">
        <v>30.471177833926873</v>
      </c>
      <c r="J17" s="591">
        <f>IF(H17=0, "    ---- ", IF(ABS(ROUND(100/H17*I17-100,1))&lt;999,ROUND(100/H17*I17-100,1),IF(ROUND(100/H17*I17-100,1)&gt;999,999,-999)))</f>
        <v>117.7</v>
      </c>
      <c r="K17" s="822"/>
      <c r="L17" s="822"/>
      <c r="M17" s="592"/>
      <c r="N17" s="822"/>
      <c r="O17" s="822"/>
      <c r="P17" s="592"/>
      <c r="Q17" s="822"/>
      <c r="R17" s="822"/>
      <c r="S17" s="590"/>
      <c r="T17" s="822"/>
      <c r="U17" s="822"/>
      <c r="V17" s="592"/>
      <c r="W17" s="822"/>
      <c r="X17" s="822"/>
      <c r="Y17" s="592"/>
      <c r="Z17" s="822">
        <v>4</v>
      </c>
      <c r="AA17" s="822">
        <v>18.670000000000002</v>
      </c>
      <c r="AB17" s="591">
        <f t="shared" si="0"/>
        <v>366.8</v>
      </c>
      <c r="AC17" s="822"/>
      <c r="AD17" s="822"/>
      <c r="AE17" s="592"/>
      <c r="AF17" s="822"/>
      <c r="AG17" s="822"/>
      <c r="AH17" s="592"/>
      <c r="AI17" s="822">
        <v>6</v>
      </c>
      <c r="AJ17" s="822">
        <v>33</v>
      </c>
      <c r="AK17" s="591">
        <f>IF(AI17=0, "    ---- ", IF(ABS(ROUND(100/AI17*AJ17-100,1))&lt;999,ROUND(100/AI17*AJ17-100,1),IF(ROUND(100/AI17*AJ17-100,1)&gt;999,999,-999)))</f>
        <v>450</v>
      </c>
      <c r="AL17" s="822">
        <v>104</v>
      </c>
      <c r="AM17" s="822">
        <v>74</v>
      </c>
      <c r="AN17" s="591">
        <f>IF(AL17=0, "    ---- ", IF(ABS(ROUND(100/AL17*AM17-100,1))&lt;999,ROUND(100/AL17*AM17-100,1),IF(ROUND(100/AL17*AM17-100,1)&gt;999,999,-999)))</f>
        <v>-28.8</v>
      </c>
      <c r="AO17" s="593">
        <f t="shared" si="1"/>
        <v>128</v>
      </c>
      <c r="AP17" s="593">
        <f t="shared" si="2"/>
        <v>156.14117783392686</v>
      </c>
      <c r="AQ17" s="591">
        <f t="shared" si="3"/>
        <v>22</v>
      </c>
      <c r="AR17" s="593">
        <f t="shared" si="4"/>
        <v>128</v>
      </c>
      <c r="AS17" s="593">
        <f t="shared" si="5"/>
        <v>156.14117783392686</v>
      </c>
      <c r="AT17" s="591">
        <f t="shared" si="6"/>
        <v>22</v>
      </c>
    </row>
    <row r="18" spans="1:46" s="563" customFormat="1" ht="18.75" customHeight="1" x14ac:dyDescent="0.35">
      <c r="A18" s="588" t="s">
        <v>372</v>
      </c>
      <c r="B18" s="822"/>
      <c r="C18" s="822"/>
      <c r="D18" s="590"/>
      <c r="E18" s="822"/>
      <c r="F18" s="822"/>
      <c r="G18" s="592"/>
      <c r="H18" s="822"/>
      <c r="I18" s="822"/>
      <c r="J18" s="591"/>
      <c r="K18" s="822"/>
      <c r="L18" s="822"/>
      <c r="M18" s="592"/>
      <c r="N18" s="822"/>
      <c r="O18" s="822"/>
      <c r="P18" s="592"/>
      <c r="Q18" s="822"/>
      <c r="R18" s="822"/>
      <c r="S18" s="590"/>
      <c r="T18" s="822"/>
      <c r="U18" s="822"/>
      <c r="V18" s="592"/>
      <c r="W18" s="822"/>
      <c r="X18" s="822"/>
      <c r="Y18" s="592"/>
      <c r="Z18" s="822"/>
      <c r="AA18" s="822"/>
      <c r="AB18" s="591"/>
      <c r="AC18" s="822"/>
      <c r="AD18" s="822"/>
      <c r="AE18" s="592"/>
      <c r="AF18" s="822"/>
      <c r="AG18" s="822"/>
      <c r="AH18" s="592"/>
      <c r="AI18" s="822"/>
      <c r="AJ18" s="822"/>
      <c r="AK18" s="591"/>
      <c r="AL18" s="822"/>
      <c r="AM18" s="822"/>
      <c r="AN18" s="591"/>
      <c r="AO18" s="593">
        <f t="shared" si="1"/>
        <v>0</v>
      </c>
      <c r="AP18" s="593">
        <f t="shared" si="2"/>
        <v>0</v>
      </c>
      <c r="AQ18" s="591" t="str">
        <f t="shared" si="3"/>
        <v xml:space="preserve">    ---- </v>
      </c>
      <c r="AR18" s="593">
        <f t="shared" si="4"/>
        <v>0</v>
      </c>
      <c r="AS18" s="593">
        <f t="shared" si="5"/>
        <v>0</v>
      </c>
      <c r="AT18" s="591" t="str">
        <f t="shared" si="6"/>
        <v xml:space="preserve">    ---- </v>
      </c>
    </row>
    <row r="19" spans="1:46" s="563" customFormat="1" ht="18.75" customHeight="1" x14ac:dyDescent="0.35">
      <c r="A19" s="588" t="s">
        <v>373</v>
      </c>
      <c r="B19" s="822"/>
      <c r="C19" s="822"/>
      <c r="D19" s="590"/>
      <c r="E19" s="822"/>
      <c r="F19" s="822"/>
      <c r="G19" s="592"/>
      <c r="H19" s="822"/>
      <c r="I19" s="822"/>
      <c r="J19" s="591"/>
      <c r="K19" s="822"/>
      <c r="L19" s="822"/>
      <c r="M19" s="592"/>
      <c r="N19" s="822"/>
      <c r="O19" s="822"/>
      <c r="P19" s="592"/>
      <c r="Q19" s="822"/>
      <c r="R19" s="822"/>
      <c r="S19" s="590"/>
      <c r="T19" s="822"/>
      <c r="U19" s="822"/>
      <c r="V19" s="592"/>
      <c r="W19" s="822"/>
      <c r="X19" s="822"/>
      <c r="Y19" s="592"/>
      <c r="Z19" s="822"/>
      <c r="AA19" s="822"/>
      <c r="AB19" s="591"/>
      <c r="AC19" s="822"/>
      <c r="AD19" s="822"/>
      <c r="AE19" s="592"/>
      <c r="AF19" s="822"/>
      <c r="AG19" s="822"/>
      <c r="AH19" s="592"/>
      <c r="AI19" s="822"/>
      <c r="AJ19" s="822"/>
      <c r="AK19" s="591"/>
      <c r="AL19" s="822"/>
      <c r="AM19" s="822"/>
      <c r="AN19" s="591"/>
      <c r="AO19" s="593">
        <f t="shared" si="1"/>
        <v>0</v>
      </c>
      <c r="AP19" s="593">
        <f t="shared" si="2"/>
        <v>0</v>
      </c>
      <c r="AQ19" s="591" t="str">
        <f t="shared" si="3"/>
        <v xml:space="preserve">    ---- </v>
      </c>
      <c r="AR19" s="593">
        <f t="shared" si="4"/>
        <v>0</v>
      </c>
      <c r="AS19" s="593">
        <f t="shared" si="5"/>
        <v>0</v>
      </c>
      <c r="AT19" s="591" t="str">
        <f t="shared" si="6"/>
        <v xml:space="preserve">    ---- </v>
      </c>
    </row>
    <row r="20" spans="1:46" s="595" customFormat="1" ht="18.75" customHeight="1" x14ac:dyDescent="0.3">
      <c r="A20" s="583" t="s">
        <v>374</v>
      </c>
      <c r="B20" s="820"/>
      <c r="C20" s="820"/>
      <c r="D20" s="584"/>
      <c r="E20" s="820"/>
      <c r="F20" s="820"/>
      <c r="G20" s="585"/>
      <c r="H20" s="820">
        <f>SUM(H12:H17)+H19</f>
        <v>38</v>
      </c>
      <c r="I20" s="820">
        <f>SUM(I12:I17)+I19</f>
        <v>56.375357669802682</v>
      </c>
      <c r="J20" s="586">
        <f>IF(H20=0, "    ---- ", IF(ABS(ROUND(100/H20*I20-100,1))&lt;999,ROUND(100/H20*I20-100,1),IF(ROUND(100/H20*I20-100,1)&gt;999,999,-999)))</f>
        <v>48.4</v>
      </c>
      <c r="K20" s="820"/>
      <c r="L20" s="820"/>
      <c r="M20" s="585"/>
      <c r="N20" s="820"/>
      <c r="O20" s="820"/>
      <c r="P20" s="585"/>
      <c r="Q20" s="820"/>
      <c r="R20" s="820"/>
      <c r="S20" s="584"/>
      <c r="T20" s="820"/>
      <c r="U20" s="820"/>
      <c r="V20" s="585"/>
      <c r="W20" s="820"/>
      <c r="X20" s="820"/>
      <c r="Y20" s="585"/>
      <c r="Z20" s="820">
        <f>SUM(Z12:Z17)+Z19</f>
        <v>6</v>
      </c>
      <c r="AA20" s="820">
        <f>SUM(AA12:AA17)+AA19</f>
        <v>23.25</v>
      </c>
      <c r="AB20" s="586">
        <f t="shared" si="0"/>
        <v>287.5</v>
      </c>
      <c r="AC20" s="820"/>
      <c r="AD20" s="820"/>
      <c r="AE20" s="585"/>
      <c r="AF20" s="820"/>
      <c r="AG20" s="820"/>
      <c r="AH20" s="585"/>
      <c r="AI20" s="820">
        <f>SUM(AI12:AI17)+AI19</f>
        <v>6</v>
      </c>
      <c r="AJ20" s="820">
        <f>SUM(AJ12:AJ17)+AJ19</f>
        <v>51</v>
      </c>
      <c r="AK20" s="586">
        <f>IF(AI20=0, "    ---- ", IF(ABS(ROUND(100/AI20*AJ20-100,1))&lt;999,ROUND(100/AI20*AJ20-100,1),IF(ROUND(100/AI20*AJ20-100,1)&gt;999,999,-999)))</f>
        <v>750</v>
      </c>
      <c r="AL20" s="820">
        <f>SUM(AL12:AL17)+AL19</f>
        <v>115.5</v>
      </c>
      <c r="AM20" s="820">
        <f>SUM(AM12:AM17)+AM19</f>
        <v>99</v>
      </c>
      <c r="AN20" s="586">
        <f>IF(AL20=0, "    ---- ", IF(ABS(ROUND(100/AL20*AM20-100,1))&lt;999,ROUND(100/AL20*AM20-100,1),IF(ROUND(100/AL20*AM20-100,1)&gt;999,999,-999)))</f>
        <v>-14.3</v>
      </c>
      <c r="AO20" s="594">
        <f t="shared" si="1"/>
        <v>165.5</v>
      </c>
      <c r="AP20" s="594">
        <f t="shared" si="2"/>
        <v>229.62535766980267</v>
      </c>
      <c r="AQ20" s="586">
        <f t="shared" si="3"/>
        <v>38.700000000000003</v>
      </c>
      <c r="AR20" s="594">
        <f t="shared" si="4"/>
        <v>165.5</v>
      </c>
      <c r="AS20" s="594">
        <f t="shared" si="5"/>
        <v>229.62535766980267</v>
      </c>
      <c r="AT20" s="586">
        <f t="shared" si="6"/>
        <v>38.700000000000003</v>
      </c>
    </row>
    <row r="21" spans="1:46" s="563" customFormat="1" ht="18.75" customHeight="1" x14ac:dyDescent="0.35">
      <c r="A21" s="588" t="s">
        <v>375</v>
      </c>
      <c r="B21" s="822"/>
      <c r="C21" s="822"/>
      <c r="D21" s="590"/>
      <c r="E21" s="822"/>
      <c r="F21" s="822"/>
      <c r="G21" s="592"/>
      <c r="H21" s="822">
        <v>25</v>
      </c>
      <c r="I21" s="822">
        <v>36.643982485371403</v>
      </c>
      <c r="J21" s="591">
        <f>IF(H21=0, "    ---- ", IF(ABS(ROUND(100/H21*I21-100,1))&lt;999,ROUND(100/H21*I21-100,1),IF(ROUND(100/H21*I21-100,1)&gt;999,999,-999)))</f>
        <v>46.6</v>
      </c>
      <c r="K21" s="822"/>
      <c r="L21" s="822"/>
      <c r="M21" s="592"/>
      <c r="N21" s="822"/>
      <c r="O21" s="822"/>
      <c r="P21" s="592"/>
      <c r="Q21" s="822"/>
      <c r="R21" s="822"/>
      <c r="S21" s="590"/>
      <c r="T21" s="822"/>
      <c r="U21" s="822"/>
      <c r="V21" s="592"/>
      <c r="W21" s="822"/>
      <c r="X21" s="822"/>
      <c r="Y21" s="592"/>
      <c r="Z21" s="822">
        <v>4</v>
      </c>
      <c r="AA21" s="822">
        <v>15.11</v>
      </c>
      <c r="AB21" s="591">
        <f t="shared" si="0"/>
        <v>277.8</v>
      </c>
      <c r="AC21" s="822"/>
      <c r="AD21" s="822"/>
      <c r="AE21" s="592"/>
      <c r="AF21" s="822"/>
      <c r="AG21" s="822"/>
      <c r="AH21" s="592"/>
      <c r="AI21" s="822">
        <v>4</v>
      </c>
      <c r="AJ21" s="822">
        <v>33</v>
      </c>
      <c r="AK21" s="591">
        <f>IF(AI21=0, "    ---- ", IF(ABS(ROUND(100/AI21*AJ21-100,1))&lt;999,ROUND(100/AI21*AJ21-100,1),IF(ROUND(100/AI21*AJ21-100,1)&gt;999,999,-999)))</f>
        <v>725</v>
      </c>
      <c r="AL21" s="822">
        <v>75.099999999999994</v>
      </c>
      <c r="AM21" s="822">
        <v>65</v>
      </c>
      <c r="AN21" s="591">
        <f>IF(AL21=0, "    ---- ", IF(ABS(ROUND(100/AL21*AM21-100,1))&lt;999,ROUND(100/AL21*AM21-100,1),IF(ROUND(100/AL21*AM21-100,1)&gt;999,999,-999)))</f>
        <v>-13.4</v>
      </c>
      <c r="AO21" s="593">
        <f t="shared" si="1"/>
        <v>108.1</v>
      </c>
      <c r="AP21" s="593">
        <f t="shared" si="2"/>
        <v>149.75398248537141</v>
      </c>
      <c r="AQ21" s="591">
        <f t="shared" si="3"/>
        <v>38.5</v>
      </c>
      <c r="AR21" s="593">
        <f t="shared" si="4"/>
        <v>108.1</v>
      </c>
      <c r="AS21" s="593">
        <f t="shared" si="5"/>
        <v>149.75398248537141</v>
      </c>
      <c r="AT21" s="591">
        <f t="shared" si="6"/>
        <v>38.5</v>
      </c>
    </row>
    <row r="22" spans="1:46" s="563" customFormat="1" ht="18.75" customHeight="1" x14ac:dyDescent="0.35">
      <c r="A22" s="588" t="s">
        <v>376</v>
      </c>
      <c r="B22" s="822"/>
      <c r="C22" s="822"/>
      <c r="D22" s="590"/>
      <c r="E22" s="822"/>
      <c r="F22" s="822"/>
      <c r="G22" s="592"/>
      <c r="H22" s="822">
        <v>13</v>
      </c>
      <c r="I22" s="822">
        <v>19.731375184431279</v>
      </c>
      <c r="J22" s="591">
        <f>IF(H22=0, "    ---- ", IF(ABS(ROUND(100/H22*I22-100,1))&lt;999,ROUND(100/H22*I22-100,1),IF(ROUND(100/H22*I22-100,1)&gt;999,999,-999)))</f>
        <v>51.8</v>
      </c>
      <c r="K22" s="822"/>
      <c r="L22" s="822"/>
      <c r="M22" s="592"/>
      <c r="N22" s="822"/>
      <c r="O22" s="822"/>
      <c r="P22" s="592"/>
      <c r="Q22" s="822"/>
      <c r="R22" s="822"/>
      <c r="S22" s="590"/>
      <c r="T22" s="822"/>
      <c r="U22" s="822"/>
      <c r="V22" s="592"/>
      <c r="W22" s="822"/>
      <c r="X22" s="822"/>
      <c r="Y22" s="592"/>
      <c r="Z22" s="822">
        <v>2</v>
      </c>
      <c r="AA22" s="822">
        <v>8.14</v>
      </c>
      <c r="AB22" s="591">
        <f t="shared" si="0"/>
        <v>307</v>
      </c>
      <c r="AC22" s="822"/>
      <c r="AD22" s="822"/>
      <c r="AE22" s="592"/>
      <c r="AF22" s="822"/>
      <c r="AG22" s="822"/>
      <c r="AH22" s="592"/>
      <c r="AI22" s="822">
        <v>2</v>
      </c>
      <c r="AJ22" s="822">
        <v>18</v>
      </c>
      <c r="AK22" s="591">
        <f>IF(AI22=0, "    ---- ", IF(ABS(ROUND(100/AI22*AJ22-100,1))&lt;999,ROUND(100/AI22*AJ22-100,1),IF(ROUND(100/AI22*AJ22-100,1)&gt;999,999,-999)))</f>
        <v>800</v>
      </c>
      <c r="AL22" s="822">
        <v>40.5</v>
      </c>
      <c r="AM22" s="822">
        <v>34</v>
      </c>
      <c r="AN22" s="591">
        <f>IF(AL22=0, "    ---- ", IF(ABS(ROUND(100/AL22*AM22-100,1))&lt;999,ROUND(100/AL22*AM22-100,1),IF(ROUND(100/AL22*AM22-100,1)&gt;999,999,-999)))</f>
        <v>-16</v>
      </c>
      <c r="AO22" s="593">
        <f t="shared" si="1"/>
        <v>57.5</v>
      </c>
      <c r="AP22" s="593">
        <f t="shared" si="2"/>
        <v>79.871375184431287</v>
      </c>
      <c r="AQ22" s="591">
        <f t="shared" si="3"/>
        <v>38.9</v>
      </c>
      <c r="AR22" s="593">
        <f t="shared" si="4"/>
        <v>57.5</v>
      </c>
      <c r="AS22" s="593">
        <f t="shared" si="5"/>
        <v>79.871375184431287</v>
      </c>
      <c r="AT22" s="591">
        <f t="shared" si="6"/>
        <v>38.9</v>
      </c>
    </row>
    <row r="23" spans="1:46" s="563" customFormat="1" ht="18.75" customHeight="1" x14ac:dyDescent="0.35">
      <c r="A23" s="583" t="s">
        <v>377</v>
      </c>
      <c r="B23" s="820"/>
      <c r="C23" s="820"/>
      <c r="D23" s="584"/>
      <c r="E23" s="820"/>
      <c r="F23" s="820"/>
      <c r="G23" s="585"/>
      <c r="H23" s="820"/>
      <c r="I23" s="820"/>
      <c r="J23" s="586"/>
      <c r="K23" s="820"/>
      <c r="L23" s="820"/>
      <c r="M23" s="585"/>
      <c r="N23" s="820"/>
      <c r="O23" s="820"/>
      <c r="P23" s="585"/>
      <c r="Q23" s="820"/>
      <c r="R23" s="820"/>
      <c r="S23" s="584"/>
      <c r="T23" s="820"/>
      <c r="U23" s="820"/>
      <c r="V23" s="585"/>
      <c r="W23" s="820"/>
      <c r="X23" s="820"/>
      <c r="Y23" s="585"/>
      <c r="Z23" s="820"/>
      <c r="AA23" s="820"/>
      <c r="AB23" s="586"/>
      <c r="AC23" s="820"/>
      <c r="AD23" s="820"/>
      <c r="AE23" s="585"/>
      <c r="AF23" s="820"/>
      <c r="AG23" s="820"/>
      <c r="AH23" s="585"/>
      <c r="AI23" s="820"/>
      <c r="AJ23" s="820"/>
      <c r="AK23" s="586"/>
      <c r="AL23" s="820"/>
      <c r="AM23" s="820"/>
      <c r="AN23" s="586"/>
      <c r="AO23" s="594"/>
      <c r="AP23" s="594"/>
      <c r="AQ23" s="586"/>
      <c r="AR23" s="594"/>
      <c r="AS23" s="594"/>
      <c r="AT23" s="586"/>
    </row>
    <row r="24" spans="1:46" s="563" customFormat="1" ht="18.75" customHeight="1" x14ac:dyDescent="0.35">
      <c r="A24" s="588" t="s">
        <v>366</v>
      </c>
      <c r="B24" s="822"/>
      <c r="C24" s="822"/>
      <c r="D24" s="590"/>
      <c r="E24" s="822"/>
      <c r="F24" s="822"/>
      <c r="G24" s="592"/>
      <c r="H24" s="822">
        <v>-14</v>
      </c>
      <c r="I24" s="822">
        <v>137.85954973933144</v>
      </c>
      <c r="J24" s="591">
        <f t="shared" ref="J24:J29" si="7">IF(H24=0, "    ---- ", IF(ABS(ROUND(100/H24*I24-100,1))&lt;999,ROUND(100/H24*I24-100,1),IF(ROUND(100/H24*I24-100,1)&gt;999,999,-999)))</f>
        <v>-999</v>
      </c>
      <c r="K24" s="822"/>
      <c r="L24" s="822"/>
      <c r="M24" s="592"/>
      <c r="N24" s="822"/>
      <c r="O24" s="822"/>
      <c r="P24" s="592"/>
      <c r="Q24" s="822"/>
      <c r="R24" s="822"/>
      <c r="S24" s="590"/>
      <c r="T24" s="822"/>
      <c r="U24" s="822"/>
      <c r="V24" s="592"/>
      <c r="W24" s="822"/>
      <c r="X24" s="822"/>
      <c r="Y24" s="592"/>
      <c r="Z24" s="822">
        <v>1</v>
      </c>
      <c r="AA24" s="822">
        <v>2.0699999999999998</v>
      </c>
      <c r="AB24" s="591">
        <f t="shared" si="0"/>
        <v>107</v>
      </c>
      <c r="AC24" s="822"/>
      <c r="AD24" s="822"/>
      <c r="AE24" s="592"/>
      <c r="AF24" s="822"/>
      <c r="AG24" s="822"/>
      <c r="AH24" s="592"/>
      <c r="AI24" s="822">
        <v>-3</v>
      </c>
      <c r="AJ24" s="822"/>
      <c r="AK24" s="591">
        <f>IF(AI24=0, "    ---- ", IF(ABS(ROUND(100/AI24*AJ24-100,1))&lt;999,ROUND(100/AI24*AJ24-100,1),IF(ROUND(100/AI24*AJ24-100,1)&gt;999,999,-999)))</f>
        <v>-100</v>
      </c>
      <c r="AL24" s="822"/>
      <c r="AM24" s="822"/>
      <c r="AN24" s="592"/>
      <c r="AO24" s="593">
        <f t="shared" ref="AO24:AO34" si="8">B24+H24+K24+N24+Q24+W24+E24+Z24+AC24+AI24+AL24</f>
        <v>-16</v>
      </c>
      <c r="AP24" s="593">
        <f t="shared" ref="AP24:AP34" si="9">C24+I24+L24+O24+R24+X24+F24+AA24+AD24+AJ24+AM24</f>
        <v>139.92954973933143</v>
      </c>
      <c r="AQ24" s="591">
        <f t="shared" ref="AQ24:AQ87" si="10">IF(AO24=0, "    ---- ", IF(ABS(ROUND(100/AO24*AP24-100,1))&lt;999,ROUND(100/AO24*AP24-100,1),IF(ROUND(100/AO24*AP24-100,1)&gt;999,999,-999)))</f>
        <v>-974.6</v>
      </c>
      <c r="AR24" s="593">
        <f t="shared" ref="AR24:AR34" si="11">+B24+H24+K24+N24+Q24+T24+W24+E24+Z24+AC24+AF24+AI24+AL24</f>
        <v>-16</v>
      </c>
      <c r="AS24" s="593">
        <f t="shared" ref="AS24:AS34" si="12">+C24+I24+L24+O24+R24+U24+X24+F24+AA24+AD24+AG24+AJ24+AM24</f>
        <v>139.92954973933143</v>
      </c>
      <c r="AT24" s="591">
        <f t="shared" ref="AT24:AT87" si="13">IF(AR24=0, "    ---- ", IF(ABS(ROUND(100/AR24*AS24-100,1))&lt;999,ROUND(100/AR24*AS24-100,1),IF(ROUND(100/AR24*AS24-100,1)&gt;999,999,-999)))</f>
        <v>-974.6</v>
      </c>
    </row>
    <row r="25" spans="1:46" s="563" customFormat="1" ht="18.75" customHeight="1" x14ac:dyDescent="0.35">
      <c r="A25" s="588" t="s">
        <v>367</v>
      </c>
      <c r="B25" s="822"/>
      <c r="C25" s="822"/>
      <c r="D25" s="590"/>
      <c r="E25" s="822"/>
      <c r="F25" s="822"/>
      <c r="G25" s="592"/>
      <c r="H25" s="822">
        <v>13</v>
      </c>
      <c r="I25" s="822">
        <v>-1.3</v>
      </c>
      <c r="J25" s="591">
        <f t="shared" si="7"/>
        <v>-110</v>
      </c>
      <c r="K25" s="822"/>
      <c r="L25" s="822"/>
      <c r="M25" s="592"/>
      <c r="N25" s="822"/>
      <c r="O25" s="822"/>
      <c r="P25" s="592"/>
      <c r="Q25" s="822"/>
      <c r="R25" s="822"/>
      <c r="S25" s="590"/>
      <c r="T25" s="822"/>
      <c r="U25" s="822"/>
      <c r="V25" s="592"/>
      <c r="W25" s="822"/>
      <c r="X25" s="822"/>
      <c r="Y25" s="592"/>
      <c r="Z25" s="822">
        <v>-1</v>
      </c>
      <c r="AA25" s="822">
        <v>-2.06</v>
      </c>
      <c r="AB25" s="591">
        <f t="shared" si="0"/>
        <v>106</v>
      </c>
      <c r="AC25" s="822"/>
      <c r="AD25" s="822"/>
      <c r="AE25" s="592"/>
      <c r="AF25" s="822"/>
      <c r="AG25" s="822"/>
      <c r="AH25" s="592"/>
      <c r="AI25" s="822"/>
      <c r="AJ25" s="822"/>
      <c r="AK25" s="591"/>
      <c r="AL25" s="822"/>
      <c r="AM25" s="822"/>
      <c r="AN25" s="592"/>
      <c r="AO25" s="593">
        <f t="shared" si="8"/>
        <v>12</v>
      </c>
      <c r="AP25" s="593">
        <f t="shared" si="9"/>
        <v>-3.3600000000000003</v>
      </c>
      <c r="AQ25" s="591">
        <f t="shared" si="10"/>
        <v>-128</v>
      </c>
      <c r="AR25" s="593">
        <f t="shared" si="11"/>
        <v>12</v>
      </c>
      <c r="AS25" s="593">
        <f t="shared" si="12"/>
        <v>-3.3600000000000003</v>
      </c>
      <c r="AT25" s="591">
        <f t="shared" si="13"/>
        <v>-128</v>
      </c>
    </row>
    <row r="26" spans="1:46" s="563" customFormat="1" ht="18.75" customHeight="1" x14ac:dyDescent="0.35">
      <c r="A26" s="588" t="s">
        <v>368</v>
      </c>
      <c r="B26" s="822"/>
      <c r="C26" s="822"/>
      <c r="D26" s="590"/>
      <c r="E26" s="822"/>
      <c r="F26" s="822"/>
      <c r="G26" s="592"/>
      <c r="H26" s="822">
        <v>24</v>
      </c>
      <c r="I26" s="822">
        <v>16.115291503569999</v>
      </c>
      <c r="J26" s="591">
        <f t="shared" si="7"/>
        <v>-32.9</v>
      </c>
      <c r="K26" s="822"/>
      <c r="L26" s="822"/>
      <c r="M26" s="592"/>
      <c r="N26" s="822"/>
      <c r="O26" s="822"/>
      <c r="P26" s="592"/>
      <c r="Q26" s="822"/>
      <c r="R26" s="822"/>
      <c r="S26" s="590"/>
      <c r="T26" s="822"/>
      <c r="U26" s="822"/>
      <c r="V26" s="592"/>
      <c r="W26" s="822"/>
      <c r="X26" s="822"/>
      <c r="Y26" s="592"/>
      <c r="Z26" s="822">
        <v>0</v>
      </c>
      <c r="AA26" s="822">
        <v>0.31</v>
      </c>
      <c r="AB26" s="591" t="str">
        <f t="shared" si="0"/>
        <v xml:space="preserve">    ---- </v>
      </c>
      <c r="AC26" s="822"/>
      <c r="AD26" s="822"/>
      <c r="AE26" s="592"/>
      <c r="AF26" s="822"/>
      <c r="AG26" s="822"/>
      <c r="AH26" s="592"/>
      <c r="AI26" s="822">
        <v>-1</v>
      </c>
      <c r="AJ26" s="822">
        <v>-1</v>
      </c>
      <c r="AK26" s="591">
        <f>IF(AI26=0, "    ---- ", IF(ABS(ROUND(100/AI26*AJ26-100,1))&lt;999,ROUND(100/AI26*AJ26-100,1),IF(ROUND(100/AI26*AJ26-100,1)&gt;999,999,-999)))</f>
        <v>0</v>
      </c>
      <c r="AL26" s="822"/>
      <c r="AM26" s="822"/>
      <c r="AN26" s="592"/>
      <c r="AO26" s="593">
        <f t="shared" si="8"/>
        <v>23</v>
      </c>
      <c r="AP26" s="593">
        <f t="shared" si="9"/>
        <v>15.425291503569998</v>
      </c>
      <c r="AQ26" s="591">
        <f t="shared" si="10"/>
        <v>-32.9</v>
      </c>
      <c r="AR26" s="593">
        <f t="shared" si="11"/>
        <v>23</v>
      </c>
      <c r="AS26" s="593">
        <f t="shared" si="12"/>
        <v>15.425291503569998</v>
      </c>
      <c r="AT26" s="591">
        <f t="shared" si="13"/>
        <v>-32.9</v>
      </c>
    </row>
    <row r="27" spans="1:46" s="563" customFormat="1" ht="18.75" customHeight="1" x14ac:dyDescent="0.35">
      <c r="A27" s="588" t="s">
        <v>369</v>
      </c>
      <c r="B27" s="822"/>
      <c r="C27" s="822"/>
      <c r="D27" s="590"/>
      <c r="E27" s="822"/>
      <c r="F27" s="822"/>
      <c r="G27" s="592"/>
      <c r="H27" s="822">
        <v>1</v>
      </c>
      <c r="I27" s="822">
        <v>0.48848741000000001</v>
      </c>
      <c r="J27" s="591">
        <f t="shared" si="7"/>
        <v>-51.2</v>
      </c>
      <c r="K27" s="822"/>
      <c r="L27" s="822"/>
      <c r="M27" s="592"/>
      <c r="N27" s="822"/>
      <c r="O27" s="822"/>
      <c r="P27" s="592"/>
      <c r="Q27" s="822"/>
      <c r="R27" s="822"/>
      <c r="S27" s="590"/>
      <c r="T27" s="822"/>
      <c r="U27" s="822"/>
      <c r="V27" s="592"/>
      <c r="W27" s="822"/>
      <c r="X27" s="822"/>
      <c r="Y27" s="592"/>
      <c r="Z27" s="822">
        <v>0</v>
      </c>
      <c r="AA27" s="822">
        <v>0</v>
      </c>
      <c r="AB27" s="591" t="str">
        <f t="shared" si="0"/>
        <v xml:space="preserve">    ---- </v>
      </c>
      <c r="AC27" s="822"/>
      <c r="AD27" s="822"/>
      <c r="AE27" s="592"/>
      <c r="AF27" s="822"/>
      <c r="AG27" s="822"/>
      <c r="AH27" s="592"/>
      <c r="AI27" s="822"/>
      <c r="AJ27" s="822"/>
      <c r="AK27" s="591"/>
      <c r="AL27" s="822"/>
      <c r="AM27" s="822"/>
      <c r="AN27" s="592"/>
      <c r="AO27" s="593">
        <f t="shared" si="8"/>
        <v>1</v>
      </c>
      <c r="AP27" s="593">
        <f t="shared" si="9"/>
        <v>0.48848741000000001</v>
      </c>
      <c r="AQ27" s="591">
        <f t="shared" si="10"/>
        <v>-51.2</v>
      </c>
      <c r="AR27" s="593">
        <f t="shared" si="11"/>
        <v>1</v>
      </c>
      <c r="AS27" s="593">
        <f t="shared" si="12"/>
        <v>0.48848741000000001</v>
      </c>
      <c r="AT27" s="591">
        <f t="shared" si="13"/>
        <v>-51.2</v>
      </c>
    </row>
    <row r="28" spans="1:46" s="563" customFormat="1" ht="18.75" customHeight="1" x14ac:dyDescent="0.35">
      <c r="A28" s="588" t="s">
        <v>370</v>
      </c>
      <c r="B28" s="822"/>
      <c r="C28" s="822"/>
      <c r="D28" s="590"/>
      <c r="E28" s="822"/>
      <c r="F28" s="822"/>
      <c r="G28" s="592"/>
      <c r="H28" s="822">
        <v>58</v>
      </c>
      <c r="I28" s="822">
        <v>51.905025709999997</v>
      </c>
      <c r="J28" s="591">
        <f t="shared" si="7"/>
        <v>-10.5</v>
      </c>
      <c r="K28" s="822"/>
      <c r="L28" s="822"/>
      <c r="M28" s="592"/>
      <c r="N28" s="822"/>
      <c r="O28" s="822"/>
      <c r="P28" s="592"/>
      <c r="Q28" s="822"/>
      <c r="R28" s="822"/>
      <c r="S28" s="590"/>
      <c r="T28" s="822"/>
      <c r="U28" s="822"/>
      <c r="V28" s="592"/>
      <c r="W28" s="822"/>
      <c r="X28" s="822"/>
      <c r="Y28" s="592"/>
      <c r="Z28" s="822">
        <v>0</v>
      </c>
      <c r="AA28" s="822">
        <v>0.18</v>
      </c>
      <c r="AB28" s="591" t="str">
        <f t="shared" si="0"/>
        <v xml:space="preserve">    ---- </v>
      </c>
      <c r="AC28" s="822"/>
      <c r="AD28" s="822"/>
      <c r="AE28" s="592"/>
      <c r="AF28" s="822"/>
      <c r="AG28" s="822"/>
      <c r="AH28" s="592"/>
      <c r="AI28" s="822"/>
      <c r="AJ28" s="822"/>
      <c r="AK28" s="591"/>
      <c r="AL28" s="822"/>
      <c r="AM28" s="822"/>
      <c r="AN28" s="592"/>
      <c r="AO28" s="593">
        <f t="shared" si="8"/>
        <v>58</v>
      </c>
      <c r="AP28" s="593">
        <f t="shared" si="9"/>
        <v>52.085025709999996</v>
      </c>
      <c r="AQ28" s="591">
        <f t="shared" si="10"/>
        <v>-10.199999999999999</v>
      </c>
      <c r="AR28" s="593">
        <f t="shared" si="11"/>
        <v>58</v>
      </c>
      <c r="AS28" s="593">
        <f t="shared" si="12"/>
        <v>52.085025709999996</v>
      </c>
      <c r="AT28" s="591">
        <f t="shared" si="13"/>
        <v>-10.199999999999999</v>
      </c>
    </row>
    <row r="29" spans="1:46" s="563" customFormat="1" ht="18.75" customHeight="1" x14ac:dyDescent="0.35">
      <c r="A29" s="588" t="s">
        <v>371</v>
      </c>
      <c r="B29" s="822"/>
      <c r="C29" s="822"/>
      <c r="D29" s="590"/>
      <c r="E29" s="822"/>
      <c r="F29" s="822"/>
      <c r="G29" s="592"/>
      <c r="H29" s="822">
        <v>12</v>
      </c>
      <c r="I29" s="822">
        <v>6.33282399173914</v>
      </c>
      <c r="J29" s="591">
        <f t="shared" si="7"/>
        <v>-47.2</v>
      </c>
      <c r="K29" s="822"/>
      <c r="L29" s="822"/>
      <c r="M29" s="592"/>
      <c r="N29" s="822"/>
      <c r="O29" s="822"/>
      <c r="P29" s="592"/>
      <c r="Q29" s="822"/>
      <c r="R29" s="822"/>
      <c r="S29" s="590"/>
      <c r="T29" s="822"/>
      <c r="U29" s="822"/>
      <c r="V29" s="592"/>
      <c r="W29" s="822"/>
      <c r="X29" s="822"/>
      <c r="Y29" s="592"/>
      <c r="Z29" s="822">
        <v>0</v>
      </c>
      <c r="AA29" s="822">
        <v>0</v>
      </c>
      <c r="AB29" s="591" t="str">
        <f t="shared" si="0"/>
        <v xml:space="preserve">    ---- </v>
      </c>
      <c r="AC29" s="822"/>
      <c r="AD29" s="822"/>
      <c r="AE29" s="592"/>
      <c r="AF29" s="822"/>
      <c r="AG29" s="822"/>
      <c r="AH29" s="592"/>
      <c r="AI29" s="822"/>
      <c r="AJ29" s="822"/>
      <c r="AK29" s="591"/>
      <c r="AL29" s="822"/>
      <c r="AM29" s="822"/>
      <c r="AN29" s="592"/>
      <c r="AO29" s="593">
        <f t="shared" si="8"/>
        <v>12</v>
      </c>
      <c r="AP29" s="593">
        <f t="shared" si="9"/>
        <v>6.33282399173914</v>
      </c>
      <c r="AQ29" s="591">
        <f t="shared" si="10"/>
        <v>-47.2</v>
      </c>
      <c r="AR29" s="593">
        <f t="shared" si="11"/>
        <v>12</v>
      </c>
      <c r="AS29" s="593">
        <f t="shared" si="12"/>
        <v>6.33282399173914</v>
      </c>
      <c r="AT29" s="591">
        <f t="shared" si="13"/>
        <v>-47.2</v>
      </c>
    </row>
    <row r="30" spans="1:46" s="563" customFormat="1" ht="18.75" customHeight="1" x14ac:dyDescent="0.35">
      <c r="A30" s="588" t="s">
        <v>372</v>
      </c>
      <c r="B30" s="822"/>
      <c r="C30" s="822"/>
      <c r="D30" s="590"/>
      <c r="E30" s="822"/>
      <c r="F30" s="822"/>
      <c r="G30" s="592"/>
      <c r="H30" s="822"/>
      <c r="I30" s="822"/>
      <c r="J30" s="591"/>
      <c r="K30" s="822"/>
      <c r="L30" s="822"/>
      <c r="M30" s="592"/>
      <c r="N30" s="822"/>
      <c r="O30" s="822"/>
      <c r="P30" s="592"/>
      <c r="Q30" s="822"/>
      <c r="R30" s="822"/>
      <c r="S30" s="590"/>
      <c r="T30" s="822"/>
      <c r="U30" s="822"/>
      <c r="V30" s="592"/>
      <c r="W30" s="822"/>
      <c r="X30" s="822"/>
      <c r="Y30" s="592"/>
      <c r="Z30" s="822">
        <v>0</v>
      </c>
      <c r="AA30" s="822">
        <v>0</v>
      </c>
      <c r="AB30" s="591" t="str">
        <f t="shared" si="0"/>
        <v xml:space="preserve">    ---- </v>
      </c>
      <c r="AC30" s="822"/>
      <c r="AD30" s="822"/>
      <c r="AE30" s="592"/>
      <c r="AF30" s="822"/>
      <c r="AG30" s="822"/>
      <c r="AH30" s="592"/>
      <c r="AI30" s="822"/>
      <c r="AJ30" s="822"/>
      <c r="AK30" s="591"/>
      <c r="AL30" s="822"/>
      <c r="AM30" s="822"/>
      <c r="AN30" s="592"/>
      <c r="AO30" s="593">
        <f t="shared" si="8"/>
        <v>0</v>
      </c>
      <c r="AP30" s="593">
        <f t="shared" si="9"/>
        <v>0</v>
      </c>
      <c r="AQ30" s="591" t="str">
        <f t="shared" si="10"/>
        <v xml:space="preserve">    ---- </v>
      </c>
      <c r="AR30" s="593">
        <f t="shared" si="11"/>
        <v>0</v>
      </c>
      <c r="AS30" s="593">
        <f t="shared" si="12"/>
        <v>0</v>
      </c>
      <c r="AT30" s="591" t="str">
        <f t="shared" si="13"/>
        <v xml:space="preserve">    ---- </v>
      </c>
    </row>
    <row r="31" spans="1:46" s="563" customFormat="1" ht="18.75" customHeight="1" x14ac:dyDescent="0.35">
      <c r="A31" s="588" t="s">
        <v>373</v>
      </c>
      <c r="B31" s="822"/>
      <c r="C31" s="822"/>
      <c r="D31" s="596"/>
      <c r="E31" s="822"/>
      <c r="F31" s="822"/>
      <c r="G31" s="597"/>
      <c r="H31" s="822"/>
      <c r="I31" s="822"/>
      <c r="J31" s="591"/>
      <c r="K31" s="822"/>
      <c r="L31" s="822"/>
      <c r="M31" s="597"/>
      <c r="N31" s="822"/>
      <c r="O31" s="822"/>
      <c r="P31" s="597"/>
      <c r="Q31" s="822"/>
      <c r="R31" s="822"/>
      <c r="S31" s="596"/>
      <c r="T31" s="822"/>
      <c r="U31" s="822"/>
      <c r="V31" s="597"/>
      <c r="W31" s="822"/>
      <c r="X31" s="822"/>
      <c r="Y31" s="597"/>
      <c r="Z31" s="822"/>
      <c r="AA31" s="822">
        <v>0</v>
      </c>
      <c r="AB31" s="591" t="str">
        <f t="shared" si="0"/>
        <v xml:space="preserve">    ---- </v>
      </c>
      <c r="AC31" s="822"/>
      <c r="AD31" s="822"/>
      <c r="AE31" s="597"/>
      <c r="AF31" s="822"/>
      <c r="AG31" s="822"/>
      <c r="AH31" s="597"/>
      <c r="AI31" s="822"/>
      <c r="AJ31" s="822"/>
      <c r="AK31" s="591"/>
      <c r="AL31" s="822"/>
      <c r="AM31" s="822"/>
      <c r="AN31" s="597"/>
      <c r="AO31" s="593">
        <f t="shared" si="8"/>
        <v>0</v>
      </c>
      <c r="AP31" s="593">
        <f t="shared" si="9"/>
        <v>0</v>
      </c>
      <c r="AQ31" s="597" t="str">
        <f t="shared" si="10"/>
        <v xml:space="preserve">    ---- </v>
      </c>
      <c r="AR31" s="593">
        <f t="shared" si="11"/>
        <v>0</v>
      </c>
      <c r="AS31" s="593">
        <f t="shared" si="12"/>
        <v>0</v>
      </c>
      <c r="AT31" s="591" t="str">
        <f t="shared" si="13"/>
        <v xml:space="preserve">    ---- </v>
      </c>
    </row>
    <row r="32" spans="1:46" s="595" customFormat="1" ht="18.75" customHeight="1" x14ac:dyDescent="0.3">
      <c r="A32" s="583" t="s">
        <v>374</v>
      </c>
      <c r="B32" s="820"/>
      <c r="C32" s="820"/>
      <c r="D32" s="598"/>
      <c r="E32" s="820"/>
      <c r="F32" s="820"/>
      <c r="G32" s="599"/>
      <c r="H32" s="820">
        <f>SUM(H24:H29)+H31</f>
        <v>94</v>
      </c>
      <c r="I32" s="820">
        <f>SUM(I24:I29)+I31</f>
        <v>211.40117835464056</v>
      </c>
      <c r="J32" s="586">
        <f>IF(H32=0, "    ---- ", IF(ABS(ROUND(100/H32*I32-100,1))&lt;999,ROUND(100/H32*I32-100,1),IF(ROUND(100/H32*I32-100,1)&gt;999,999,-999)))</f>
        <v>124.9</v>
      </c>
      <c r="K32" s="820"/>
      <c r="L32" s="820"/>
      <c r="M32" s="599"/>
      <c r="N32" s="820"/>
      <c r="O32" s="820"/>
      <c r="P32" s="599"/>
      <c r="Q32" s="820"/>
      <c r="R32" s="820"/>
      <c r="S32" s="598"/>
      <c r="T32" s="820"/>
      <c r="U32" s="820"/>
      <c r="V32" s="599"/>
      <c r="W32" s="820"/>
      <c r="X32" s="820"/>
      <c r="Y32" s="599"/>
      <c r="Z32" s="820">
        <f>SUM(Z24:Z29)+Z31</f>
        <v>0</v>
      </c>
      <c r="AA32" s="820">
        <f>SUM(AA24:AA29)+AA31</f>
        <v>0.49999999999999978</v>
      </c>
      <c r="AB32" s="586" t="str">
        <f t="shared" si="0"/>
        <v xml:space="preserve">    ---- </v>
      </c>
      <c r="AC32" s="820"/>
      <c r="AD32" s="820"/>
      <c r="AE32" s="599"/>
      <c r="AF32" s="820"/>
      <c r="AG32" s="820"/>
      <c r="AH32" s="599"/>
      <c r="AI32" s="820">
        <f>SUM(AI24:AI29)+AI31</f>
        <v>-4</v>
      </c>
      <c r="AJ32" s="820">
        <f>SUM(AJ24:AJ29)+AJ31</f>
        <v>-1</v>
      </c>
      <c r="AK32" s="586">
        <f>IF(AI32=0, "    ---- ", IF(ABS(ROUND(100/AI32*AJ32-100,1))&lt;999,ROUND(100/AI32*AJ32-100,1),IF(ROUND(100/AI32*AJ32-100,1)&gt;999,999,-999)))</f>
        <v>-75</v>
      </c>
      <c r="AL32" s="820"/>
      <c r="AM32" s="820"/>
      <c r="AN32" s="599"/>
      <c r="AO32" s="594">
        <f t="shared" si="8"/>
        <v>90</v>
      </c>
      <c r="AP32" s="594">
        <f t="shared" si="9"/>
        <v>210.90117835464056</v>
      </c>
      <c r="AQ32" s="599">
        <f t="shared" si="10"/>
        <v>134.30000000000001</v>
      </c>
      <c r="AR32" s="594">
        <f t="shared" si="11"/>
        <v>90</v>
      </c>
      <c r="AS32" s="594">
        <f t="shared" si="12"/>
        <v>210.90117835464056</v>
      </c>
      <c r="AT32" s="599">
        <f t="shared" si="13"/>
        <v>134.30000000000001</v>
      </c>
    </row>
    <row r="33" spans="1:47" s="563" customFormat="1" ht="18.75" customHeight="1" x14ac:dyDescent="0.35">
      <c r="A33" s="588" t="s">
        <v>375</v>
      </c>
      <c r="B33" s="822"/>
      <c r="C33" s="822"/>
      <c r="D33" s="596"/>
      <c r="E33" s="822"/>
      <c r="F33" s="822"/>
      <c r="G33" s="597"/>
      <c r="H33" s="822">
        <v>6</v>
      </c>
      <c r="I33" s="822">
        <v>139.78609114100601</v>
      </c>
      <c r="J33" s="591">
        <f>IF(H33=0, "    ---- ", IF(ABS(ROUND(100/H33*I33-100,1))&lt;999,ROUND(100/H33*I33-100,1),IF(ROUND(100/H33*I33-100,1)&gt;999,999,-999)))</f>
        <v>999</v>
      </c>
      <c r="K33" s="822"/>
      <c r="L33" s="822"/>
      <c r="M33" s="597"/>
      <c r="N33" s="822"/>
      <c r="O33" s="822"/>
      <c r="P33" s="597"/>
      <c r="Q33" s="822"/>
      <c r="R33" s="822"/>
      <c r="S33" s="596"/>
      <c r="T33" s="822"/>
      <c r="U33" s="822"/>
      <c r="V33" s="597"/>
      <c r="W33" s="822"/>
      <c r="X33" s="822"/>
      <c r="Y33" s="597"/>
      <c r="Z33" s="822">
        <v>0</v>
      </c>
      <c r="AA33" s="822">
        <v>0</v>
      </c>
      <c r="AB33" s="591" t="str">
        <f t="shared" si="0"/>
        <v xml:space="preserve">    ---- </v>
      </c>
      <c r="AC33" s="822"/>
      <c r="AD33" s="822"/>
      <c r="AE33" s="597"/>
      <c r="AF33" s="822"/>
      <c r="AG33" s="822"/>
      <c r="AH33" s="597"/>
      <c r="AI33" s="822"/>
      <c r="AJ33" s="822"/>
      <c r="AK33" s="591"/>
      <c r="AL33" s="822"/>
      <c r="AM33" s="822"/>
      <c r="AN33" s="597"/>
      <c r="AO33" s="593">
        <f t="shared" si="8"/>
        <v>6</v>
      </c>
      <c r="AP33" s="593">
        <f t="shared" si="9"/>
        <v>139.78609114100601</v>
      </c>
      <c r="AQ33" s="597">
        <f t="shared" si="10"/>
        <v>999</v>
      </c>
      <c r="AR33" s="593">
        <f t="shared" si="11"/>
        <v>6</v>
      </c>
      <c r="AS33" s="593">
        <f t="shared" si="12"/>
        <v>139.78609114100601</v>
      </c>
      <c r="AT33" s="597">
        <f t="shared" si="13"/>
        <v>999</v>
      </c>
    </row>
    <row r="34" spans="1:47" s="563" customFormat="1" ht="18.75" customHeight="1" x14ac:dyDescent="0.35">
      <c r="A34" s="588" t="s">
        <v>376</v>
      </c>
      <c r="B34" s="822"/>
      <c r="C34" s="822"/>
      <c r="D34" s="596"/>
      <c r="E34" s="822"/>
      <c r="F34" s="822"/>
      <c r="G34" s="597"/>
      <c r="H34" s="822">
        <v>88</v>
      </c>
      <c r="I34" s="822">
        <v>71.615087213634553</v>
      </c>
      <c r="J34" s="591">
        <f>IF(H34=0, "    ---- ", IF(ABS(ROUND(100/H34*I34-100,1))&lt;999,ROUND(100/H34*I34-100,1),IF(ROUND(100/H34*I34-100,1)&gt;999,999,-999)))</f>
        <v>-18.600000000000001</v>
      </c>
      <c r="K34" s="822"/>
      <c r="L34" s="822"/>
      <c r="M34" s="597"/>
      <c r="N34" s="822"/>
      <c r="O34" s="822"/>
      <c r="P34" s="597"/>
      <c r="Q34" s="822"/>
      <c r="R34" s="822"/>
      <c r="S34" s="596"/>
      <c r="T34" s="822"/>
      <c r="U34" s="822"/>
      <c r="V34" s="597"/>
      <c r="W34" s="822"/>
      <c r="X34" s="822"/>
      <c r="Y34" s="597"/>
      <c r="Z34" s="822">
        <v>0</v>
      </c>
      <c r="AA34" s="822">
        <v>1</v>
      </c>
      <c r="AB34" s="591" t="str">
        <f t="shared" si="0"/>
        <v xml:space="preserve">    ---- </v>
      </c>
      <c r="AC34" s="822"/>
      <c r="AD34" s="822"/>
      <c r="AE34" s="597"/>
      <c r="AF34" s="822"/>
      <c r="AG34" s="822"/>
      <c r="AH34" s="597"/>
      <c r="AI34" s="822">
        <v>-4</v>
      </c>
      <c r="AJ34" s="822">
        <v>-1</v>
      </c>
      <c r="AK34" s="591">
        <f>IF(AI34=0, "    ---- ", IF(ABS(ROUND(100/AI34*AJ34-100,1))&lt;999,ROUND(100/AI34*AJ34-100,1),IF(ROUND(100/AI34*AJ34-100,1)&gt;999,999,-999)))</f>
        <v>-75</v>
      </c>
      <c r="AL34" s="822"/>
      <c r="AM34" s="822"/>
      <c r="AN34" s="597"/>
      <c r="AO34" s="593">
        <f t="shared" si="8"/>
        <v>84</v>
      </c>
      <c r="AP34" s="593">
        <f t="shared" si="9"/>
        <v>71.615087213634553</v>
      </c>
      <c r="AQ34" s="597">
        <f t="shared" si="10"/>
        <v>-14.7</v>
      </c>
      <c r="AR34" s="593">
        <f t="shared" si="11"/>
        <v>84</v>
      </c>
      <c r="AS34" s="593">
        <f t="shared" si="12"/>
        <v>71.615087213634553</v>
      </c>
      <c r="AT34" s="597">
        <f t="shared" si="13"/>
        <v>-14.7</v>
      </c>
    </row>
    <row r="35" spans="1:47" s="563" customFormat="1" ht="18.75" customHeight="1" x14ac:dyDescent="0.35">
      <c r="A35" s="583" t="s">
        <v>378</v>
      </c>
      <c r="B35" s="822"/>
      <c r="C35" s="822"/>
      <c r="D35" s="596"/>
      <c r="E35" s="822"/>
      <c r="F35" s="822"/>
      <c r="G35" s="597"/>
      <c r="H35" s="822"/>
      <c r="I35" s="822"/>
      <c r="J35" s="591"/>
      <c r="K35" s="822"/>
      <c r="L35" s="822"/>
      <c r="M35" s="597"/>
      <c r="N35" s="822"/>
      <c r="O35" s="822"/>
      <c r="P35" s="597"/>
      <c r="Q35" s="822"/>
      <c r="R35" s="822"/>
      <c r="S35" s="596"/>
      <c r="T35" s="822"/>
      <c r="U35" s="822"/>
      <c r="V35" s="597"/>
      <c r="W35" s="822"/>
      <c r="X35" s="822"/>
      <c r="Y35" s="597"/>
      <c r="Z35" s="822"/>
      <c r="AA35" s="822"/>
      <c r="AB35" s="591"/>
      <c r="AC35" s="822"/>
      <c r="AD35" s="822"/>
      <c r="AE35" s="597"/>
      <c r="AF35" s="822"/>
      <c r="AG35" s="822"/>
      <c r="AH35" s="597"/>
      <c r="AI35" s="822"/>
      <c r="AJ35" s="822"/>
      <c r="AK35" s="591"/>
      <c r="AL35" s="822"/>
      <c r="AM35" s="822"/>
      <c r="AN35" s="597"/>
      <c r="AO35" s="596"/>
      <c r="AP35" s="596"/>
      <c r="AQ35" s="597"/>
      <c r="AR35" s="593"/>
      <c r="AS35" s="593"/>
      <c r="AT35" s="597"/>
    </row>
    <row r="36" spans="1:47" s="563" customFormat="1" ht="18.75" customHeight="1" x14ac:dyDescent="0.35">
      <c r="A36" s="588" t="s">
        <v>366</v>
      </c>
      <c r="B36" s="822">
        <v>5.4379999999999997</v>
      </c>
      <c r="C36" s="822">
        <v>4.68</v>
      </c>
      <c r="D36" s="596"/>
      <c r="E36" s="822"/>
      <c r="F36" s="822"/>
      <c r="G36" s="597"/>
      <c r="H36" s="822"/>
      <c r="I36" s="822"/>
      <c r="J36" s="591"/>
      <c r="K36" s="869">
        <v>7.9</v>
      </c>
      <c r="L36" s="596">
        <v>10944.129589999999</v>
      </c>
      <c r="M36" s="597">
        <f>IF(K36=0, "    ---- ", IF(ABS(ROUND(100/K36*L36-100,1))&lt;999,ROUND(100/K36*L36-100,1),IF(ROUND(100/K36*L36-100,1)&gt;999,999,-999)))</f>
        <v>999</v>
      </c>
      <c r="N36" s="822">
        <v>22.53</v>
      </c>
      <c r="O36" s="822">
        <v>29.834</v>
      </c>
      <c r="P36" s="597">
        <f>IF(N36=0, "    ---- ", IF(ABS(ROUND(100/N36*O36-100,1))&lt;999,ROUND(100/N36*O36-100,1),IF(ROUND(100/N36*O36-100,1)&gt;999,999,-999)))</f>
        <v>32.4</v>
      </c>
      <c r="Q36" s="822"/>
      <c r="R36" s="822"/>
      <c r="S36" s="596"/>
      <c r="T36" s="822">
        <v>1.0453437251939</v>
      </c>
      <c r="U36" s="822">
        <v>0.51016004186285102</v>
      </c>
      <c r="V36" s="597">
        <f>IF(T36=0, "    ---- ", IF(ABS(ROUND(100/T36*U36-100,1))&lt;999,ROUND(100/T36*U36-100,1),IF(ROUND(100/T36*U36-100,1)&gt;999,999,-999)))</f>
        <v>-51.2</v>
      </c>
      <c r="W36" s="822"/>
      <c r="X36" s="822"/>
      <c r="Y36" s="597"/>
      <c r="Z36" s="822">
        <v>7.25</v>
      </c>
      <c r="AA36" s="822">
        <v>14.54</v>
      </c>
      <c r="AB36" s="591">
        <f t="shared" si="0"/>
        <v>100.6</v>
      </c>
      <c r="AC36" s="822"/>
      <c r="AD36" s="822"/>
      <c r="AE36" s="597"/>
      <c r="AF36" s="822"/>
      <c r="AG36" s="822">
        <v>0.15682838352780501</v>
      </c>
      <c r="AH36" s="591" t="str">
        <f>IF(AF36=0, "    ---- ", IF(ABS(ROUND(100/AF36*AG36-100,1))&lt;999,ROUND(100/AF36*AG36-100,1),IF(ROUND(100/AF36*AG36-100,1)&gt;999,999,-999)))</f>
        <v xml:space="preserve">    ---- </v>
      </c>
      <c r="AI36" s="822"/>
      <c r="AJ36" s="822"/>
      <c r="AK36" s="591"/>
      <c r="AL36" s="822">
        <v>5</v>
      </c>
      <c r="AM36" s="822">
        <v>22</v>
      </c>
      <c r="AN36" s="597">
        <f>IF(AL36=0, "    ---- ", IF(ABS(ROUND(100/AL36*AM36-100,1))&lt;999,ROUND(100/AL36*AM36-100,1),IF(ROUND(100/AL36*AM36-100,1)&gt;999,999,-999)))</f>
        <v>340</v>
      </c>
      <c r="AO36" s="593">
        <f t="shared" ref="AO36:AO46" si="14">B36+H36+K36+N36+Q36+W36+E36+Z36+AC36+AI36+AL36</f>
        <v>48.118000000000002</v>
      </c>
      <c r="AP36" s="593">
        <f t="shared" ref="AP36:AP46" si="15">C36+I36+L36+O36+R36+X36+F36+AA36+AD36+AJ36+AM36</f>
        <v>11015.183590000001</v>
      </c>
      <c r="AQ36" s="597">
        <f t="shared" si="10"/>
        <v>999</v>
      </c>
      <c r="AR36" s="593">
        <f t="shared" ref="AR36:AR46" si="16">+B36+H36+K36+N36+Q36+T36+W36+E36+Z36+AC36+AF36+AI36+AL36</f>
        <v>49.163343725193904</v>
      </c>
      <c r="AS36" s="593">
        <f t="shared" ref="AS36:AS46" si="17">+C36+I36+L36+O36+R36+U36+X36+F36+AA36+AD36+AG36+AJ36+AM36</f>
        <v>11015.85057842539</v>
      </c>
      <c r="AT36" s="597">
        <f t="shared" si="13"/>
        <v>999</v>
      </c>
    </row>
    <row r="37" spans="1:47" s="563" customFormat="1" ht="18.75" customHeight="1" x14ac:dyDescent="0.35">
      <c r="A37" s="588" t="s">
        <v>367</v>
      </c>
      <c r="B37" s="822"/>
      <c r="C37" s="822"/>
      <c r="D37" s="596"/>
      <c r="E37" s="822"/>
      <c r="F37" s="822"/>
      <c r="G37" s="597"/>
      <c r="H37" s="822"/>
      <c r="I37" s="822"/>
      <c r="J37" s="591"/>
      <c r="K37" s="822"/>
      <c r="L37" s="596"/>
      <c r="M37" s="597"/>
      <c r="N37" s="822"/>
      <c r="O37" s="822"/>
      <c r="P37" s="597"/>
      <c r="Q37" s="822"/>
      <c r="R37" s="822"/>
      <c r="S37" s="596"/>
      <c r="T37" s="822"/>
      <c r="U37" s="822"/>
      <c r="V37" s="597"/>
      <c r="W37" s="822"/>
      <c r="X37" s="822"/>
      <c r="Y37" s="597"/>
      <c r="Z37" s="822"/>
      <c r="AA37" s="822"/>
      <c r="AB37" s="591"/>
      <c r="AC37" s="822"/>
      <c r="AD37" s="822"/>
      <c r="AE37" s="597"/>
      <c r="AF37" s="822"/>
      <c r="AG37" s="822"/>
      <c r="AH37" s="597"/>
      <c r="AI37" s="822"/>
      <c r="AJ37" s="822"/>
      <c r="AK37" s="591"/>
      <c r="AL37" s="822"/>
      <c r="AM37" s="822"/>
      <c r="AN37" s="597"/>
      <c r="AO37" s="593">
        <f t="shared" si="14"/>
        <v>0</v>
      </c>
      <c r="AP37" s="593">
        <f t="shared" si="15"/>
        <v>0</v>
      </c>
      <c r="AQ37" s="597" t="str">
        <f t="shared" si="10"/>
        <v xml:space="preserve">    ---- </v>
      </c>
      <c r="AR37" s="593">
        <f t="shared" si="16"/>
        <v>0</v>
      </c>
      <c r="AS37" s="593">
        <f t="shared" si="17"/>
        <v>0</v>
      </c>
      <c r="AT37" s="597" t="str">
        <f t="shared" si="13"/>
        <v xml:space="preserve">    ---- </v>
      </c>
    </row>
    <row r="38" spans="1:47" s="563" customFormat="1" ht="18.75" customHeight="1" x14ac:dyDescent="0.35">
      <c r="A38" s="588" t="s">
        <v>368</v>
      </c>
      <c r="B38" s="822">
        <v>-19.652999999999999</v>
      </c>
      <c r="C38" s="822">
        <v>-13.654</v>
      </c>
      <c r="D38" s="596">
        <f>IF(B38=0, "    ---- ", IF(ABS(ROUND(100/B38*C38-100,1))&lt;999,ROUND(100/B38*C38-100,1),IF(ROUND(100/B38*C38-100,1)&gt;999,999,-999)))</f>
        <v>-30.5</v>
      </c>
      <c r="E38" s="822"/>
      <c r="F38" s="822"/>
      <c r="G38" s="597"/>
      <c r="H38" s="822"/>
      <c r="I38" s="822"/>
      <c r="J38" s="591"/>
      <c r="K38" s="822">
        <v>19</v>
      </c>
      <c r="L38" s="596">
        <v>52479.75573999995</v>
      </c>
      <c r="M38" s="597">
        <f>IF(K38=0, "    ---- ", IF(ABS(ROUND(100/K38*L38-100,1))&lt;999,ROUND(100/K38*L38-100,1),IF(ROUND(100/K38*L38-100,1)&gt;999,999,-999)))</f>
        <v>999</v>
      </c>
      <c r="N38" s="822">
        <v>-13.707000000000001</v>
      </c>
      <c r="O38" s="822">
        <v>-3.33</v>
      </c>
      <c r="P38" s="597">
        <f>IF(N38=0, "    ---- ", IF(ABS(ROUND(100/N38*O38-100,1))&lt;999,ROUND(100/N38*O38-100,1),IF(ROUND(100/N38*O38-100,1)&gt;999,999,-999)))</f>
        <v>-75.7</v>
      </c>
      <c r="Q38" s="822"/>
      <c r="R38" s="822"/>
      <c r="S38" s="596"/>
      <c r="T38" s="822">
        <v>5.7066920680922602</v>
      </c>
      <c r="U38" s="822">
        <v>4.2735940000000001</v>
      </c>
      <c r="V38" s="597">
        <f>IF(T38=0, "    ---- ", IF(ABS(ROUND(100/T38*U38-100,1))&lt;999,ROUND(100/T38*U38-100,1),IF(ROUND(100/T38*U38-100,1)&gt;999,999,-999)))</f>
        <v>-25.1</v>
      </c>
      <c r="W38" s="822"/>
      <c r="X38" s="822"/>
      <c r="Y38" s="597"/>
      <c r="Z38" s="822">
        <v>11.03</v>
      </c>
      <c r="AA38" s="822">
        <v>31.76</v>
      </c>
      <c r="AB38" s="591">
        <f t="shared" si="0"/>
        <v>187.9</v>
      </c>
      <c r="AC38" s="822"/>
      <c r="AD38" s="822"/>
      <c r="AE38" s="597"/>
      <c r="AF38" s="822"/>
      <c r="AG38" s="822">
        <v>2.7183393927385202</v>
      </c>
      <c r="AH38" s="591" t="str">
        <f>IF(AF38=0, "    ---- ", IF(ABS(ROUND(100/AF38*AG38-100,1))&lt;999,ROUND(100/AF38*AG38-100,1),IF(ROUND(100/AF38*AG38-100,1)&gt;999,999,-999)))</f>
        <v xml:space="preserve">    ---- </v>
      </c>
      <c r="AI38" s="822"/>
      <c r="AJ38" s="822"/>
      <c r="AK38" s="591"/>
      <c r="AL38" s="822">
        <v>-43</v>
      </c>
      <c r="AM38" s="822">
        <v>-36</v>
      </c>
      <c r="AN38" s="597">
        <f>IF(AL38=0, "    ---- ", IF(ABS(ROUND(100/AL38*AM38-100,1))&lt;999,ROUND(100/AL38*AM38-100,1),IF(ROUND(100/AL38*AM38-100,1)&gt;999,999,-999)))</f>
        <v>-16.3</v>
      </c>
      <c r="AO38" s="593">
        <f t="shared" si="14"/>
        <v>-46.33</v>
      </c>
      <c r="AP38" s="593">
        <f t="shared" si="15"/>
        <v>52458.531739999948</v>
      </c>
      <c r="AQ38" s="597">
        <f t="shared" si="10"/>
        <v>-999</v>
      </c>
      <c r="AR38" s="593">
        <f t="shared" si="16"/>
        <v>-40.623307931907739</v>
      </c>
      <c r="AS38" s="593">
        <f t="shared" si="17"/>
        <v>52465.523673392687</v>
      </c>
      <c r="AT38" s="597">
        <f t="shared" si="13"/>
        <v>-999</v>
      </c>
    </row>
    <row r="39" spans="1:47" s="563" customFormat="1" ht="18.75" customHeight="1" x14ac:dyDescent="0.35">
      <c r="A39" s="588" t="s">
        <v>369</v>
      </c>
      <c r="B39" s="822"/>
      <c r="C39" s="822"/>
      <c r="D39" s="596"/>
      <c r="E39" s="822"/>
      <c r="F39" s="822"/>
      <c r="G39" s="597"/>
      <c r="H39" s="822"/>
      <c r="I39" s="822"/>
      <c r="J39" s="591"/>
      <c r="K39" s="822"/>
      <c r="L39" s="596"/>
      <c r="M39" s="597"/>
      <c r="N39" s="822"/>
      <c r="O39" s="822"/>
      <c r="P39" s="597"/>
      <c r="Q39" s="822"/>
      <c r="R39" s="822"/>
      <c r="S39" s="596"/>
      <c r="T39" s="822"/>
      <c r="U39" s="822"/>
      <c r="V39" s="597"/>
      <c r="W39" s="822"/>
      <c r="X39" s="822"/>
      <c r="Y39" s="597"/>
      <c r="Z39" s="822"/>
      <c r="AA39" s="822"/>
      <c r="AB39" s="591"/>
      <c r="AC39" s="822"/>
      <c r="AD39" s="822"/>
      <c r="AE39" s="597"/>
      <c r="AF39" s="822"/>
      <c r="AG39" s="822"/>
      <c r="AH39" s="597"/>
      <c r="AI39" s="822"/>
      <c r="AJ39" s="822"/>
      <c r="AK39" s="591"/>
      <c r="AL39" s="822"/>
      <c r="AM39" s="822"/>
      <c r="AN39" s="597"/>
      <c r="AO39" s="593">
        <f t="shared" si="14"/>
        <v>0</v>
      </c>
      <c r="AP39" s="593">
        <f t="shared" si="15"/>
        <v>0</v>
      </c>
      <c r="AQ39" s="597" t="str">
        <f t="shared" si="10"/>
        <v xml:space="preserve">    ---- </v>
      </c>
      <c r="AR39" s="593">
        <f t="shared" si="16"/>
        <v>0</v>
      </c>
      <c r="AS39" s="593">
        <f t="shared" si="17"/>
        <v>0</v>
      </c>
      <c r="AT39" s="597" t="str">
        <f t="shared" si="13"/>
        <v xml:space="preserve">    ---- </v>
      </c>
    </row>
    <row r="40" spans="1:47" s="563" customFormat="1" ht="18.75" customHeight="1" x14ac:dyDescent="0.35">
      <c r="A40" s="588" t="s">
        <v>370</v>
      </c>
      <c r="B40" s="822"/>
      <c r="C40" s="822"/>
      <c r="D40" s="596"/>
      <c r="E40" s="822"/>
      <c r="F40" s="822"/>
      <c r="G40" s="597"/>
      <c r="H40" s="822"/>
      <c r="I40" s="822"/>
      <c r="J40" s="591"/>
      <c r="K40" s="822"/>
      <c r="L40" s="596"/>
      <c r="M40" s="597"/>
      <c r="N40" s="822"/>
      <c r="O40" s="822"/>
      <c r="P40" s="597"/>
      <c r="Q40" s="822"/>
      <c r="R40" s="822"/>
      <c r="S40" s="596"/>
      <c r="T40" s="822"/>
      <c r="U40" s="822"/>
      <c r="V40" s="597"/>
      <c r="W40" s="822"/>
      <c r="X40" s="822"/>
      <c r="Y40" s="597"/>
      <c r="Z40" s="822"/>
      <c r="AA40" s="822"/>
      <c r="AB40" s="591"/>
      <c r="AC40" s="822"/>
      <c r="AD40" s="822"/>
      <c r="AE40" s="597"/>
      <c r="AF40" s="822"/>
      <c r="AG40" s="822"/>
      <c r="AH40" s="597"/>
      <c r="AI40" s="822"/>
      <c r="AJ40" s="822"/>
      <c r="AK40" s="591"/>
      <c r="AL40" s="822"/>
      <c r="AM40" s="822"/>
      <c r="AN40" s="597"/>
      <c r="AO40" s="593">
        <f t="shared" si="14"/>
        <v>0</v>
      </c>
      <c r="AP40" s="593">
        <f t="shared" si="15"/>
        <v>0</v>
      </c>
      <c r="AQ40" s="597" t="str">
        <f t="shared" si="10"/>
        <v xml:space="preserve">    ---- </v>
      </c>
      <c r="AR40" s="593">
        <f t="shared" si="16"/>
        <v>0</v>
      </c>
      <c r="AS40" s="593">
        <f t="shared" si="17"/>
        <v>0</v>
      </c>
      <c r="AT40" s="597" t="str">
        <f t="shared" si="13"/>
        <v xml:space="preserve">    ---- </v>
      </c>
    </row>
    <row r="41" spans="1:47" s="563" customFormat="1" ht="18.75" customHeight="1" x14ac:dyDescent="0.35">
      <c r="A41" s="588" t="s">
        <v>371</v>
      </c>
      <c r="B41" s="822">
        <v>86.381</v>
      </c>
      <c r="C41" s="822">
        <v>63.631999999999998</v>
      </c>
      <c r="D41" s="596">
        <f>IF(B41=0, "    ---- ", IF(ABS(ROUND(100/B41*C41-100,1))&lt;999,ROUND(100/B41*C41-100,1),IF(ROUND(100/B41*C41-100,1)&gt;999,999,-999)))</f>
        <v>-26.3</v>
      </c>
      <c r="E41" s="822"/>
      <c r="F41" s="822"/>
      <c r="G41" s="597"/>
      <c r="H41" s="822"/>
      <c r="I41" s="822"/>
      <c r="J41" s="591"/>
      <c r="K41" s="822">
        <v>395</v>
      </c>
      <c r="L41" s="596">
        <v>436187.08941000013</v>
      </c>
      <c r="M41" s="597">
        <f>IF(K41=0, "    ---- ", IF(ABS(ROUND(100/K41*L41-100,1))&lt;999,ROUND(100/K41*L41-100,1),IF(ROUND(100/K41*L41-100,1)&gt;999,999,-999)))</f>
        <v>999</v>
      </c>
      <c r="N41" s="822">
        <v>82.405000000000001</v>
      </c>
      <c r="O41" s="822">
        <v>88.450999999999993</v>
      </c>
      <c r="P41" s="597">
        <f>IF(N41=0, "    ---- ", IF(ABS(ROUND(100/N41*O41-100,1))&lt;999,ROUND(100/N41*O41-100,1),IF(ROUND(100/N41*O41-100,1)&gt;999,999,-999)))</f>
        <v>7.3</v>
      </c>
      <c r="Q41" s="822"/>
      <c r="R41" s="822"/>
      <c r="S41" s="596"/>
      <c r="T41" s="822">
        <v>9.6804380000000005</v>
      </c>
      <c r="U41" s="822">
        <v>8.5697500000000009</v>
      </c>
      <c r="V41" s="597">
        <f>IF(T41=0, "    ---- ", IF(ABS(ROUND(100/T41*U41-100,1))&lt;999,ROUND(100/T41*U41-100,1),IF(ROUND(100/T41*U41-100,1)&gt;999,999,-999)))</f>
        <v>-11.5</v>
      </c>
      <c r="W41" s="822"/>
      <c r="X41" s="822"/>
      <c r="Y41" s="597"/>
      <c r="Z41" s="822">
        <v>191.28</v>
      </c>
      <c r="AA41" s="822">
        <v>179.16</v>
      </c>
      <c r="AB41" s="591">
        <f t="shared" si="0"/>
        <v>-6.3</v>
      </c>
      <c r="AC41" s="822"/>
      <c r="AD41" s="822"/>
      <c r="AE41" s="597"/>
      <c r="AF41" s="822"/>
      <c r="AG41" s="822">
        <v>5.4068189999998802E-2</v>
      </c>
      <c r="AH41" s="591" t="str">
        <f>IF(AF41=0, "    ---- ", IF(ABS(ROUND(100/AF41*AG41-100,1))&lt;999,ROUND(100/AF41*AG41-100,1),IF(ROUND(100/AF41*AG41-100,1)&gt;999,999,-999)))</f>
        <v xml:space="preserve">    ---- </v>
      </c>
      <c r="AI41" s="822"/>
      <c r="AJ41" s="822"/>
      <c r="AK41" s="591"/>
      <c r="AL41" s="822">
        <v>150</v>
      </c>
      <c r="AM41" s="822">
        <v>200.6</v>
      </c>
      <c r="AN41" s="597">
        <f>IF(AL41=0, "    ---- ", IF(ABS(ROUND(100/AL41*AM41-100,1))&lt;999,ROUND(100/AL41*AM41-100,1),IF(ROUND(100/AL41*AM41-100,1)&gt;999,999,-999)))</f>
        <v>33.700000000000003</v>
      </c>
      <c r="AO41" s="593">
        <f t="shared" si="14"/>
        <v>905.06599999999992</v>
      </c>
      <c r="AP41" s="593">
        <f t="shared" si="15"/>
        <v>436718.93241000007</v>
      </c>
      <c r="AQ41" s="597">
        <f t="shared" si="10"/>
        <v>999</v>
      </c>
      <c r="AR41" s="593">
        <f t="shared" si="16"/>
        <v>914.7464379999999</v>
      </c>
      <c r="AS41" s="593">
        <f t="shared" si="17"/>
        <v>436727.55622819008</v>
      </c>
      <c r="AT41" s="597">
        <f t="shared" si="13"/>
        <v>999</v>
      </c>
    </row>
    <row r="42" spans="1:47" s="563" customFormat="1" ht="18.75" customHeight="1" x14ac:dyDescent="0.35">
      <c r="A42" s="588" t="s">
        <v>372</v>
      </c>
      <c r="B42" s="822"/>
      <c r="C42" s="822"/>
      <c r="D42" s="596"/>
      <c r="E42" s="822"/>
      <c r="F42" s="822"/>
      <c r="G42" s="597"/>
      <c r="H42" s="822"/>
      <c r="I42" s="822"/>
      <c r="J42" s="591"/>
      <c r="K42" s="822"/>
      <c r="L42" s="822"/>
      <c r="M42" s="597"/>
      <c r="N42" s="822"/>
      <c r="O42" s="822"/>
      <c r="P42" s="597"/>
      <c r="Q42" s="822"/>
      <c r="R42" s="822"/>
      <c r="S42" s="596"/>
      <c r="T42" s="822"/>
      <c r="U42" s="822"/>
      <c r="V42" s="597"/>
      <c r="W42" s="822"/>
      <c r="X42" s="822"/>
      <c r="Y42" s="597"/>
      <c r="Z42" s="822"/>
      <c r="AA42" s="822"/>
      <c r="AB42" s="591"/>
      <c r="AC42" s="822"/>
      <c r="AD42" s="822"/>
      <c r="AE42" s="597"/>
      <c r="AF42" s="822"/>
      <c r="AG42" s="822"/>
      <c r="AH42" s="597"/>
      <c r="AI42" s="822"/>
      <c r="AJ42" s="822"/>
      <c r="AK42" s="591"/>
      <c r="AL42" s="822"/>
      <c r="AM42" s="822"/>
      <c r="AN42" s="597"/>
      <c r="AO42" s="593">
        <f t="shared" si="14"/>
        <v>0</v>
      </c>
      <c r="AP42" s="593">
        <f t="shared" si="15"/>
        <v>0</v>
      </c>
      <c r="AQ42" s="597" t="str">
        <f t="shared" si="10"/>
        <v xml:space="preserve">    ---- </v>
      </c>
      <c r="AR42" s="593">
        <f t="shared" si="16"/>
        <v>0</v>
      </c>
      <c r="AS42" s="593">
        <f t="shared" si="17"/>
        <v>0</v>
      </c>
      <c r="AT42" s="597" t="str">
        <f t="shared" si="13"/>
        <v xml:space="preserve">    ---- </v>
      </c>
    </row>
    <row r="43" spans="1:47" s="563" customFormat="1" ht="18.75" customHeight="1" x14ac:dyDescent="0.35">
      <c r="A43" s="588" t="s">
        <v>373</v>
      </c>
      <c r="B43" s="822"/>
      <c r="C43" s="822"/>
      <c r="D43" s="596"/>
      <c r="E43" s="822"/>
      <c r="F43" s="822"/>
      <c r="G43" s="597"/>
      <c r="H43" s="822"/>
      <c r="I43" s="822"/>
      <c r="J43" s="591"/>
      <c r="K43" s="822"/>
      <c r="L43" s="822"/>
      <c r="M43" s="597"/>
      <c r="N43" s="822">
        <v>-0.41299999999999998</v>
      </c>
      <c r="O43" s="822"/>
      <c r="P43" s="597">
        <f>IF(N43=0, "    ---- ", IF(ABS(ROUND(100/N43*O43-100,1))&lt;999,ROUND(100/N43*O43-100,1),IF(ROUND(100/N43*O43-100,1)&gt;999,999,-999)))</f>
        <v>-100</v>
      </c>
      <c r="Q43" s="822"/>
      <c r="R43" s="822"/>
      <c r="S43" s="596"/>
      <c r="T43" s="822"/>
      <c r="U43" s="822"/>
      <c r="V43" s="597"/>
      <c r="W43" s="822"/>
      <c r="X43" s="822"/>
      <c r="Y43" s="597"/>
      <c r="Z43" s="822"/>
      <c r="AA43" s="822"/>
      <c r="AB43" s="591"/>
      <c r="AC43" s="822"/>
      <c r="AD43" s="822"/>
      <c r="AE43" s="597"/>
      <c r="AF43" s="822"/>
      <c r="AG43" s="822"/>
      <c r="AH43" s="597"/>
      <c r="AI43" s="822"/>
      <c r="AJ43" s="822"/>
      <c r="AK43" s="591"/>
      <c r="AL43" s="822"/>
      <c r="AM43" s="822"/>
      <c r="AN43" s="597"/>
      <c r="AO43" s="593">
        <f t="shared" si="14"/>
        <v>-0.41299999999999998</v>
      </c>
      <c r="AP43" s="593">
        <f t="shared" si="15"/>
        <v>0</v>
      </c>
      <c r="AQ43" s="597">
        <f t="shared" si="10"/>
        <v>-100</v>
      </c>
      <c r="AR43" s="593">
        <f t="shared" si="16"/>
        <v>-0.41299999999999998</v>
      </c>
      <c r="AS43" s="593">
        <f t="shared" si="17"/>
        <v>0</v>
      </c>
      <c r="AT43" s="597">
        <f t="shared" si="13"/>
        <v>-100</v>
      </c>
    </row>
    <row r="44" spans="1:47" s="595" customFormat="1" ht="18.75" customHeight="1" x14ac:dyDescent="0.35">
      <c r="A44" s="583" t="s">
        <v>374</v>
      </c>
      <c r="B44" s="820">
        <f>SUM(B36:B41)+B43</f>
        <v>72.165999999999997</v>
      </c>
      <c r="C44" s="820">
        <f>SUM(C36:C41)+C43</f>
        <v>54.658000000000001</v>
      </c>
      <c r="D44" s="598">
        <f>IF(B44=0, "    ---- ", IF(ABS(ROUND(100/B44*C44-100,1))&lt;999,ROUND(100/B44*C44-100,1),IF(ROUND(100/B44*C44-100,1)&gt;999,999,-999)))</f>
        <v>-24.3</v>
      </c>
      <c r="E44" s="820"/>
      <c r="F44" s="820"/>
      <c r="G44" s="599"/>
      <c r="H44" s="820"/>
      <c r="I44" s="820"/>
      <c r="J44" s="586"/>
      <c r="K44" s="820">
        <f>SUM(K36:K41)+K43</f>
        <v>421.9</v>
      </c>
      <c r="L44" s="820">
        <f>SUM(L36:L41)+L43</f>
        <v>499610.97474000009</v>
      </c>
      <c r="M44" s="599">
        <f>IF(K44=0, "    ---- ", IF(ABS(ROUND(100/K44*L44-100,1))&lt;999,ROUND(100/K44*L44-100,1),IF(ROUND(100/K44*L44-100,1)&gt;999,999,-999)))</f>
        <v>999</v>
      </c>
      <c r="N44" s="820">
        <f>SUM(N36:N41)+N43</f>
        <v>90.815000000000012</v>
      </c>
      <c r="O44" s="820">
        <f>SUM(O36:O41)+O43</f>
        <v>114.95499999999998</v>
      </c>
      <c r="P44" s="599">
        <f>IF(N44=0, "    ---- ", IF(ABS(ROUND(100/N44*O44-100,1))&lt;999,ROUND(100/N44*O44-100,1),IF(ROUND(100/N44*O44-100,1)&gt;999,999,-999)))</f>
        <v>26.6</v>
      </c>
      <c r="Q44" s="820"/>
      <c r="R44" s="820"/>
      <c r="S44" s="598"/>
      <c r="T44" s="820">
        <f>SUM(T36:T41)+T43</f>
        <v>16.43247379328616</v>
      </c>
      <c r="U44" s="820">
        <f>SUM(U36:U41)+U43</f>
        <v>13.353504041862852</v>
      </c>
      <c r="V44" s="599">
        <f>IF(T44=0, "    ---- ", IF(ABS(ROUND(100/T44*U44-100,1))&lt;999,ROUND(100/T44*U44-100,1),IF(ROUND(100/T44*U44-100,1)&gt;999,999,-999)))</f>
        <v>-18.7</v>
      </c>
      <c r="W44" s="820"/>
      <c r="X44" s="820"/>
      <c r="Y44" s="599"/>
      <c r="Z44" s="820">
        <f>SUM(Z36:Z41)+Z43</f>
        <v>209.56</v>
      </c>
      <c r="AA44" s="820">
        <f>SUM(AA36:AA41)+AA43</f>
        <v>225.45999999999998</v>
      </c>
      <c r="AB44" s="586">
        <f t="shared" si="0"/>
        <v>7.6</v>
      </c>
      <c r="AC44" s="820"/>
      <c r="AD44" s="820"/>
      <c r="AE44" s="599"/>
      <c r="AF44" s="820"/>
      <c r="AG44" s="820">
        <f>SUM(AG36:AG41)+AG43</f>
        <v>2.9292359662663241</v>
      </c>
      <c r="AH44" s="591" t="str">
        <f>IF(AF44=0, "    ---- ", IF(ABS(ROUND(100/AF44*AG44-100,1))&lt;999,ROUND(100/AF44*AG44-100,1),IF(ROUND(100/AF44*AG44-100,1)&gt;999,999,-999)))</f>
        <v xml:space="preserve">    ---- </v>
      </c>
      <c r="AI44" s="820"/>
      <c r="AJ44" s="820"/>
      <c r="AK44" s="586"/>
      <c r="AL44" s="820">
        <f>SUM(AL36:AL41)+AL43</f>
        <v>112</v>
      </c>
      <c r="AM44" s="820">
        <f>SUM(AM36:AM41)+AM43</f>
        <v>186.6</v>
      </c>
      <c r="AN44" s="599">
        <f>IF(AL44=0, "    ---- ", IF(ABS(ROUND(100/AL44*AM44-100,1))&lt;999,ROUND(100/AL44*AM44-100,1),IF(ROUND(100/AL44*AM44-100,1)&gt;999,999,-999)))</f>
        <v>66.599999999999994</v>
      </c>
      <c r="AO44" s="594">
        <f t="shared" si="14"/>
        <v>906.44100000000003</v>
      </c>
      <c r="AP44" s="594">
        <f t="shared" si="15"/>
        <v>500192.6477400001</v>
      </c>
      <c r="AQ44" s="599">
        <f t="shared" si="10"/>
        <v>999</v>
      </c>
      <c r="AR44" s="594">
        <f t="shared" si="16"/>
        <v>922.87347379328617</v>
      </c>
      <c r="AS44" s="594">
        <f t="shared" si="17"/>
        <v>500208.93048000825</v>
      </c>
      <c r="AT44" s="599">
        <f t="shared" si="13"/>
        <v>999</v>
      </c>
    </row>
    <row r="45" spans="1:47" s="563" customFormat="1" ht="18.75" customHeight="1" x14ac:dyDescent="0.35">
      <c r="A45" s="588" t="s">
        <v>375</v>
      </c>
      <c r="B45" s="822"/>
      <c r="C45" s="822"/>
      <c r="D45" s="596"/>
      <c r="E45" s="822"/>
      <c r="F45" s="822"/>
      <c r="G45" s="597"/>
      <c r="H45" s="822"/>
      <c r="I45" s="822"/>
      <c r="J45" s="591"/>
      <c r="K45" s="822"/>
      <c r="L45" s="822"/>
      <c r="M45" s="597"/>
      <c r="N45" s="822"/>
      <c r="O45" s="822"/>
      <c r="P45" s="597"/>
      <c r="Q45" s="822"/>
      <c r="R45" s="822"/>
      <c r="S45" s="596"/>
      <c r="T45" s="822"/>
      <c r="U45" s="822"/>
      <c r="V45" s="597"/>
      <c r="W45" s="822"/>
      <c r="X45" s="822"/>
      <c r="Y45" s="597"/>
      <c r="Z45" s="822"/>
      <c r="AA45" s="822"/>
      <c r="AB45" s="591"/>
      <c r="AC45" s="822"/>
      <c r="AD45" s="822"/>
      <c r="AE45" s="597"/>
      <c r="AF45" s="822"/>
      <c r="AG45" s="822"/>
      <c r="AH45" s="597"/>
      <c r="AI45" s="822"/>
      <c r="AJ45" s="822"/>
      <c r="AK45" s="591"/>
      <c r="AL45" s="822"/>
      <c r="AM45" s="822"/>
      <c r="AN45" s="597"/>
      <c r="AO45" s="593">
        <f t="shared" si="14"/>
        <v>0</v>
      </c>
      <c r="AP45" s="593">
        <f t="shared" si="15"/>
        <v>0</v>
      </c>
      <c r="AQ45" s="597" t="str">
        <f t="shared" si="10"/>
        <v xml:space="preserve">    ---- </v>
      </c>
      <c r="AR45" s="593">
        <f t="shared" si="16"/>
        <v>0</v>
      </c>
      <c r="AS45" s="593">
        <f t="shared" si="17"/>
        <v>0</v>
      </c>
      <c r="AT45" s="597" t="str">
        <f t="shared" si="13"/>
        <v xml:space="preserve">    ---- </v>
      </c>
    </row>
    <row r="46" spans="1:47" s="563" customFormat="1" ht="18.75" customHeight="1" x14ac:dyDescent="0.35">
      <c r="A46" s="588" t="s">
        <v>376</v>
      </c>
      <c r="B46" s="822">
        <v>72.165999999999997</v>
      </c>
      <c r="C46" s="822">
        <v>54.658000000000001</v>
      </c>
      <c r="D46" s="596">
        <f>IF(B46=0, "    ---- ", IF(ABS(ROUND(100/B46*C46-100,1))&lt;999,ROUND(100/B46*C46-100,1),IF(ROUND(100/B46*C46-100,1)&gt;999,999,-999)))</f>
        <v>-24.3</v>
      </c>
      <c r="E46" s="822"/>
      <c r="F46" s="822"/>
      <c r="G46" s="597"/>
      <c r="H46" s="822"/>
      <c r="I46" s="822"/>
      <c r="J46" s="591"/>
      <c r="K46" s="822">
        <v>422</v>
      </c>
      <c r="L46" s="822">
        <f>+L44</f>
        <v>499610.97474000009</v>
      </c>
      <c r="M46" s="597">
        <f>IF(K46=0, "    ---- ", IF(ABS(ROUND(100/K46*L46-100,1))&lt;999,ROUND(100/K46*L46-100,1),IF(ROUND(100/K46*L46-100,1)&gt;999,999,-999)))</f>
        <v>999</v>
      </c>
      <c r="N46" s="822">
        <v>90.814999999999998</v>
      </c>
      <c r="O46" s="822">
        <v>114.97</v>
      </c>
      <c r="P46" s="597">
        <f>IF(N46=0, "    ---- ", IF(ABS(ROUND(100/N46*O46-100,1))&lt;999,ROUND(100/N46*O46-100,1),IF(ROUND(100/N46*O46-100,1)&gt;999,999,-999)))</f>
        <v>26.6</v>
      </c>
      <c r="Q46" s="822"/>
      <c r="R46" s="822"/>
      <c r="S46" s="596"/>
      <c r="T46" s="822">
        <v>16</v>
      </c>
      <c r="U46" s="822">
        <v>12.843344</v>
      </c>
      <c r="V46" s="597">
        <f>IF(T46=0, "    ---- ", IF(ABS(ROUND(100/T46*U46-100,1))&lt;999,ROUND(100/T46*U46-100,1),IF(ROUND(100/T46*U46-100,1)&gt;999,999,-999)))</f>
        <v>-19.7</v>
      </c>
      <c r="W46" s="822"/>
      <c r="X46" s="822"/>
      <c r="Y46" s="597"/>
      <c r="Z46" s="822">
        <v>209.56</v>
      </c>
      <c r="AA46" s="822">
        <v>225.46</v>
      </c>
      <c r="AB46" s="591">
        <f t="shared" si="0"/>
        <v>7.6</v>
      </c>
      <c r="AC46" s="822"/>
      <c r="AD46" s="822"/>
      <c r="AE46" s="597"/>
      <c r="AF46" s="822"/>
      <c r="AG46" s="822">
        <v>2.9292359662663241</v>
      </c>
      <c r="AH46" s="591" t="str">
        <f>IF(AF46=0, "    ---- ", IF(ABS(ROUND(100/AF46*AG46-100,1))&lt;999,ROUND(100/AF46*AG46-100,1),IF(ROUND(100/AF46*AG46-100,1)&gt;999,999,-999)))</f>
        <v xml:space="preserve">    ---- </v>
      </c>
      <c r="AI46" s="822"/>
      <c r="AJ46" s="822"/>
      <c r="AK46" s="591"/>
      <c r="AL46" s="822">
        <v>112</v>
      </c>
      <c r="AM46" s="822">
        <v>187</v>
      </c>
      <c r="AN46" s="597">
        <f>IF(AL46=0, "    ---- ", IF(ABS(ROUND(100/AL46*AM46-100,1))&lt;999,ROUND(100/AL46*AM46-100,1),IF(ROUND(100/AL46*AM46-100,1)&gt;999,999,-999)))</f>
        <v>67</v>
      </c>
      <c r="AO46" s="593">
        <f t="shared" si="14"/>
        <v>906.54099999999994</v>
      </c>
      <c r="AP46" s="593">
        <f t="shared" si="15"/>
        <v>500193.06274000008</v>
      </c>
      <c r="AQ46" s="597">
        <f t="shared" si="10"/>
        <v>999</v>
      </c>
      <c r="AR46" s="593">
        <f t="shared" si="16"/>
        <v>922.54099999999994</v>
      </c>
      <c r="AS46" s="593">
        <f t="shared" si="17"/>
        <v>500208.83531996637</v>
      </c>
      <c r="AT46" s="597">
        <f t="shared" si="13"/>
        <v>999</v>
      </c>
      <c r="AU46" s="595"/>
    </row>
    <row r="47" spans="1:47" s="595" customFormat="1" ht="18.75" customHeight="1" x14ac:dyDescent="0.35">
      <c r="A47" s="583" t="s">
        <v>379</v>
      </c>
      <c r="B47" s="820"/>
      <c r="C47" s="820"/>
      <c r="D47" s="598"/>
      <c r="E47" s="820"/>
      <c r="F47" s="820"/>
      <c r="G47" s="599"/>
      <c r="H47" s="820"/>
      <c r="I47" s="820"/>
      <c r="J47" s="586"/>
      <c r="K47" s="820"/>
      <c r="L47" s="820"/>
      <c r="M47" s="599"/>
      <c r="N47" s="820"/>
      <c r="O47" s="820"/>
      <c r="P47" s="599"/>
      <c r="Q47" s="820"/>
      <c r="R47" s="820"/>
      <c r="S47" s="598"/>
      <c r="T47" s="820"/>
      <c r="U47" s="820"/>
      <c r="V47" s="599"/>
      <c r="W47" s="820"/>
      <c r="X47" s="820"/>
      <c r="Y47" s="599"/>
      <c r="Z47" s="820"/>
      <c r="AA47" s="820"/>
      <c r="AB47" s="586"/>
      <c r="AC47" s="820"/>
      <c r="AD47" s="820"/>
      <c r="AE47" s="599"/>
      <c r="AF47" s="820"/>
      <c r="AG47" s="820"/>
      <c r="AH47" s="599"/>
      <c r="AI47" s="820"/>
      <c r="AJ47" s="820"/>
      <c r="AK47" s="586"/>
      <c r="AL47" s="820"/>
      <c r="AM47" s="820"/>
      <c r="AN47" s="599"/>
      <c r="AO47" s="598"/>
      <c r="AP47" s="598"/>
      <c r="AQ47" s="599"/>
      <c r="AR47" s="593"/>
      <c r="AS47" s="593"/>
      <c r="AT47" s="599"/>
    </row>
    <row r="48" spans="1:47" s="563" customFormat="1" ht="18.75" customHeight="1" x14ac:dyDescent="0.35">
      <c r="A48" s="588" t="s">
        <v>366</v>
      </c>
      <c r="B48" s="822"/>
      <c r="C48" s="822"/>
      <c r="D48" s="596"/>
      <c r="E48" s="822"/>
      <c r="F48" s="822"/>
      <c r="G48" s="597"/>
      <c r="H48" s="822">
        <v>666</v>
      </c>
      <c r="I48" s="822">
        <v>909.88850600000001</v>
      </c>
      <c r="J48" s="591">
        <f>IF(H48=0, "    ---- ", IF(ABS(ROUND(100/H48*I48-100,1))&lt;999,ROUND(100/H48*I48-100,1),IF(ROUND(100/H48*I48-100,1)&gt;999,999,-999)))</f>
        <v>36.6</v>
      </c>
      <c r="K48" s="822"/>
      <c r="L48" s="822"/>
      <c r="M48" s="597"/>
      <c r="N48" s="822"/>
      <c r="O48" s="822"/>
      <c r="P48" s="597"/>
      <c r="Q48" s="822"/>
      <c r="R48" s="822"/>
      <c r="S48" s="596"/>
      <c r="T48" s="822"/>
      <c r="U48" s="822"/>
      <c r="V48" s="597"/>
      <c r="W48" s="822"/>
      <c r="X48" s="822"/>
      <c r="Y48" s="597"/>
      <c r="Z48" s="822"/>
      <c r="AA48" s="822"/>
      <c r="AB48" s="591"/>
      <c r="AC48" s="822"/>
      <c r="AD48" s="822"/>
      <c r="AE48" s="597"/>
      <c r="AF48" s="822"/>
      <c r="AG48" s="822"/>
      <c r="AH48" s="597"/>
      <c r="AI48" s="822"/>
      <c r="AJ48" s="822"/>
      <c r="AK48" s="591"/>
      <c r="AL48" s="822">
        <v>-4</v>
      </c>
      <c r="AM48" s="822">
        <v>0</v>
      </c>
      <c r="AN48" s="597">
        <f>IF(AL48=0, "    ---- ", IF(ABS(ROUND(100/AL48*AM48-100,1))&lt;999,ROUND(100/AL48*AM48-100,1),IF(ROUND(100/AL48*AM48-100,1)&gt;999,999,-999)))</f>
        <v>-100</v>
      </c>
      <c r="AO48" s="593">
        <f t="shared" ref="AO48:AO58" si="18">B48+H48+K48+N48+Q48+W48+E48+Z48+AC48+AI48+AL48</f>
        <v>662</v>
      </c>
      <c r="AP48" s="593">
        <f t="shared" ref="AP48:AP58" si="19">C48+I48+L48+O48+R48+X48+F48+AA48+AD48+AJ48+AM48</f>
        <v>909.88850600000001</v>
      </c>
      <c r="AQ48" s="597">
        <f t="shared" si="10"/>
        <v>37.4</v>
      </c>
      <c r="AR48" s="593">
        <f t="shared" ref="AR48:AR58" si="20">+B48+H48+K48+N48+Q48+T48+W48+E48+Z48+AC48+AF48+AI48+AL48</f>
        <v>662</v>
      </c>
      <c r="AS48" s="593">
        <f t="shared" ref="AS48:AS58" si="21">+C48+I48+L48+O48+R48+U48+X48+F48+AA48+AD48+AG48+AJ48+AM48</f>
        <v>909.88850600000001</v>
      </c>
      <c r="AT48" s="597">
        <f t="shared" si="13"/>
        <v>37.4</v>
      </c>
    </row>
    <row r="49" spans="1:46" s="563" customFormat="1" ht="18.75" customHeight="1" x14ac:dyDescent="0.35">
      <c r="A49" s="588" t="s">
        <v>367</v>
      </c>
      <c r="B49" s="822"/>
      <c r="C49" s="822"/>
      <c r="D49" s="596"/>
      <c r="E49" s="822"/>
      <c r="F49" s="822"/>
      <c r="G49" s="597"/>
      <c r="H49" s="822"/>
      <c r="I49" s="822"/>
      <c r="J49" s="591"/>
      <c r="K49" s="822"/>
      <c r="L49" s="822"/>
      <c r="M49" s="597"/>
      <c r="N49" s="822"/>
      <c r="O49" s="822"/>
      <c r="P49" s="597"/>
      <c r="Q49" s="822"/>
      <c r="R49" s="822"/>
      <c r="S49" s="596"/>
      <c r="T49" s="822"/>
      <c r="U49" s="822"/>
      <c r="V49" s="597"/>
      <c r="W49" s="822"/>
      <c r="X49" s="822"/>
      <c r="Y49" s="597"/>
      <c r="Z49" s="822"/>
      <c r="AA49" s="822"/>
      <c r="AB49" s="591"/>
      <c r="AC49" s="822"/>
      <c r="AD49" s="822"/>
      <c r="AE49" s="597"/>
      <c r="AF49" s="822"/>
      <c r="AG49" s="822"/>
      <c r="AH49" s="597"/>
      <c r="AI49" s="822"/>
      <c r="AJ49" s="822"/>
      <c r="AK49" s="591"/>
      <c r="AL49" s="822"/>
      <c r="AM49" s="822"/>
      <c r="AN49" s="597"/>
      <c r="AO49" s="593">
        <f t="shared" si="18"/>
        <v>0</v>
      </c>
      <c r="AP49" s="593">
        <f t="shared" si="19"/>
        <v>0</v>
      </c>
      <c r="AQ49" s="597" t="str">
        <f t="shared" si="10"/>
        <v xml:space="preserve">    ---- </v>
      </c>
      <c r="AR49" s="593">
        <f t="shared" si="20"/>
        <v>0</v>
      </c>
      <c r="AS49" s="593">
        <f t="shared" si="21"/>
        <v>0</v>
      </c>
      <c r="AT49" s="597" t="str">
        <f t="shared" si="13"/>
        <v xml:space="preserve">    ---- </v>
      </c>
    </row>
    <row r="50" spans="1:46" s="563" customFormat="1" ht="18.75" customHeight="1" x14ac:dyDescent="0.35">
      <c r="A50" s="588" t="s">
        <v>368</v>
      </c>
      <c r="B50" s="822">
        <v>-4.806</v>
      </c>
      <c r="C50" s="822">
        <v>7.1020000000000003</v>
      </c>
      <c r="D50" s="596">
        <f>IF(B50=0, "    ---- ", IF(ABS(ROUND(100/B50*C50-100,1))&lt;999,ROUND(100/B50*C50-100,1),IF(ROUND(100/B50*C50-100,1)&gt;999,999,-999)))</f>
        <v>-247.8</v>
      </c>
      <c r="E50" s="822"/>
      <c r="F50" s="822"/>
      <c r="G50" s="597"/>
      <c r="H50" s="822">
        <v>3</v>
      </c>
      <c r="I50" s="822">
        <v>5.9609140000000025</v>
      </c>
      <c r="J50" s="591">
        <f>IF(H50=0, "    ---- ", IF(ABS(ROUND(100/H50*I50-100,1))&lt;999,ROUND(100/H50*I50-100,1),IF(ROUND(100/H50*I50-100,1)&gt;999,999,-999)))</f>
        <v>98.7</v>
      </c>
      <c r="K50" s="822"/>
      <c r="L50" s="822"/>
      <c r="M50" s="597"/>
      <c r="N50" s="822"/>
      <c r="O50" s="822"/>
      <c r="P50" s="597"/>
      <c r="Q50" s="822"/>
      <c r="R50" s="822"/>
      <c r="S50" s="596"/>
      <c r="T50" s="822"/>
      <c r="U50" s="822"/>
      <c r="V50" s="597"/>
      <c r="W50" s="822"/>
      <c r="X50" s="822"/>
      <c r="Y50" s="597"/>
      <c r="Z50" s="822">
        <v>144.30000000000001</v>
      </c>
      <c r="AA50" s="822">
        <v>243.61</v>
      </c>
      <c r="AB50" s="591">
        <f t="shared" si="0"/>
        <v>68.8</v>
      </c>
      <c r="AC50" s="822"/>
      <c r="AD50" s="822"/>
      <c r="AE50" s="597"/>
      <c r="AF50" s="822"/>
      <c r="AG50" s="822"/>
      <c r="AH50" s="597"/>
      <c r="AI50" s="822">
        <v>4</v>
      </c>
      <c r="AJ50" s="822">
        <v>9</v>
      </c>
      <c r="AK50" s="591">
        <f>IF(AI50=0, "    ---- ", IF(ABS(ROUND(100/AI50*AJ50-100,1))&lt;999,ROUND(100/AI50*AJ50-100,1),IF(ROUND(100/AI50*AJ50-100,1)&gt;999,999,-999)))</f>
        <v>125</v>
      </c>
      <c r="AL50" s="822">
        <v>15</v>
      </c>
      <c r="AM50" s="822">
        <v>5</v>
      </c>
      <c r="AN50" s="597">
        <f>IF(AL50=0, "    ---- ", IF(ABS(ROUND(100/AL50*AM50-100,1))&lt;999,ROUND(100/AL50*AM50-100,1),IF(ROUND(100/AL50*AM50-100,1)&gt;999,999,-999)))</f>
        <v>-66.7</v>
      </c>
      <c r="AO50" s="593">
        <f t="shared" si="18"/>
        <v>161.494</v>
      </c>
      <c r="AP50" s="593">
        <f t="shared" si="19"/>
        <v>270.67291399999999</v>
      </c>
      <c r="AQ50" s="597">
        <f t="shared" si="10"/>
        <v>67.599999999999994</v>
      </c>
      <c r="AR50" s="593">
        <f t="shared" si="20"/>
        <v>161.494</v>
      </c>
      <c r="AS50" s="593">
        <f t="shared" si="21"/>
        <v>270.67291399999999</v>
      </c>
      <c r="AT50" s="597">
        <f t="shared" si="13"/>
        <v>67.599999999999994</v>
      </c>
    </row>
    <row r="51" spans="1:46" s="563" customFormat="1" ht="18.75" customHeight="1" x14ac:dyDescent="0.35">
      <c r="A51" s="588" t="s">
        <v>369</v>
      </c>
      <c r="B51" s="822"/>
      <c r="C51" s="822"/>
      <c r="D51" s="596"/>
      <c r="E51" s="822"/>
      <c r="F51" s="822"/>
      <c r="G51" s="597"/>
      <c r="H51" s="822"/>
      <c r="I51" s="822"/>
      <c r="J51" s="591"/>
      <c r="K51" s="822"/>
      <c r="L51" s="822"/>
      <c r="M51" s="597"/>
      <c r="N51" s="822"/>
      <c r="O51" s="822"/>
      <c r="P51" s="597"/>
      <c r="Q51" s="822"/>
      <c r="R51" s="822"/>
      <c r="S51" s="596"/>
      <c r="T51" s="822"/>
      <c r="U51" s="822"/>
      <c r="V51" s="597"/>
      <c r="W51" s="822"/>
      <c r="X51" s="822"/>
      <c r="Y51" s="597"/>
      <c r="Z51" s="822"/>
      <c r="AA51" s="822"/>
      <c r="AB51" s="591"/>
      <c r="AC51" s="822"/>
      <c r="AD51" s="822"/>
      <c r="AE51" s="597"/>
      <c r="AF51" s="822"/>
      <c r="AG51" s="822"/>
      <c r="AH51" s="597"/>
      <c r="AI51" s="822"/>
      <c r="AJ51" s="822"/>
      <c r="AK51" s="591"/>
      <c r="AL51" s="822"/>
      <c r="AM51" s="822"/>
      <c r="AN51" s="597"/>
      <c r="AO51" s="593">
        <f t="shared" si="18"/>
        <v>0</v>
      </c>
      <c r="AP51" s="593">
        <f t="shared" si="19"/>
        <v>0</v>
      </c>
      <c r="AQ51" s="597" t="str">
        <f t="shared" si="10"/>
        <v xml:space="preserve">    ---- </v>
      </c>
      <c r="AR51" s="593">
        <f t="shared" si="20"/>
        <v>0</v>
      </c>
      <c r="AS51" s="593">
        <f t="shared" si="21"/>
        <v>0</v>
      </c>
      <c r="AT51" s="597" t="str">
        <f t="shared" si="13"/>
        <v xml:space="preserve">    ---- </v>
      </c>
    </row>
    <row r="52" spans="1:46" s="563" customFormat="1" ht="18.75" customHeight="1" x14ac:dyDescent="0.35">
      <c r="A52" s="588" t="s">
        <v>370</v>
      </c>
      <c r="B52" s="822"/>
      <c r="C52" s="822"/>
      <c r="D52" s="596"/>
      <c r="E52" s="822"/>
      <c r="F52" s="822"/>
      <c r="G52" s="597"/>
      <c r="H52" s="822"/>
      <c r="I52" s="822"/>
      <c r="J52" s="591"/>
      <c r="K52" s="822"/>
      <c r="L52" s="822"/>
      <c r="M52" s="597"/>
      <c r="N52" s="822"/>
      <c r="O52" s="822"/>
      <c r="P52" s="597"/>
      <c r="Q52" s="822"/>
      <c r="R52" s="822"/>
      <c r="S52" s="596"/>
      <c r="T52" s="822"/>
      <c r="U52" s="822"/>
      <c r="V52" s="597"/>
      <c r="W52" s="822"/>
      <c r="X52" s="822"/>
      <c r="Y52" s="597"/>
      <c r="Z52" s="822"/>
      <c r="AA52" s="822"/>
      <c r="AB52" s="591"/>
      <c r="AC52" s="822"/>
      <c r="AD52" s="822"/>
      <c r="AE52" s="597"/>
      <c r="AF52" s="822"/>
      <c r="AG52" s="822"/>
      <c r="AH52" s="597"/>
      <c r="AI52" s="822"/>
      <c r="AJ52" s="822"/>
      <c r="AK52" s="591"/>
      <c r="AL52" s="822"/>
      <c r="AM52" s="822"/>
      <c r="AN52" s="597"/>
      <c r="AO52" s="593">
        <f t="shared" si="18"/>
        <v>0</v>
      </c>
      <c r="AP52" s="593">
        <f t="shared" si="19"/>
        <v>0</v>
      </c>
      <c r="AQ52" s="597" t="str">
        <f t="shared" si="10"/>
        <v xml:space="preserve">    ---- </v>
      </c>
      <c r="AR52" s="593">
        <f t="shared" si="20"/>
        <v>0</v>
      </c>
      <c r="AS52" s="593">
        <f t="shared" si="21"/>
        <v>0</v>
      </c>
      <c r="AT52" s="597" t="str">
        <f t="shared" si="13"/>
        <v xml:space="preserve">    ---- </v>
      </c>
    </row>
    <row r="53" spans="1:46" s="563" customFormat="1" ht="18.75" customHeight="1" x14ac:dyDescent="0.35">
      <c r="A53" s="588" t="s">
        <v>371</v>
      </c>
      <c r="B53" s="822">
        <v>-0.255</v>
      </c>
      <c r="C53" s="822">
        <v>0.52</v>
      </c>
      <c r="D53" s="596">
        <f>IF(B53=0, "    ---- ", IF(ABS(ROUND(100/B53*C53-100,1))&lt;999,ROUND(100/B53*C53-100,1),IF(ROUND(100/B53*C53-100,1)&gt;999,999,-999)))</f>
        <v>-303.89999999999998</v>
      </c>
      <c r="E53" s="822"/>
      <c r="F53" s="822"/>
      <c r="G53" s="597"/>
      <c r="H53" s="822">
        <v>0</v>
      </c>
      <c r="I53" s="822">
        <v>0.187</v>
      </c>
      <c r="J53" s="591" t="str">
        <f>IF(H53=0, "    ---- ", IF(ABS(ROUND(100/H53*I53-100,1))&lt;999,ROUND(100/H53*I53-100,1),IF(ROUND(100/H53*I53-100,1)&gt;999,999,-999)))</f>
        <v xml:space="preserve">    ---- </v>
      </c>
      <c r="K53" s="822"/>
      <c r="L53" s="822"/>
      <c r="M53" s="597"/>
      <c r="N53" s="822"/>
      <c r="O53" s="822"/>
      <c r="P53" s="597"/>
      <c r="Q53" s="822"/>
      <c r="R53" s="822"/>
      <c r="S53" s="596"/>
      <c r="T53" s="822"/>
      <c r="U53" s="822"/>
      <c r="V53" s="597"/>
      <c r="W53" s="822"/>
      <c r="X53" s="822"/>
      <c r="Y53" s="597"/>
      <c r="Z53" s="822">
        <v>4.4800000000000004</v>
      </c>
      <c r="AA53" s="822">
        <v>8.85</v>
      </c>
      <c r="AB53" s="591">
        <f t="shared" si="0"/>
        <v>97.5</v>
      </c>
      <c r="AC53" s="822"/>
      <c r="AD53" s="822"/>
      <c r="AE53" s="597"/>
      <c r="AF53" s="822"/>
      <c r="AG53" s="822"/>
      <c r="AH53" s="597"/>
      <c r="AI53" s="822">
        <v>11</v>
      </c>
      <c r="AJ53" s="822">
        <v>1</v>
      </c>
      <c r="AK53" s="591">
        <f>IF(AI53=0, "    ---- ", IF(ABS(ROUND(100/AI53*AJ53-100,1))&lt;999,ROUND(100/AI53*AJ53-100,1),IF(ROUND(100/AI53*AJ53-100,1)&gt;999,999,-999)))</f>
        <v>-90.9</v>
      </c>
      <c r="AL53" s="822"/>
      <c r="AM53" s="822"/>
      <c r="AN53" s="597"/>
      <c r="AO53" s="593">
        <f t="shared" si="18"/>
        <v>15.225000000000001</v>
      </c>
      <c r="AP53" s="593">
        <f t="shared" si="19"/>
        <v>10.557</v>
      </c>
      <c r="AQ53" s="597">
        <f t="shared" si="10"/>
        <v>-30.7</v>
      </c>
      <c r="AR53" s="593">
        <f t="shared" si="20"/>
        <v>15.225000000000001</v>
      </c>
      <c r="AS53" s="593">
        <f t="shared" si="21"/>
        <v>10.557</v>
      </c>
      <c r="AT53" s="597">
        <f t="shared" si="13"/>
        <v>-30.7</v>
      </c>
    </row>
    <row r="54" spans="1:46" s="563" customFormat="1" ht="18.75" customHeight="1" x14ac:dyDescent="0.35">
      <c r="A54" s="588" t="s">
        <v>372</v>
      </c>
      <c r="B54" s="822"/>
      <c r="C54" s="822"/>
      <c r="D54" s="596"/>
      <c r="E54" s="822"/>
      <c r="F54" s="822"/>
      <c r="G54" s="597"/>
      <c r="H54" s="822"/>
      <c r="I54" s="822"/>
      <c r="J54" s="591"/>
      <c r="K54" s="822"/>
      <c r="L54" s="822"/>
      <c r="M54" s="597"/>
      <c r="N54" s="822"/>
      <c r="O54" s="822"/>
      <c r="P54" s="597"/>
      <c r="Q54" s="822"/>
      <c r="R54" s="822"/>
      <c r="S54" s="596"/>
      <c r="T54" s="822"/>
      <c r="U54" s="822"/>
      <c r="V54" s="597"/>
      <c r="W54" s="822"/>
      <c r="X54" s="822"/>
      <c r="Y54" s="597"/>
      <c r="Z54" s="822"/>
      <c r="AA54" s="822"/>
      <c r="AB54" s="591"/>
      <c r="AC54" s="822"/>
      <c r="AD54" s="822"/>
      <c r="AE54" s="597"/>
      <c r="AF54" s="822"/>
      <c r="AG54" s="822"/>
      <c r="AH54" s="597"/>
      <c r="AI54" s="822"/>
      <c r="AJ54" s="822"/>
      <c r="AK54" s="591"/>
      <c r="AL54" s="822"/>
      <c r="AM54" s="822">
        <v>0</v>
      </c>
      <c r="AN54" s="597" t="str">
        <f>IF(AL54=0, "    ---- ", IF(ABS(ROUND(100/AL54*AM54-100,1))&lt;999,ROUND(100/AL54*AM54-100,1),IF(ROUND(100/AL54*AM54-100,1)&gt;999,999,-999)))</f>
        <v xml:space="preserve">    ---- </v>
      </c>
      <c r="AO54" s="593">
        <f t="shared" si="18"/>
        <v>0</v>
      </c>
      <c r="AP54" s="593">
        <f t="shared" si="19"/>
        <v>0</v>
      </c>
      <c r="AQ54" s="597" t="str">
        <f t="shared" si="10"/>
        <v xml:space="preserve">    ---- </v>
      </c>
      <c r="AR54" s="593">
        <f t="shared" si="20"/>
        <v>0</v>
      </c>
      <c r="AS54" s="593">
        <f t="shared" si="21"/>
        <v>0</v>
      </c>
      <c r="AT54" s="597" t="str">
        <f t="shared" si="13"/>
        <v xml:space="preserve">    ---- </v>
      </c>
    </row>
    <row r="55" spans="1:46" s="563" customFormat="1" ht="18.75" customHeight="1" x14ac:dyDescent="0.35">
      <c r="A55" s="588" t="s">
        <v>373</v>
      </c>
      <c r="B55" s="822"/>
      <c r="C55" s="822"/>
      <c r="D55" s="596"/>
      <c r="E55" s="822"/>
      <c r="F55" s="822"/>
      <c r="G55" s="597"/>
      <c r="H55" s="822"/>
      <c r="I55" s="822"/>
      <c r="J55" s="591"/>
      <c r="K55" s="822"/>
      <c r="L55" s="822"/>
      <c r="M55" s="597"/>
      <c r="N55" s="822"/>
      <c r="O55" s="822"/>
      <c r="P55" s="597"/>
      <c r="Q55" s="822"/>
      <c r="R55" s="822"/>
      <c r="S55" s="596"/>
      <c r="T55" s="822"/>
      <c r="U55" s="822"/>
      <c r="V55" s="597"/>
      <c r="W55" s="822"/>
      <c r="X55" s="822"/>
      <c r="Y55" s="597"/>
      <c r="Z55" s="822"/>
      <c r="AA55" s="822"/>
      <c r="AB55" s="591"/>
      <c r="AC55" s="822"/>
      <c r="AD55" s="822"/>
      <c r="AE55" s="597"/>
      <c r="AF55" s="822"/>
      <c r="AG55" s="822"/>
      <c r="AH55" s="597"/>
      <c r="AI55" s="822"/>
      <c r="AJ55" s="822"/>
      <c r="AK55" s="591"/>
      <c r="AL55" s="822"/>
      <c r="AM55" s="822"/>
      <c r="AN55" s="597"/>
      <c r="AO55" s="593">
        <f t="shared" si="18"/>
        <v>0</v>
      </c>
      <c r="AP55" s="593">
        <f t="shared" si="19"/>
        <v>0</v>
      </c>
      <c r="AQ55" s="597" t="str">
        <f t="shared" si="10"/>
        <v xml:space="preserve">    ---- </v>
      </c>
      <c r="AR55" s="593">
        <f t="shared" si="20"/>
        <v>0</v>
      </c>
      <c r="AS55" s="593">
        <f t="shared" si="21"/>
        <v>0</v>
      </c>
      <c r="AT55" s="597" t="str">
        <f t="shared" si="13"/>
        <v xml:space="preserve">    ---- </v>
      </c>
    </row>
    <row r="56" spans="1:46" s="595" customFormat="1" ht="18.75" customHeight="1" x14ac:dyDescent="0.3">
      <c r="A56" s="583" t="s">
        <v>374</v>
      </c>
      <c r="B56" s="820">
        <f>SUM(B48:B53)+B55</f>
        <v>-5.0609999999999999</v>
      </c>
      <c r="C56" s="820">
        <f>SUM(C48:C53)+C55</f>
        <v>7.6219999999999999</v>
      </c>
      <c r="D56" s="598">
        <f>IF(B56=0, "    ---- ", IF(ABS(ROUND(100/B56*C56-100,1))&lt;999,ROUND(100/B56*C56-100,1),IF(ROUND(100/B56*C56-100,1)&gt;999,999,-999)))</f>
        <v>-250.6</v>
      </c>
      <c r="E56" s="820"/>
      <c r="F56" s="820"/>
      <c r="G56" s="599"/>
      <c r="H56" s="820">
        <f>SUM(H48:H53)+H55</f>
        <v>669</v>
      </c>
      <c r="I56" s="820">
        <f>SUM(I48:I53)+I55</f>
        <v>916.03642000000002</v>
      </c>
      <c r="J56" s="586">
        <f>IF(H56=0, "    ---- ", IF(ABS(ROUND(100/H56*I56-100,1))&lt;999,ROUND(100/H56*I56-100,1),IF(ROUND(100/H56*I56-100,1)&gt;999,999,-999)))</f>
        <v>36.9</v>
      </c>
      <c r="K56" s="820"/>
      <c r="L56" s="820"/>
      <c r="M56" s="599"/>
      <c r="N56" s="820"/>
      <c r="O56" s="820"/>
      <c r="P56" s="599"/>
      <c r="Q56" s="820"/>
      <c r="R56" s="820"/>
      <c r="S56" s="598"/>
      <c r="T56" s="820"/>
      <c r="U56" s="820"/>
      <c r="V56" s="599"/>
      <c r="W56" s="820"/>
      <c r="X56" s="820"/>
      <c r="Y56" s="599"/>
      <c r="Z56" s="820">
        <f>SUM(Z48:Z53)+Z55</f>
        <v>148.78</v>
      </c>
      <c r="AA56" s="820">
        <f>SUM(AA48:AA53)+AA55</f>
        <v>252.46</v>
      </c>
      <c r="AB56" s="586">
        <f t="shared" si="0"/>
        <v>69.7</v>
      </c>
      <c r="AC56" s="820"/>
      <c r="AD56" s="820"/>
      <c r="AE56" s="599"/>
      <c r="AF56" s="820"/>
      <c r="AG56" s="820"/>
      <c r="AH56" s="599"/>
      <c r="AI56" s="820">
        <f>SUM(AI48:AI53)+AI55</f>
        <v>15</v>
      </c>
      <c r="AJ56" s="820">
        <f>SUM(AJ48:AJ53)+AJ55</f>
        <v>10</v>
      </c>
      <c r="AK56" s="586">
        <f>IF(AI56=0, "    ---- ", IF(ABS(ROUND(100/AI56*AJ56-100,1))&lt;999,ROUND(100/AI56*AJ56-100,1),IF(ROUND(100/AI56*AJ56-100,1)&gt;999,999,-999)))</f>
        <v>-33.299999999999997</v>
      </c>
      <c r="AL56" s="820">
        <f>SUM(AL48:AL53)+AL55</f>
        <v>11</v>
      </c>
      <c r="AM56" s="820">
        <f>SUM(AM48:AM53)+AM55</f>
        <v>5</v>
      </c>
      <c r="AN56" s="599">
        <f>IF(AL56=0, "    ---- ", IF(ABS(ROUND(100/AL56*AM56-100,1))&lt;999,ROUND(100/AL56*AM56-100,1),IF(ROUND(100/AL56*AM56-100,1)&gt;999,999,-999)))</f>
        <v>-54.5</v>
      </c>
      <c r="AO56" s="594">
        <f t="shared" si="18"/>
        <v>838.71899999999994</v>
      </c>
      <c r="AP56" s="594">
        <f t="shared" si="19"/>
        <v>1191.11842</v>
      </c>
      <c r="AQ56" s="599">
        <f t="shared" si="10"/>
        <v>42</v>
      </c>
      <c r="AR56" s="594">
        <f t="shared" si="20"/>
        <v>838.71899999999994</v>
      </c>
      <c r="AS56" s="594">
        <f t="shared" si="21"/>
        <v>1191.11842</v>
      </c>
      <c r="AT56" s="599">
        <f t="shared" si="13"/>
        <v>42</v>
      </c>
    </row>
    <row r="57" spans="1:46" s="563" customFormat="1" ht="18.75" customHeight="1" x14ac:dyDescent="0.35">
      <c r="A57" s="588" t="s">
        <v>375</v>
      </c>
      <c r="B57" s="822"/>
      <c r="C57" s="822"/>
      <c r="D57" s="596"/>
      <c r="E57" s="822"/>
      <c r="F57" s="822"/>
      <c r="G57" s="597"/>
      <c r="H57" s="822">
        <v>666</v>
      </c>
      <c r="I57" s="822">
        <v>909.88880600000005</v>
      </c>
      <c r="J57" s="586">
        <f>IF(H57=0, "    ---- ", IF(ABS(ROUND(100/H57*I57-100,1))&lt;999,ROUND(100/H57*I57-100,1),IF(ROUND(100/H57*I57-100,1)&gt;999,999,-999)))</f>
        <v>36.6</v>
      </c>
      <c r="K57" s="822"/>
      <c r="L57" s="822"/>
      <c r="M57" s="597"/>
      <c r="N57" s="822"/>
      <c r="O57" s="822"/>
      <c r="P57" s="597"/>
      <c r="Q57" s="822"/>
      <c r="R57" s="822"/>
      <c r="S57" s="596"/>
      <c r="T57" s="822"/>
      <c r="U57" s="822"/>
      <c r="V57" s="597"/>
      <c r="W57" s="822"/>
      <c r="X57" s="822"/>
      <c r="Y57" s="597"/>
      <c r="Z57" s="822"/>
      <c r="AA57" s="822">
        <v>-4.42</v>
      </c>
      <c r="AB57" s="591" t="str">
        <f t="shared" si="0"/>
        <v xml:space="preserve">    ---- </v>
      </c>
      <c r="AC57" s="822"/>
      <c r="AD57" s="822"/>
      <c r="AE57" s="597"/>
      <c r="AF57" s="822"/>
      <c r="AG57" s="822"/>
      <c r="AH57" s="597"/>
      <c r="AI57" s="822"/>
      <c r="AJ57" s="822"/>
      <c r="AK57" s="591"/>
      <c r="AL57" s="822"/>
      <c r="AM57" s="822"/>
      <c r="AN57" s="597"/>
      <c r="AO57" s="593">
        <f t="shared" si="18"/>
        <v>666</v>
      </c>
      <c r="AP57" s="593">
        <f t="shared" si="19"/>
        <v>905.46880600000009</v>
      </c>
      <c r="AQ57" s="597">
        <f t="shared" si="10"/>
        <v>36</v>
      </c>
      <c r="AR57" s="593">
        <f t="shared" si="20"/>
        <v>666</v>
      </c>
      <c r="AS57" s="593">
        <f t="shared" si="21"/>
        <v>905.46880600000009</v>
      </c>
      <c r="AT57" s="597">
        <f t="shared" si="13"/>
        <v>36</v>
      </c>
    </row>
    <row r="58" spans="1:46" s="563" customFormat="1" ht="18.75" customHeight="1" x14ac:dyDescent="0.35">
      <c r="A58" s="588" t="s">
        <v>376</v>
      </c>
      <c r="B58" s="822">
        <v>-5.0609999999999999</v>
      </c>
      <c r="C58" s="822">
        <v>7.6219999999999999</v>
      </c>
      <c r="D58" s="596">
        <f>IF(B58=0, "    ---- ", IF(ABS(ROUND(100/B58*C58-100,1))&lt;999,ROUND(100/B58*C58-100,1),IF(ROUND(100/B58*C58-100,1)&gt;999,999,-999)))</f>
        <v>-250.6</v>
      </c>
      <c r="E58" s="822"/>
      <c r="F58" s="822"/>
      <c r="G58" s="597"/>
      <c r="H58" s="822">
        <v>3</v>
      </c>
      <c r="I58" s="822">
        <v>6.1476139999999759</v>
      </c>
      <c r="J58" s="591">
        <f>IF(H58=0, "    ---- ", IF(ABS(ROUND(100/H58*I58-100,1))&lt;999,ROUND(100/H58*I58-100,1),IF(ROUND(100/H58*I58-100,1)&gt;999,999,-999)))</f>
        <v>104.9</v>
      </c>
      <c r="K58" s="822"/>
      <c r="L58" s="822"/>
      <c r="M58" s="597"/>
      <c r="N58" s="822"/>
      <c r="O58" s="822"/>
      <c r="P58" s="597"/>
      <c r="Q58" s="822"/>
      <c r="R58" s="822"/>
      <c r="S58" s="596"/>
      <c r="T58" s="822"/>
      <c r="U58" s="822"/>
      <c r="V58" s="597"/>
      <c r="W58" s="822"/>
      <c r="X58" s="822"/>
      <c r="Y58" s="597"/>
      <c r="Z58" s="822">
        <v>148.77000000000001</v>
      </c>
      <c r="AA58" s="822">
        <v>256.88</v>
      </c>
      <c r="AB58" s="591">
        <f t="shared" si="0"/>
        <v>72.7</v>
      </c>
      <c r="AC58" s="822"/>
      <c r="AD58" s="822"/>
      <c r="AE58" s="597"/>
      <c r="AF58" s="822"/>
      <c r="AG58" s="822"/>
      <c r="AH58" s="597"/>
      <c r="AI58" s="822">
        <v>15</v>
      </c>
      <c r="AJ58" s="822">
        <v>10</v>
      </c>
      <c r="AK58" s="591">
        <f>IF(AI58=0, "    ---- ", IF(ABS(ROUND(100/AI58*AJ58-100,1))&lt;999,ROUND(100/AI58*AJ58-100,1),IF(ROUND(100/AI58*AJ58-100,1)&gt;999,999,-999)))</f>
        <v>-33.299999999999997</v>
      </c>
      <c r="AL58" s="822">
        <v>11</v>
      </c>
      <c r="AM58" s="822">
        <v>5</v>
      </c>
      <c r="AN58" s="597">
        <f>IF(AL58=0, "    ---- ", IF(ABS(ROUND(100/AL58*AM58-100,1))&lt;999,ROUND(100/AL58*AM58-100,1),IF(ROUND(100/AL58*AM58-100,1)&gt;999,999,-999)))</f>
        <v>-54.5</v>
      </c>
      <c r="AO58" s="593">
        <f t="shared" si="18"/>
        <v>172.709</v>
      </c>
      <c r="AP58" s="593">
        <f t="shared" si="19"/>
        <v>285.64961399999999</v>
      </c>
      <c r="AQ58" s="597">
        <f t="shared" si="10"/>
        <v>65.400000000000006</v>
      </c>
      <c r="AR58" s="593">
        <f t="shared" si="20"/>
        <v>172.709</v>
      </c>
      <c r="AS58" s="593">
        <f t="shared" si="21"/>
        <v>285.64961399999999</v>
      </c>
      <c r="AT58" s="597">
        <f t="shared" si="13"/>
        <v>65.400000000000006</v>
      </c>
    </row>
    <row r="59" spans="1:46" s="563" customFormat="1" ht="18.75" customHeight="1" x14ac:dyDescent="0.35">
      <c r="A59" s="600"/>
      <c r="B59" s="823"/>
      <c r="C59" s="823"/>
      <c r="D59" s="601"/>
      <c r="E59" s="823"/>
      <c r="F59" s="823"/>
      <c r="G59" s="603"/>
      <c r="H59" s="823"/>
      <c r="I59" s="823"/>
      <c r="J59" s="602"/>
      <c r="K59" s="823"/>
      <c r="L59" s="823"/>
      <c r="M59" s="603"/>
      <c r="N59" s="823"/>
      <c r="O59" s="823"/>
      <c r="P59" s="603"/>
      <c r="Q59" s="823"/>
      <c r="R59" s="823"/>
      <c r="S59" s="601"/>
      <c r="T59" s="823"/>
      <c r="U59" s="823"/>
      <c r="V59" s="603"/>
      <c r="W59" s="823"/>
      <c r="X59" s="823"/>
      <c r="Y59" s="603"/>
      <c r="Z59" s="823"/>
      <c r="AA59" s="823"/>
      <c r="AB59" s="602"/>
      <c r="AC59" s="823"/>
      <c r="AD59" s="823"/>
      <c r="AE59" s="603"/>
      <c r="AF59" s="823"/>
      <c r="AG59" s="823"/>
      <c r="AH59" s="603"/>
      <c r="AI59" s="823"/>
      <c r="AJ59" s="823"/>
      <c r="AK59" s="602"/>
      <c r="AL59" s="823"/>
      <c r="AM59" s="823"/>
      <c r="AN59" s="603"/>
      <c r="AO59" s="601"/>
      <c r="AP59" s="601"/>
      <c r="AQ59" s="603"/>
      <c r="AR59" s="602"/>
      <c r="AS59" s="602"/>
      <c r="AT59" s="603"/>
    </row>
    <row r="60" spans="1:46" s="563" customFormat="1" ht="18.75" customHeight="1" x14ac:dyDescent="0.35">
      <c r="A60" s="604"/>
      <c r="B60" s="824"/>
      <c r="C60" s="824"/>
      <c r="D60" s="605"/>
      <c r="E60" s="824"/>
      <c r="F60" s="824"/>
      <c r="G60" s="607"/>
      <c r="H60" s="824"/>
      <c r="I60" s="824"/>
      <c r="J60" s="606"/>
      <c r="K60" s="824"/>
      <c r="L60" s="824"/>
      <c r="M60" s="607"/>
      <c r="N60" s="824"/>
      <c r="O60" s="824"/>
      <c r="P60" s="607"/>
      <c r="Q60" s="824"/>
      <c r="R60" s="824"/>
      <c r="S60" s="605"/>
      <c r="T60" s="824"/>
      <c r="U60" s="824"/>
      <c r="V60" s="607"/>
      <c r="W60" s="824"/>
      <c r="X60" s="824"/>
      <c r="Y60" s="607"/>
      <c r="Z60" s="824"/>
      <c r="AA60" s="824"/>
      <c r="AB60" s="606"/>
      <c r="AC60" s="824"/>
      <c r="AD60" s="824"/>
      <c r="AE60" s="607"/>
      <c r="AF60" s="824"/>
      <c r="AG60" s="824"/>
      <c r="AH60" s="607"/>
      <c r="AI60" s="824"/>
      <c r="AJ60" s="824"/>
      <c r="AK60" s="606"/>
      <c r="AL60" s="824"/>
      <c r="AM60" s="824"/>
      <c r="AN60" s="607"/>
      <c r="AO60" s="605"/>
      <c r="AP60" s="605"/>
      <c r="AQ60" s="607"/>
      <c r="AR60" s="593"/>
      <c r="AS60" s="593"/>
      <c r="AT60" s="607"/>
    </row>
    <row r="61" spans="1:46" s="595" customFormat="1" ht="18.75" customHeight="1" x14ac:dyDescent="0.35">
      <c r="A61" s="583" t="s">
        <v>380</v>
      </c>
      <c r="B61" s="820"/>
      <c r="C61" s="820"/>
      <c r="D61" s="598"/>
      <c r="E61" s="820"/>
      <c r="F61" s="820"/>
      <c r="G61" s="599"/>
      <c r="H61" s="820"/>
      <c r="I61" s="820"/>
      <c r="J61" s="586"/>
      <c r="K61" s="820"/>
      <c r="L61" s="820"/>
      <c r="M61" s="599"/>
      <c r="N61" s="820"/>
      <c r="O61" s="820"/>
      <c r="P61" s="599"/>
      <c r="Q61" s="820"/>
      <c r="R61" s="820"/>
      <c r="S61" s="598"/>
      <c r="T61" s="820"/>
      <c r="U61" s="820"/>
      <c r="V61" s="599"/>
      <c r="W61" s="820"/>
      <c r="X61" s="820"/>
      <c r="Y61" s="599"/>
      <c r="Z61" s="820"/>
      <c r="AA61" s="820"/>
      <c r="AB61" s="586"/>
      <c r="AC61" s="820"/>
      <c r="AD61" s="820"/>
      <c r="AE61" s="599"/>
      <c r="AF61" s="820"/>
      <c r="AG61" s="820"/>
      <c r="AH61" s="599"/>
      <c r="AI61" s="820"/>
      <c r="AJ61" s="820"/>
      <c r="AK61" s="586"/>
      <c r="AL61" s="820"/>
      <c r="AM61" s="820"/>
      <c r="AN61" s="599"/>
      <c r="AO61" s="598"/>
      <c r="AP61" s="598"/>
      <c r="AQ61" s="599"/>
      <c r="AR61" s="593"/>
      <c r="AS61" s="593"/>
      <c r="AT61" s="599"/>
    </row>
    <row r="62" spans="1:46" s="563" customFormat="1" ht="18.75" customHeight="1" x14ac:dyDescent="0.35">
      <c r="A62" s="588" t="s">
        <v>366</v>
      </c>
      <c r="B62" s="822"/>
      <c r="C62" s="822"/>
      <c r="D62" s="596"/>
      <c r="E62" s="822"/>
      <c r="F62" s="822"/>
      <c r="G62" s="597"/>
      <c r="H62" s="822">
        <v>-382</v>
      </c>
      <c r="I62" s="822">
        <v>241.55873495419701</v>
      </c>
      <c r="J62" s="591">
        <f>IF(H62=0, "    ---- ", IF(ABS(ROUND(100/H62*I62-100,1))&lt;999,ROUND(100/H62*I62-100,1),IF(ROUND(100/H62*I62-100,1)&gt;999,999,-999)))</f>
        <v>-163.19999999999999</v>
      </c>
      <c r="K62" s="822"/>
      <c r="L62" s="822"/>
      <c r="M62" s="597"/>
      <c r="N62" s="822"/>
      <c r="O62" s="822"/>
      <c r="P62" s="597"/>
      <c r="Q62" s="822"/>
      <c r="R62" s="822"/>
      <c r="S62" s="596"/>
      <c r="T62" s="822"/>
      <c r="U62" s="822"/>
      <c r="V62" s="597"/>
      <c r="W62" s="822"/>
      <c r="X62" s="822"/>
      <c r="Y62" s="597"/>
      <c r="Z62" s="822">
        <v>-2.67</v>
      </c>
      <c r="AA62" s="822">
        <v>79.34</v>
      </c>
      <c r="AB62" s="591">
        <f t="shared" ref="AB62:AB108" si="22">IF(Z62=0, "    ---- ", IF(ABS(ROUND(100/Z62*AA62-100,1))&lt;999,ROUND(100/Z62*AA62-100,1),IF(ROUND(100/Z62*AA62-100,1)&gt;999,999,-999)))</f>
        <v>-999</v>
      </c>
      <c r="AC62" s="822"/>
      <c r="AD62" s="822"/>
      <c r="AE62" s="597"/>
      <c r="AF62" s="822"/>
      <c r="AG62" s="822"/>
      <c r="AH62" s="597"/>
      <c r="AI62" s="822">
        <v>47</v>
      </c>
      <c r="AJ62" s="822">
        <v>227</v>
      </c>
      <c r="AK62" s="591">
        <f>IF(AI62=0, "    ---- ", IF(ABS(ROUND(100/AI62*AJ62-100,1))&lt;999,ROUND(100/AI62*AJ62-100,1),IF(ROUND(100/AI62*AJ62-100,1)&gt;999,999,-999)))</f>
        <v>383</v>
      </c>
      <c r="AL62" s="822">
        <v>12</v>
      </c>
      <c r="AM62" s="822">
        <v>42</v>
      </c>
      <c r="AN62" s="597">
        <f>IF(AL62=0, "    ---- ", IF(ABS(ROUND(100/AL62*AM62-100,1))&lt;999,ROUND(100/AL62*AM62-100,1),IF(ROUND(100/AL62*AM62-100,1)&gt;999,999,-999)))</f>
        <v>250</v>
      </c>
      <c r="AO62" s="593">
        <f t="shared" ref="AO62:AO72" si="23">B62+H62+K62+N62+Q62+W62+E62+Z62+AC62+AI62+AL62</f>
        <v>-325.67</v>
      </c>
      <c r="AP62" s="593">
        <f t="shared" ref="AP62:AP72" si="24">C62+I62+L62+O62+R62+X62+F62+AA62+AD62+AJ62+AM62</f>
        <v>589.89873495419704</v>
      </c>
      <c r="AQ62" s="597">
        <f t="shared" si="10"/>
        <v>-281.10000000000002</v>
      </c>
      <c r="AR62" s="593">
        <f t="shared" ref="AR62:AR72" si="25">+B62+H62+K62+N62+Q62+T62+W62+E62+Z62+AC62+AF62+AI62+AL62</f>
        <v>-325.67</v>
      </c>
      <c r="AS62" s="593">
        <f t="shared" ref="AS62:AS72" si="26">+C62+I62+L62+O62+R62+U62+X62+F62+AA62+AD62+AG62+AJ62+AM62</f>
        <v>589.89873495419704</v>
      </c>
      <c r="AT62" s="597">
        <f t="shared" si="13"/>
        <v>-281.10000000000002</v>
      </c>
    </row>
    <row r="63" spans="1:46" s="563" customFormat="1" ht="18.75" customHeight="1" x14ac:dyDescent="0.35">
      <c r="A63" s="588" t="s">
        <v>367</v>
      </c>
      <c r="B63" s="822"/>
      <c r="C63" s="822"/>
      <c r="D63" s="596"/>
      <c r="E63" s="822"/>
      <c r="F63" s="822"/>
      <c r="G63" s="597"/>
      <c r="H63" s="822">
        <v>366</v>
      </c>
      <c r="I63" s="822">
        <v>-172.55873495419701</v>
      </c>
      <c r="J63" s="591">
        <f>IF(H63=0, "    ---- ", IF(ABS(ROUND(100/H63*I63-100,1))&lt;999,ROUND(100/H63*I63-100,1),IF(ROUND(100/H63*I63-100,1)&gt;999,999,-999)))</f>
        <v>-147.1</v>
      </c>
      <c r="K63" s="822"/>
      <c r="L63" s="822"/>
      <c r="M63" s="597"/>
      <c r="N63" s="822"/>
      <c r="O63" s="822"/>
      <c r="P63" s="597"/>
      <c r="Q63" s="822"/>
      <c r="R63" s="822"/>
      <c r="S63" s="596"/>
      <c r="T63" s="822"/>
      <c r="U63" s="822"/>
      <c r="V63" s="597"/>
      <c r="W63" s="822"/>
      <c r="X63" s="822"/>
      <c r="Y63" s="597"/>
      <c r="Z63" s="822">
        <v>2.67</v>
      </c>
      <c r="AA63" s="822">
        <v>-79.34</v>
      </c>
      <c r="AB63" s="591">
        <f t="shared" si="22"/>
        <v>-999</v>
      </c>
      <c r="AC63" s="822"/>
      <c r="AD63" s="822"/>
      <c r="AE63" s="597"/>
      <c r="AF63" s="822"/>
      <c r="AG63" s="822"/>
      <c r="AH63" s="597"/>
      <c r="AI63" s="822"/>
      <c r="AJ63" s="822"/>
      <c r="AK63" s="591"/>
      <c r="AL63" s="822">
        <v>-8</v>
      </c>
      <c r="AM63" s="822">
        <v>-20</v>
      </c>
      <c r="AN63" s="597">
        <f>IF(AL63=0, "    ---- ", IF(ABS(ROUND(100/AL63*AM63-100,1))&lt;999,ROUND(100/AL63*AM63-100,1),IF(ROUND(100/AL63*AM63-100,1)&gt;999,999,-999)))</f>
        <v>150</v>
      </c>
      <c r="AO63" s="593">
        <f t="shared" si="23"/>
        <v>360.67</v>
      </c>
      <c r="AP63" s="593">
        <f t="shared" si="24"/>
        <v>-271.89873495419704</v>
      </c>
      <c r="AQ63" s="597">
        <f t="shared" si="10"/>
        <v>-175.4</v>
      </c>
      <c r="AR63" s="593">
        <f t="shared" si="25"/>
        <v>360.67</v>
      </c>
      <c r="AS63" s="593">
        <f t="shared" si="26"/>
        <v>-271.89873495419704</v>
      </c>
      <c r="AT63" s="597">
        <f t="shared" si="13"/>
        <v>-175.4</v>
      </c>
    </row>
    <row r="64" spans="1:46" s="563" customFormat="1" ht="18.75" customHeight="1" x14ac:dyDescent="0.35">
      <c r="A64" s="588" t="s">
        <v>368</v>
      </c>
      <c r="B64" s="822"/>
      <c r="C64" s="822"/>
      <c r="D64" s="596"/>
      <c r="E64" s="822"/>
      <c r="F64" s="822"/>
      <c r="G64" s="597"/>
      <c r="H64" s="822">
        <v>99</v>
      </c>
      <c r="I64" s="822">
        <v>79.770987960752009</v>
      </c>
      <c r="J64" s="591">
        <f>IF(H64=0, "    ---- ", IF(ABS(ROUND(100/H64*I64-100,1))&lt;999,ROUND(100/H64*I64-100,1),IF(ROUND(100/H64*I64-100,1)&gt;999,999,-999)))</f>
        <v>-19.399999999999999</v>
      </c>
      <c r="K64" s="822"/>
      <c r="L64" s="822"/>
      <c r="M64" s="597"/>
      <c r="N64" s="822"/>
      <c r="O64" s="822"/>
      <c r="P64" s="597"/>
      <c r="Q64" s="822"/>
      <c r="R64" s="822"/>
      <c r="S64" s="596"/>
      <c r="T64" s="822"/>
      <c r="U64" s="822"/>
      <c r="V64" s="597"/>
      <c r="W64" s="822"/>
      <c r="X64" s="822"/>
      <c r="Y64" s="597"/>
      <c r="Z64" s="822">
        <v>6.34</v>
      </c>
      <c r="AA64" s="822">
        <v>8.27</v>
      </c>
      <c r="AB64" s="591">
        <f t="shared" si="22"/>
        <v>30.4</v>
      </c>
      <c r="AC64" s="822"/>
      <c r="AD64" s="822"/>
      <c r="AE64" s="597"/>
      <c r="AF64" s="822"/>
      <c r="AG64" s="822"/>
      <c r="AH64" s="597"/>
      <c r="AI64" s="822">
        <v>4</v>
      </c>
      <c r="AJ64" s="822">
        <v>-3</v>
      </c>
      <c r="AK64" s="591">
        <f>IF(AI64=0, "    ---- ", IF(ABS(ROUND(100/AI64*AJ64-100,1))&lt;999,ROUND(100/AI64*AJ64-100,1),IF(ROUND(100/AI64*AJ64-100,1)&gt;999,999,-999)))</f>
        <v>-175</v>
      </c>
      <c r="AL64" s="822">
        <v>-10.45</v>
      </c>
      <c r="AM64" s="822">
        <v>-17</v>
      </c>
      <c r="AN64" s="597">
        <f>IF(AL64=0, "    ---- ", IF(ABS(ROUND(100/AL64*AM64-100,1))&lt;999,ROUND(100/AL64*AM64-100,1),IF(ROUND(100/AL64*AM64-100,1)&gt;999,999,-999)))</f>
        <v>62.7</v>
      </c>
      <c r="AO64" s="593">
        <f t="shared" si="23"/>
        <v>98.89</v>
      </c>
      <c r="AP64" s="593">
        <f t="shared" si="24"/>
        <v>68.040987960752005</v>
      </c>
      <c r="AQ64" s="597">
        <f t="shared" si="10"/>
        <v>-31.2</v>
      </c>
      <c r="AR64" s="593">
        <f t="shared" si="25"/>
        <v>98.89</v>
      </c>
      <c r="AS64" s="593">
        <f t="shared" si="26"/>
        <v>68.040987960752005</v>
      </c>
      <c r="AT64" s="597">
        <f t="shared" si="13"/>
        <v>-31.2</v>
      </c>
    </row>
    <row r="65" spans="1:46" s="563" customFormat="1" ht="18.75" customHeight="1" x14ac:dyDescent="0.35">
      <c r="A65" s="588" t="s">
        <v>369</v>
      </c>
      <c r="B65" s="822"/>
      <c r="C65" s="822"/>
      <c r="D65" s="596"/>
      <c r="E65" s="822"/>
      <c r="F65" s="822"/>
      <c r="G65" s="597"/>
      <c r="H65" s="822"/>
      <c r="I65" s="822"/>
      <c r="J65" s="591"/>
      <c r="K65" s="822"/>
      <c r="L65" s="822"/>
      <c r="M65" s="597"/>
      <c r="N65" s="822"/>
      <c r="O65" s="822"/>
      <c r="P65" s="597"/>
      <c r="Q65" s="822"/>
      <c r="R65" s="822"/>
      <c r="S65" s="596"/>
      <c r="T65" s="822"/>
      <c r="U65" s="822"/>
      <c r="V65" s="597"/>
      <c r="W65" s="822"/>
      <c r="X65" s="822"/>
      <c r="Y65" s="597"/>
      <c r="Z65" s="822"/>
      <c r="AA65" s="822"/>
      <c r="AB65" s="591"/>
      <c r="AC65" s="822"/>
      <c r="AD65" s="822"/>
      <c r="AE65" s="597"/>
      <c r="AF65" s="822"/>
      <c r="AG65" s="822"/>
      <c r="AH65" s="597"/>
      <c r="AI65" s="822"/>
      <c r="AJ65" s="822"/>
      <c r="AK65" s="591"/>
      <c r="AL65" s="822"/>
      <c r="AM65" s="822"/>
      <c r="AN65" s="597"/>
      <c r="AO65" s="593">
        <f t="shared" si="23"/>
        <v>0</v>
      </c>
      <c r="AP65" s="593">
        <f t="shared" si="24"/>
        <v>0</v>
      </c>
      <c r="AQ65" s="597" t="str">
        <f t="shared" si="10"/>
        <v xml:space="preserve">    ---- </v>
      </c>
      <c r="AR65" s="593">
        <f t="shared" si="25"/>
        <v>0</v>
      </c>
      <c r="AS65" s="593">
        <f t="shared" si="26"/>
        <v>0</v>
      </c>
      <c r="AT65" s="597" t="str">
        <f t="shared" si="13"/>
        <v xml:space="preserve">    ---- </v>
      </c>
    </row>
    <row r="66" spans="1:46" s="563" customFormat="1" ht="18.75" customHeight="1" x14ac:dyDescent="0.35">
      <c r="A66" s="588" t="s">
        <v>370</v>
      </c>
      <c r="B66" s="822"/>
      <c r="C66" s="822"/>
      <c r="D66" s="596"/>
      <c r="E66" s="822"/>
      <c r="F66" s="822"/>
      <c r="G66" s="597"/>
      <c r="H66" s="822"/>
      <c r="I66" s="822"/>
      <c r="J66" s="591"/>
      <c r="K66" s="822"/>
      <c r="L66" s="822"/>
      <c r="M66" s="597"/>
      <c r="N66" s="822"/>
      <c r="O66" s="822"/>
      <c r="P66" s="597"/>
      <c r="Q66" s="822"/>
      <c r="R66" s="822"/>
      <c r="S66" s="596"/>
      <c r="T66" s="822"/>
      <c r="U66" s="822"/>
      <c r="V66" s="597"/>
      <c r="W66" s="822"/>
      <c r="X66" s="822"/>
      <c r="Y66" s="597"/>
      <c r="Z66" s="822"/>
      <c r="AA66" s="822"/>
      <c r="AB66" s="591"/>
      <c r="AC66" s="822"/>
      <c r="AD66" s="822"/>
      <c r="AE66" s="597"/>
      <c r="AF66" s="822"/>
      <c r="AG66" s="822"/>
      <c r="AH66" s="597"/>
      <c r="AI66" s="822"/>
      <c r="AJ66" s="822"/>
      <c r="AK66" s="591"/>
      <c r="AL66" s="822"/>
      <c r="AM66" s="822"/>
      <c r="AN66" s="597"/>
      <c r="AO66" s="593">
        <f t="shared" si="23"/>
        <v>0</v>
      </c>
      <c r="AP66" s="593">
        <f t="shared" si="24"/>
        <v>0</v>
      </c>
      <c r="AQ66" s="597" t="str">
        <f t="shared" si="10"/>
        <v xml:space="preserve">    ---- </v>
      </c>
      <c r="AR66" s="593">
        <f t="shared" si="25"/>
        <v>0</v>
      </c>
      <c r="AS66" s="593">
        <f t="shared" si="26"/>
        <v>0</v>
      </c>
      <c r="AT66" s="597" t="str">
        <f t="shared" si="13"/>
        <v xml:space="preserve">    ---- </v>
      </c>
    </row>
    <row r="67" spans="1:46" s="563" customFormat="1" ht="18.75" customHeight="1" x14ac:dyDescent="0.35">
      <c r="A67" s="588" t="s">
        <v>371</v>
      </c>
      <c r="B67" s="822"/>
      <c r="C67" s="822"/>
      <c r="D67" s="596"/>
      <c r="E67" s="822"/>
      <c r="F67" s="822"/>
      <c r="G67" s="597"/>
      <c r="H67" s="822">
        <v>19</v>
      </c>
      <c r="I67" s="822">
        <v>41.902551666904344</v>
      </c>
      <c r="J67" s="591">
        <f>IF(H67=0, "    ---- ", IF(ABS(ROUND(100/H67*I67-100,1))&lt;999,ROUND(100/H67*I67-100,1),IF(ROUND(100/H67*I67-100,1)&gt;999,999,-999)))</f>
        <v>120.5</v>
      </c>
      <c r="K67" s="822"/>
      <c r="L67" s="822"/>
      <c r="M67" s="597"/>
      <c r="N67" s="822"/>
      <c r="O67" s="822"/>
      <c r="P67" s="597"/>
      <c r="Q67" s="822"/>
      <c r="R67" s="822"/>
      <c r="S67" s="596"/>
      <c r="T67" s="822"/>
      <c r="U67" s="822"/>
      <c r="V67" s="597"/>
      <c r="W67" s="822"/>
      <c r="X67" s="822"/>
      <c r="Y67" s="597"/>
      <c r="Z67" s="822">
        <v>17.75</v>
      </c>
      <c r="AA67" s="822">
        <v>13.5</v>
      </c>
      <c r="AB67" s="591">
        <f t="shared" si="22"/>
        <v>-23.9</v>
      </c>
      <c r="AC67" s="822"/>
      <c r="AD67" s="822"/>
      <c r="AE67" s="597"/>
      <c r="AF67" s="822"/>
      <c r="AG67" s="822"/>
      <c r="AH67" s="597"/>
      <c r="AI67" s="822">
        <v>3</v>
      </c>
      <c r="AJ67" s="822">
        <v>16</v>
      </c>
      <c r="AK67" s="591">
        <f>IF(AI67=0, "    ---- ", IF(ABS(ROUND(100/AI67*AJ67-100,1))&lt;999,ROUND(100/AI67*AJ67-100,1),IF(ROUND(100/AI67*AJ67-100,1)&gt;999,999,-999)))</f>
        <v>433.3</v>
      </c>
      <c r="AL67" s="822">
        <v>20.5</v>
      </c>
      <c r="AM67" s="822">
        <v>34.6</v>
      </c>
      <c r="AN67" s="597">
        <f>IF(AL67=0, "    ---- ", IF(ABS(ROUND(100/AL67*AM67-100,1))&lt;999,ROUND(100/AL67*AM67-100,1),IF(ROUND(100/AL67*AM67-100,1)&gt;999,999,-999)))</f>
        <v>68.8</v>
      </c>
      <c r="AO67" s="593">
        <f t="shared" si="23"/>
        <v>60.25</v>
      </c>
      <c r="AP67" s="593">
        <f t="shared" si="24"/>
        <v>106.00255166690434</v>
      </c>
      <c r="AQ67" s="597">
        <f t="shared" si="10"/>
        <v>75.900000000000006</v>
      </c>
      <c r="AR67" s="593">
        <f t="shared" si="25"/>
        <v>60.25</v>
      </c>
      <c r="AS67" s="593">
        <f t="shared" si="26"/>
        <v>106.00255166690434</v>
      </c>
      <c r="AT67" s="597">
        <f t="shared" si="13"/>
        <v>75.900000000000006</v>
      </c>
    </row>
    <row r="68" spans="1:46" s="563" customFormat="1" ht="18.75" customHeight="1" x14ac:dyDescent="0.35">
      <c r="A68" s="588" t="s">
        <v>372</v>
      </c>
      <c r="B68" s="822"/>
      <c r="C68" s="822"/>
      <c r="D68" s="596"/>
      <c r="E68" s="822"/>
      <c r="F68" s="822"/>
      <c r="G68" s="597"/>
      <c r="H68" s="822"/>
      <c r="I68" s="822"/>
      <c r="J68" s="591"/>
      <c r="K68" s="822"/>
      <c r="L68" s="822"/>
      <c r="M68" s="597"/>
      <c r="N68" s="822"/>
      <c r="O68" s="822"/>
      <c r="P68" s="597"/>
      <c r="Q68" s="822"/>
      <c r="R68" s="822"/>
      <c r="S68" s="596"/>
      <c r="T68" s="822"/>
      <c r="U68" s="822"/>
      <c r="V68" s="597"/>
      <c r="W68" s="822"/>
      <c r="X68" s="822"/>
      <c r="Y68" s="597"/>
      <c r="Z68" s="822"/>
      <c r="AA68" s="822"/>
      <c r="AB68" s="591"/>
      <c r="AC68" s="822"/>
      <c r="AD68" s="822"/>
      <c r="AE68" s="597"/>
      <c r="AF68" s="822"/>
      <c r="AG68" s="822"/>
      <c r="AH68" s="597"/>
      <c r="AI68" s="822"/>
      <c r="AJ68" s="822"/>
      <c r="AK68" s="591"/>
      <c r="AL68" s="822"/>
      <c r="AM68" s="822"/>
      <c r="AN68" s="597"/>
      <c r="AO68" s="593">
        <f t="shared" si="23"/>
        <v>0</v>
      </c>
      <c r="AP68" s="593">
        <f t="shared" si="24"/>
        <v>0</v>
      </c>
      <c r="AQ68" s="597" t="str">
        <f t="shared" si="10"/>
        <v xml:space="preserve">    ---- </v>
      </c>
      <c r="AR68" s="593">
        <f t="shared" si="25"/>
        <v>0</v>
      </c>
      <c r="AS68" s="593">
        <f t="shared" si="26"/>
        <v>0</v>
      </c>
      <c r="AT68" s="597" t="str">
        <f t="shared" si="13"/>
        <v xml:space="preserve">    ---- </v>
      </c>
    </row>
    <row r="69" spans="1:46" s="563" customFormat="1" ht="18.75" customHeight="1" x14ac:dyDescent="0.35">
      <c r="A69" s="588" t="s">
        <v>373</v>
      </c>
      <c r="B69" s="822"/>
      <c r="C69" s="822"/>
      <c r="D69" s="596"/>
      <c r="E69" s="822"/>
      <c r="F69" s="822"/>
      <c r="G69" s="597"/>
      <c r="H69" s="822"/>
      <c r="I69" s="822"/>
      <c r="J69" s="591"/>
      <c r="K69" s="822"/>
      <c r="L69" s="822"/>
      <c r="M69" s="597"/>
      <c r="N69" s="822"/>
      <c r="O69" s="822"/>
      <c r="P69" s="597"/>
      <c r="Q69" s="822"/>
      <c r="R69" s="822"/>
      <c r="S69" s="596"/>
      <c r="T69" s="822"/>
      <c r="U69" s="822"/>
      <c r="V69" s="597"/>
      <c r="W69" s="822"/>
      <c r="X69" s="822"/>
      <c r="Y69" s="597"/>
      <c r="Z69" s="822"/>
      <c r="AA69" s="822"/>
      <c r="AB69" s="591"/>
      <c r="AC69" s="822"/>
      <c r="AD69" s="822"/>
      <c r="AE69" s="597"/>
      <c r="AF69" s="822"/>
      <c r="AG69" s="822"/>
      <c r="AH69" s="597"/>
      <c r="AI69" s="822"/>
      <c r="AJ69" s="822"/>
      <c r="AK69" s="591"/>
      <c r="AL69" s="822"/>
      <c r="AM69" s="822"/>
      <c r="AN69" s="597"/>
      <c r="AO69" s="593">
        <f t="shared" si="23"/>
        <v>0</v>
      </c>
      <c r="AP69" s="593">
        <f t="shared" si="24"/>
        <v>0</v>
      </c>
      <c r="AQ69" s="597" t="str">
        <f t="shared" si="10"/>
        <v xml:space="preserve">    ---- </v>
      </c>
      <c r="AR69" s="593">
        <f t="shared" si="25"/>
        <v>0</v>
      </c>
      <c r="AS69" s="593">
        <f t="shared" si="26"/>
        <v>0</v>
      </c>
      <c r="AT69" s="597" t="str">
        <f t="shared" si="13"/>
        <v xml:space="preserve">    ---- </v>
      </c>
    </row>
    <row r="70" spans="1:46" s="595" customFormat="1" ht="18.75" customHeight="1" x14ac:dyDescent="0.3">
      <c r="A70" s="583" t="s">
        <v>374</v>
      </c>
      <c r="B70" s="820"/>
      <c r="C70" s="820"/>
      <c r="D70" s="598"/>
      <c r="E70" s="820"/>
      <c r="F70" s="820"/>
      <c r="G70" s="599"/>
      <c r="H70" s="820">
        <f>SUM(H62:H67)+H69</f>
        <v>102</v>
      </c>
      <c r="I70" s="820">
        <f>SUM(I62:I67)+I69</f>
        <v>190.67353962765634</v>
      </c>
      <c r="J70" s="586">
        <f>IF(H70=0, "    ---- ", IF(ABS(ROUND(100/H70*I70-100,1))&lt;999,ROUND(100/H70*I70-100,1),IF(ROUND(100/H70*I70-100,1)&gt;999,999,-999)))</f>
        <v>86.9</v>
      </c>
      <c r="K70" s="820"/>
      <c r="L70" s="820"/>
      <c r="M70" s="599"/>
      <c r="N70" s="820"/>
      <c r="O70" s="820"/>
      <c r="P70" s="599"/>
      <c r="Q70" s="820"/>
      <c r="R70" s="820"/>
      <c r="S70" s="598"/>
      <c r="T70" s="820"/>
      <c r="U70" s="820"/>
      <c r="V70" s="599"/>
      <c r="W70" s="820"/>
      <c r="X70" s="820"/>
      <c r="Y70" s="599"/>
      <c r="Z70" s="820">
        <f>SUM(Z62:Z67)+Z69</f>
        <v>24.09</v>
      </c>
      <c r="AA70" s="820">
        <f>SUM(AA62:AA67)+AA69</f>
        <v>21.77</v>
      </c>
      <c r="AB70" s="586">
        <f t="shared" si="22"/>
        <v>-9.6</v>
      </c>
      <c r="AC70" s="820"/>
      <c r="AD70" s="820"/>
      <c r="AE70" s="599"/>
      <c r="AF70" s="820"/>
      <c r="AG70" s="820"/>
      <c r="AH70" s="599"/>
      <c r="AI70" s="820">
        <f>SUM(AI62:AI67)+AI69</f>
        <v>54</v>
      </c>
      <c r="AJ70" s="820">
        <f>SUM(AJ62:AJ67)+AJ69</f>
        <v>240</v>
      </c>
      <c r="AK70" s="586">
        <f>IF(AI70=0, "    ---- ", IF(ABS(ROUND(100/AI70*AJ70-100,1))&lt;999,ROUND(100/AI70*AJ70-100,1),IF(ROUND(100/AI70*AJ70-100,1)&gt;999,999,-999)))</f>
        <v>344.4</v>
      </c>
      <c r="AL70" s="820">
        <f>SUM(AL62:AL67)+AL69</f>
        <v>14.05</v>
      </c>
      <c r="AM70" s="820">
        <f>SUM(AM62:AM67)+AM69</f>
        <v>39.6</v>
      </c>
      <c r="AN70" s="599">
        <f>IF(AL70=0, "    ---- ", IF(ABS(ROUND(100/AL70*AM70-100,1))&lt;999,ROUND(100/AL70*AM70-100,1),IF(ROUND(100/AL70*AM70-100,1)&gt;999,999,-999)))</f>
        <v>181.9</v>
      </c>
      <c r="AO70" s="594">
        <f t="shared" si="23"/>
        <v>194.14000000000001</v>
      </c>
      <c r="AP70" s="594">
        <f t="shared" si="24"/>
        <v>492.0435396276564</v>
      </c>
      <c r="AQ70" s="599">
        <f t="shared" si="10"/>
        <v>153.4</v>
      </c>
      <c r="AR70" s="594">
        <f t="shared" si="25"/>
        <v>194.14000000000001</v>
      </c>
      <c r="AS70" s="594">
        <f t="shared" si="26"/>
        <v>492.0435396276564</v>
      </c>
      <c r="AT70" s="599">
        <f t="shared" si="13"/>
        <v>153.4</v>
      </c>
    </row>
    <row r="71" spans="1:46" s="563" customFormat="1" ht="18.75" customHeight="1" x14ac:dyDescent="0.35">
      <c r="A71" s="588" t="s">
        <v>375</v>
      </c>
      <c r="B71" s="822"/>
      <c r="C71" s="822"/>
      <c r="D71" s="596"/>
      <c r="E71" s="822"/>
      <c r="F71" s="822"/>
      <c r="G71" s="597"/>
      <c r="H71" s="822">
        <v>82</v>
      </c>
      <c r="I71" s="822">
        <v>126.602800757978</v>
      </c>
      <c r="J71" s="591">
        <f>IF(H71=0, "    ---- ", IF(ABS(ROUND(100/H71*I71-100,1))&lt;999,ROUND(100/H71*I71-100,1),IF(ROUND(100/H71*I71-100,1)&gt;999,999,-999)))</f>
        <v>54.4</v>
      </c>
      <c r="K71" s="822"/>
      <c r="L71" s="822"/>
      <c r="M71" s="597"/>
      <c r="N71" s="822"/>
      <c r="O71" s="822"/>
      <c r="P71" s="597"/>
      <c r="Q71" s="822"/>
      <c r="R71" s="822"/>
      <c r="S71" s="596"/>
      <c r="T71" s="822"/>
      <c r="U71" s="822"/>
      <c r="V71" s="597"/>
      <c r="W71" s="822"/>
      <c r="X71" s="822"/>
      <c r="Y71" s="597"/>
      <c r="Z71" s="822">
        <v>15.66</v>
      </c>
      <c r="AA71" s="822">
        <v>14.15</v>
      </c>
      <c r="AB71" s="591">
        <f t="shared" si="22"/>
        <v>-9.6</v>
      </c>
      <c r="AC71" s="822"/>
      <c r="AD71" s="822"/>
      <c r="AE71" s="597"/>
      <c r="AF71" s="822"/>
      <c r="AG71" s="822"/>
      <c r="AH71" s="597"/>
      <c r="AI71" s="822">
        <v>35</v>
      </c>
      <c r="AJ71" s="822">
        <v>156</v>
      </c>
      <c r="AK71" s="591">
        <f>IF(AI71=0, "    ---- ", IF(ABS(ROUND(100/AI71*AJ71-100,1))&lt;999,ROUND(100/AI71*AJ71-100,1),IF(ROUND(100/AI71*AJ71-100,1)&gt;999,999,-999)))</f>
        <v>345.7</v>
      </c>
      <c r="AL71" s="822">
        <v>8.6999999999999993</v>
      </c>
      <c r="AM71" s="822">
        <v>19</v>
      </c>
      <c r="AN71" s="597">
        <f>IF(AL71=0, "    ---- ", IF(ABS(ROUND(100/AL71*AM71-100,1))&lt;999,ROUND(100/AL71*AM71-100,1),IF(ROUND(100/AL71*AM71-100,1)&gt;999,999,-999)))</f>
        <v>118.4</v>
      </c>
      <c r="AO71" s="593">
        <f t="shared" si="23"/>
        <v>141.35999999999999</v>
      </c>
      <c r="AP71" s="593">
        <f t="shared" si="24"/>
        <v>315.75280075797798</v>
      </c>
      <c r="AQ71" s="597">
        <f t="shared" si="10"/>
        <v>123.4</v>
      </c>
      <c r="AR71" s="593">
        <f t="shared" si="25"/>
        <v>141.35999999999999</v>
      </c>
      <c r="AS71" s="593">
        <f t="shared" si="26"/>
        <v>315.75280075797798</v>
      </c>
      <c r="AT71" s="597">
        <f t="shared" si="13"/>
        <v>123.4</v>
      </c>
    </row>
    <row r="72" spans="1:46" s="563" customFormat="1" ht="18.75" customHeight="1" x14ac:dyDescent="0.35">
      <c r="A72" s="588" t="s">
        <v>376</v>
      </c>
      <c r="B72" s="822"/>
      <c r="C72" s="822"/>
      <c r="D72" s="596"/>
      <c r="E72" s="822"/>
      <c r="F72" s="822"/>
      <c r="G72" s="597"/>
      <c r="H72" s="822">
        <v>20</v>
      </c>
      <c r="I72" s="822">
        <v>64.070738869678337</v>
      </c>
      <c r="J72" s="591">
        <f>IF(H72=0, "    ---- ", IF(ABS(ROUND(100/H72*I72-100,1))&lt;999,ROUND(100/H72*I72-100,1),IF(ROUND(100/H72*I72-100,1)&gt;999,999,-999)))</f>
        <v>220.4</v>
      </c>
      <c r="K72" s="822"/>
      <c r="L72" s="822"/>
      <c r="M72" s="597"/>
      <c r="N72" s="822"/>
      <c r="O72" s="822"/>
      <c r="P72" s="597"/>
      <c r="Q72" s="822"/>
      <c r="R72" s="822"/>
      <c r="S72" s="596"/>
      <c r="T72" s="822"/>
      <c r="U72" s="822"/>
      <c r="V72" s="597"/>
      <c r="W72" s="822"/>
      <c r="X72" s="822"/>
      <c r="Y72" s="597"/>
      <c r="Z72" s="822">
        <v>8.43</v>
      </c>
      <c r="AA72" s="822">
        <v>7.62</v>
      </c>
      <c r="AB72" s="591">
        <f t="shared" si="22"/>
        <v>-9.6</v>
      </c>
      <c r="AC72" s="822"/>
      <c r="AD72" s="822"/>
      <c r="AE72" s="597"/>
      <c r="AF72" s="822"/>
      <c r="AG72" s="822"/>
      <c r="AH72" s="597"/>
      <c r="AI72" s="822">
        <v>19</v>
      </c>
      <c r="AJ72" s="822">
        <v>84</v>
      </c>
      <c r="AK72" s="591">
        <f>IF(AI72=0, "    ---- ", IF(ABS(ROUND(100/AI72*AJ72-100,1))&lt;999,ROUND(100/AI72*AJ72-100,1),IF(ROUND(100/AI72*AJ72-100,1)&gt;999,999,-999)))</f>
        <v>342.1</v>
      </c>
      <c r="AL72" s="822">
        <v>5.4</v>
      </c>
      <c r="AM72" s="822">
        <v>21</v>
      </c>
      <c r="AN72" s="597">
        <f>IF(AL72=0, "    ---- ", IF(ABS(ROUND(100/AL72*AM72-100,1))&lt;999,ROUND(100/AL72*AM72-100,1),IF(ROUND(100/AL72*AM72-100,1)&gt;999,999,-999)))</f>
        <v>288.89999999999998</v>
      </c>
      <c r="AO72" s="593">
        <f t="shared" si="23"/>
        <v>52.83</v>
      </c>
      <c r="AP72" s="593">
        <f t="shared" si="24"/>
        <v>176.69073886967834</v>
      </c>
      <c r="AQ72" s="597">
        <f t="shared" si="10"/>
        <v>234.5</v>
      </c>
      <c r="AR72" s="593">
        <f t="shared" si="25"/>
        <v>52.83</v>
      </c>
      <c r="AS72" s="593">
        <f t="shared" si="26"/>
        <v>176.69073886967834</v>
      </c>
      <c r="AT72" s="597">
        <f t="shared" si="13"/>
        <v>234.5</v>
      </c>
    </row>
    <row r="73" spans="1:46" s="595" customFormat="1" ht="18.75" customHeight="1" x14ac:dyDescent="0.35">
      <c r="A73" s="583" t="s">
        <v>381</v>
      </c>
      <c r="B73" s="820"/>
      <c r="C73" s="820"/>
      <c r="D73" s="598"/>
      <c r="E73" s="820"/>
      <c r="F73" s="820"/>
      <c r="G73" s="599"/>
      <c r="H73" s="820"/>
      <c r="I73" s="820"/>
      <c r="J73" s="586"/>
      <c r="K73" s="820"/>
      <c r="L73" s="820"/>
      <c r="M73" s="599"/>
      <c r="N73" s="820"/>
      <c r="O73" s="820"/>
      <c r="P73" s="599"/>
      <c r="Q73" s="820"/>
      <c r="R73" s="820"/>
      <c r="S73" s="598"/>
      <c r="T73" s="820"/>
      <c r="U73" s="820"/>
      <c r="V73" s="599"/>
      <c r="W73" s="820"/>
      <c r="X73" s="820"/>
      <c r="Y73" s="599"/>
      <c r="Z73" s="820"/>
      <c r="AA73" s="820"/>
      <c r="AB73" s="586"/>
      <c r="AC73" s="820"/>
      <c r="AD73" s="820"/>
      <c r="AE73" s="599"/>
      <c r="AF73" s="820"/>
      <c r="AG73" s="820"/>
      <c r="AH73" s="599"/>
      <c r="AI73" s="820"/>
      <c r="AJ73" s="820"/>
      <c r="AK73" s="586"/>
      <c r="AL73" s="820"/>
      <c r="AM73" s="820"/>
      <c r="AN73" s="599"/>
      <c r="AO73" s="598"/>
      <c r="AP73" s="598"/>
      <c r="AQ73" s="599"/>
      <c r="AR73" s="593"/>
      <c r="AS73" s="593"/>
      <c r="AT73" s="599"/>
    </row>
    <row r="74" spans="1:46" s="563" customFormat="1" ht="18.75" customHeight="1" x14ac:dyDescent="0.35">
      <c r="A74" s="588" t="s">
        <v>366</v>
      </c>
      <c r="B74" s="822">
        <v>0.29599999999999999</v>
      </c>
      <c r="C74" s="822">
        <v>0.48</v>
      </c>
      <c r="D74" s="591">
        <f>IF(B74=0, "    ---- ", IF(ABS(ROUND(100/B74*C74-100,1))&lt;999,ROUND(100/B74*C74-100,1),IF(ROUND(100/B74*C74-100,1)&gt;999,999,-999)))</f>
        <v>62.2</v>
      </c>
      <c r="E74" s="822"/>
      <c r="F74" s="822"/>
      <c r="G74" s="597"/>
      <c r="H74" s="822">
        <v>0</v>
      </c>
      <c r="I74" s="822">
        <v>56.31438733580719</v>
      </c>
      <c r="J74" s="591" t="str">
        <f t="shared" ref="J74:J79" si="27">IF(H74=0, "    ---- ", IF(ABS(ROUND(100/H74*I74-100,1))&lt;999,ROUND(100/H74*I74-100,1),IF(ROUND(100/H74*I74-100,1)&gt;999,999,-999)))</f>
        <v xml:space="preserve">    ---- </v>
      </c>
      <c r="K74" s="822"/>
      <c r="L74" s="822"/>
      <c r="M74" s="597"/>
      <c r="N74" s="822"/>
      <c r="O74" s="822"/>
      <c r="P74" s="597"/>
      <c r="Q74" s="822"/>
      <c r="R74" s="822"/>
      <c r="S74" s="596"/>
      <c r="T74" s="822"/>
      <c r="U74" s="822"/>
      <c r="V74" s="597"/>
      <c r="W74" s="822"/>
      <c r="X74" s="822"/>
      <c r="Y74" s="597"/>
      <c r="Z74" s="822">
        <v>6.54</v>
      </c>
      <c r="AA74" s="822">
        <v>24.38</v>
      </c>
      <c r="AB74" s="591">
        <f t="shared" si="22"/>
        <v>272.8</v>
      </c>
      <c r="AC74" s="822"/>
      <c r="AD74" s="822"/>
      <c r="AE74" s="597"/>
      <c r="AF74" s="822"/>
      <c r="AG74" s="822"/>
      <c r="AH74" s="597"/>
      <c r="AI74" s="822"/>
      <c r="AJ74" s="822">
        <v>14</v>
      </c>
      <c r="AK74" s="591" t="str">
        <f>IF(AI74=0, "    ---- ", IF(ABS(ROUND(100/AI74*AJ74-100,1))&lt;999,ROUND(100/AI74*AJ74-100,1),IF(ROUND(100/AI74*AJ74-100,1)&gt;999,999,-999)))</f>
        <v xml:space="preserve">    ---- </v>
      </c>
      <c r="AL74" s="822"/>
      <c r="AM74" s="822"/>
      <c r="AN74" s="597"/>
      <c r="AO74" s="593">
        <f t="shared" ref="AO74:AO84" si="28">B74+H74+K74+N74+Q74+W74+E74+Z74+AC74+AI74+AL74</f>
        <v>6.8360000000000003</v>
      </c>
      <c r="AP74" s="593">
        <f t="shared" ref="AP74:AP84" si="29">C74+I74+L74+O74+R74+X74+F74+AA74+AD74+AJ74+AM74</f>
        <v>95.174387335807182</v>
      </c>
      <c r="AQ74" s="597">
        <f t="shared" si="10"/>
        <v>999</v>
      </c>
      <c r="AR74" s="593">
        <f t="shared" ref="AR74:AR84" si="30">+B74+H74+K74+N74+Q74+T74+W74+E74+Z74+AC74+AF74+AI74+AL74</f>
        <v>6.8360000000000003</v>
      </c>
      <c r="AS74" s="593">
        <f t="shared" ref="AS74:AS84" si="31">+C74+I74+L74+O74+R74+U74+X74+F74+AA74+AD74+AG74+AJ74+AM74</f>
        <v>95.174387335807182</v>
      </c>
      <c r="AT74" s="597">
        <f t="shared" si="13"/>
        <v>999</v>
      </c>
    </row>
    <row r="75" spans="1:46" s="563" customFormat="1" ht="18.75" customHeight="1" x14ac:dyDescent="0.35">
      <c r="A75" s="588" t="s">
        <v>367</v>
      </c>
      <c r="B75" s="822"/>
      <c r="C75" s="822"/>
      <c r="D75" s="596"/>
      <c r="E75" s="822"/>
      <c r="F75" s="822"/>
      <c r="G75" s="597"/>
      <c r="H75" s="822">
        <v>2</v>
      </c>
      <c r="I75" s="822">
        <v>-4.5999999999999996</v>
      </c>
      <c r="J75" s="591">
        <f t="shared" si="27"/>
        <v>-330</v>
      </c>
      <c r="K75" s="822"/>
      <c r="L75" s="822"/>
      <c r="M75" s="597"/>
      <c r="N75" s="822"/>
      <c r="O75" s="822"/>
      <c r="P75" s="597"/>
      <c r="Q75" s="822"/>
      <c r="R75" s="822"/>
      <c r="S75" s="596"/>
      <c r="T75" s="822"/>
      <c r="U75" s="822"/>
      <c r="V75" s="597"/>
      <c r="W75" s="822"/>
      <c r="X75" s="822"/>
      <c r="Y75" s="597"/>
      <c r="Z75" s="822">
        <v>-6.36</v>
      </c>
      <c r="AA75" s="822">
        <v>-24.03</v>
      </c>
      <c r="AB75" s="591">
        <f t="shared" si="22"/>
        <v>277.8</v>
      </c>
      <c r="AC75" s="822"/>
      <c r="AD75" s="822"/>
      <c r="AE75" s="597"/>
      <c r="AF75" s="822"/>
      <c r="AG75" s="822"/>
      <c r="AH75" s="597"/>
      <c r="AI75" s="822"/>
      <c r="AJ75" s="822"/>
      <c r="AK75" s="591"/>
      <c r="AL75" s="822"/>
      <c r="AM75" s="822"/>
      <c r="AN75" s="597"/>
      <c r="AO75" s="593">
        <f t="shared" si="28"/>
        <v>-4.3600000000000003</v>
      </c>
      <c r="AP75" s="593">
        <f t="shared" si="29"/>
        <v>-28.630000000000003</v>
      </c>
      <c r="AQ75" s="597">
        <f t="shared" si="10"/>
        <v>556.70000000000005</v>
      </c>
      <c r="AR75" s="593">
        <f t="shared" si="30"/>
        <v>-4.3600000000000003</v>
      </c>
      <c r="AS75" s="593">
        <f t="shared" si="31"/>
        <v>-28.630000000000003</v>
      </c>
      <c r="AT75" s="597">
        <f t="shared" si="13"/>
        <v>556.70000000000005</v>
      </c>
    </row>
    <row r="76" spans="1:46" s="563" customFormat="1" ht="18.75" customHeight="1" x14ac:dyDescent="0.35">
      <c r="A76" s="588" t="s">
        <v>368</v>
      </c>
      <c r="B76" s="822">
        <v>-1.488</v>
      </c>
      <c r="C76" s="822">
        <v>-0.46600000000000003</v>
      </c>
      <c r="D76" s="591">
        <f>IF(B76=0, "    ---- ", IF(ABS(ROUND(100/B76*C76-100,1))&lt;999,ROUND(100/B76*C76-100,1),IF(ROUND(100/B76*C76-100,1)&gt;999,999,-999)))</f>
        <v>-68.7</v>
      </c>
      <c r="E76" s="822"/>
      <c r="F76" s="822"/>
      <c r="G76" s="597"/>
      <c r="H76" s="822">
        <v>10</v>
      </c>
      <c r="I76" s="822">
        <v>7.6845243876887999</v>
      </c>
      <c r="J76" s="591">
        <f t="shared" si="27"/>
        <v>-23.2</v>
      </c>
      <c r="K76" s="822"/>
      <c r="L76" s="822"/>
      <c r="M76" s="597"/>
      <c r="N76" s="822"/>
      <c r="O76" s="822"/>
      <c r="P76" s="597"/>
      <c r="Q76" s="822"/>
      <c r="R76" s="822"/>
      <c r="S76" s="596"/>
      <c r="T76" s="822"/>
      <c r="U76" s="822"/>
      <c r="V76" s="597"/>
      <c r="W76" s="822"/>
      <c r="X76" s="822"/>
      <c r="Y76" s="597"/>
      <c r="Z76" s="822">
        <v>-1.22</v>
      </c>
      <c r="AA76" s="822">
        <v>2.7</v>
      </c>
      <c r="AB76" s="591">
        <f t="shared" si="22"/>
        <v>-321.3</v>
      </c>
      <c r="AC76" s="822"/>
      <c r="AD76" s="822"/>
      <c r="AE76" s="597"/>
      <c r="AF76" s="822"/>
      <c r="AG76" s="822"/>
      <c r="AH76" s="597"/>
      <c r="AI76" s="822">
        <v>1</v>
      </c>
      <c r="AJ76" s="822">
        <v>-2</v>
      </c>
      <c r="AK76" s="591">
        <f>IF(AI76=0, "    ---- ", IF(ABS(ROUND(100/AI76*AJ76-100,1))&lt;999,ROUND(100/AI76*AJ76-100,1),IF(ROUND(100/AI76*AJ76-100,1)&gt;999,999,-999)))</f>
        <v>-300</v>
      </c>
      <c r="AL76" s="822"/>
      <c r="AM76" s="822"/>
      <c r="AN76" s="597"/>
      <c r="AO76" s="593">
        <f t="shared" si="28"/>
        <v>8.2920000000000016</v>
      </c>
      <c r="AP76" s="593">
        <f t="shared" si="29"/>
        <v>7.9185243876887998</v>
      </c>
      <c r="AQ76" s="597">
        <f t="shared" si="10"/>
        <v>-4.5</v>
      </c>
      <c r="AR76" s="593">
        <f t="shared" si="30"/>
        <v>8.2920000000000016</v>
      </c>
      <c r="AS76" s="593">
        <f t="shared" si="31"/>
        <v>7.9185243876887998</v>
      </c>
      <c r="AT76" s="597">
        <f t="shared" si="13"/>
        <v>-4.5</v>
      </c>
    </row>
    <row r="77" spans="1:46" s="563" customFormat="1" ht="18.75" customHeight="1" x14ac:dyDescent="0.35">
      <c r="A77" s="588" t="s">
        <v>369</v>
      </c>
      <c r="B77" s="822"/>
      <c r="C77" s="822"/>
      <c r="D77" s="596"/>
      <c r="E77" s="822"/>
      <c r="F77" s="822"/>
      <c r="G77" s="597"/>
      <c r="H77" s="822">
        <v>0</v>
      </c>
      <c r="I77" s="822">
        <v>0.44550613</v>
      </c>
      <c r="J77" s="591" t="str">
        <f t="shared" si="27"/>
        <v xml:space="preserve">    ---- </v>
      </c>
      <c r="K77" s="822"/>
      <c r="L77" s="822"/>
      <c r="M77" s="597"/>
      <c r="N77" s="822"/>
      <c r="O77" s="822"/>
      <c r="P77" s="597"/>
      <c r="Q77" s="822"/>
      <c r="R77" s="822"/>
      <c r="S77" s="596"/>
      <c r="T77" s="822"/>
      <c r="U77" s="822"/>
      <c r="V77" s="597"/>
      <c r="W77" s="822"/>
      <c r="X77" s="822"/>
      <c r="Y77" s="597"/>
      <c r="Z77" s="822"/>
      <c r="AA77" s="822">
        <v>0</v>
      </c>
      <c r="AB77" s="591" t="str">
        <f t="shared" si="22"/>
        <v xml:space="preserve">    ---- </v>
      </c>
      <c r="AC77" s="822"/>
      <c r="AD77" s="822"/>
      <c r="AE77" s="597"/>
      <c r="AF77" s="822"/>
      <c r="AG77" s="822"/>
      <c r="AH77" s="597"/>
      <c r="AI77" s="822"/>
      <c r="AJ77" s="822"/>
      <c r="AK77" s="591"/>
      <c r="AL77" s="822"/>
      <c r="AM77" s="822"/>
      <c r="AN77" s="597"/>
      <c r="AO77" s="593">
        <f t="shared" si="28"/>
        <v>0</v>
      </c>
      <c r="AP77" s="593">
        <f t="shared" si="29"/>
        <v>0.44550613</v>
      </c>
      <c r="AQ77" s="597" t="str">
        <f t="shared" si="10"/>
        <v xml:space="preserve">    ---- </v>
      </c>
      <c r="AR77" s="593">
        <f t="shared" si="30"/>
        <v>0</v>
      </c>
      <c r="AS77" s="593">
        <f t="shared" si="31"/>
        <v>0.44550613</v>
      </c>
      <c r="AT77" s="597" t="str">
        <f t="shared" si="13"/>
        <v xml:space="preserve">    ---- </v>
      </c>
    </row>
    <row r="78" spans="1:46" s="563" customFormat="1" ht="18.75" customHeight="1" x14ac:dyDescent="0.35">
      <c r="A78" s="588" t="s">
        <v>370</v>
      </c>
      <c r="B78" s="822"/>
      <c r="C78" s="822"/>
      <c r="D78" s="596"/>
      <c r="E78" s="822"/>
      <c r="F78" s="822"/>
      <c r="G78" s="597"/>
      <c r="H78" s="822">
        <v>20</v>
      </c>
      <c r="I78" s="822">
        <v>20.758800780000001</v>
      </c>
      <c r="J78" s="591">
        <f t="shared" si="27"/>
        <v>3.8</v>
      </c>
      <c r="K78" s="822"/>
      <c r="L78" s="822"/>
      <c r="M78" s="597"/>
      <c r="N78" s="822"/>
      <c r="O78" s="822"/>
      <c r="P78" s="597"/>
      <c r="Q78" s="822"/>
      <c r="R78" s="822"/>
      <c r="S78" s="596"/>
      <c r="T78" s="822"/>
      <c r="U78" s="822"/>
      <c r="V78" s="597"/>
      <c r="W78" s="822"/>
      <c r="X78" s="822"/>
      <c r="Y78" s="597"/>
      <c r="Z78" s="822">
        <v>2.2200000000000002</v>
      </c>
      <c r="AA78" s="822">
        <v>2.35</v>
      </c>
      <c r="AB78" s="591">
        <f t="shared" si="22"/>
        <v>5.9</v>
      </c>
      <c r="AC78" s="822"/>
      <c r="AD78" s="822"/>
      <c r="AE78" s="597"/>
      <c r="AF78" s="822"/>
      <c r="AG78" s="822"/>
      <c r="AH78" s="597"/>
      <c r="AI78" s="822">
        <v>1</v>
      </c>
      <c r="AJ78" s="822">
        <v>1</v>
      </c>
      <c r="AK78" s="591">
        <f>IF(AI78=0, "    ---- ", IF(ABS(ROUND(100/AI78*AJ78-100,1))&lt;999,ROUND(100/AI78*AJ78-100,1),IF(ROUND(100/AI78*AJ78-100,1)&gt;999,999,-999)))</f>
        <v>0</v>
      </c>
      <c r="AL78" s="822"/>
      <c r="AM78" s="822"/>
      <c r="AN78" s="597"/>
      <c r="AO78" s="593">
        <f t="shared" si="28"/>
        <v>23.22</v>
      </c>
      <c r="AP78" s="593">
        <f t="shared" si="29"/>
        <v>24.108800780000003</v>
      </c>
      <c r="AQ78" s="597">
        <f t="shared" si="10"/>
        <v>3.8</v>
      </c>
      <c r="AR78" s="593">
        <f t="shared" si="30"/>
        <v>23.22</v>
      </c>
      <c r="AS78" s="593">
        <f t="shared" si="31"/>
        <v>24.108800780000003</v>
      </c>
      <c r="AT78" s="597">
        <f t="shared" si="13"/>
        <v>3.8</v>
      </c>
    </row>
    <row r="79" spans="1:46" s="563" customFormat="1" ht="18.75" customHeight="1" x14ac:dyDescent="0.35">
      <c r="A79" s="588" t="s">
        <v>371</v>
      </c>
      <c r="B79" s="822">
        <v>-1.7270000000000001</v>
      </c>
      <c r="C79" s="822">
        <v>1.631</v>
      </c>
      <c r="D79" s="591">
        <f>IF(B79=0, "    ---- ", IF(ABS(ROUND(100/B79*C79-100,1))&lt;999,ROUND(100/B79*C79-100,1),IF(ROUND(100/B79*C79-100,1)&gt;999,999,-999)))</f>
        <v>-194.4</v>
      </c>
      <c r="E79" s="822"/>
      <c r="F79" s="822"/>
      <c r="G79" s="597"/>
      <c r="H79" s="822">
        <v>0</v>
      </c>
      <c r="I79" s="822">
        <v>1.3658058499997479</v>
      </c>
      <c r="J79" s="591" t="str">
        <f t="shared" si="27"/>
        <v xml:space="preserve">    ---- </v>
      </c>
      <c r="K79" s="822"/>
      <c r="L79" s="822"/>
      <c r="M79" s="597"/>
      <c r="N79" s="822"/>
      <c r="O79" s="822"/>
      <c r="P79" s="597"/>
      <c r="Q79" s="822"/>
      <c r="R79" s="822"/>
      <c r="S79" s="596"/>
      <c r="T79" s="822"/>
      <c r="U79" s="822"/>
      <c r="V79" s="597"/>
      <c r="W79" s="822"/>
      <c r="X79" s="822"/>
      <c r="Y79" s="597"/>
      <c r="Z79" s="822">
        <v>0.71</v>
      </c>
      <c r="AA79" s="822">
        <v>-0.16</v>
      </c>
      <c r="AB79" s="591">
        <f t="shared" si="22"/>
        <v>-122.5</v>
      </c>
      <c r="AC79" s="822"/>
      <c r="AD79" s="822"/>
      <c r="AE79" s="597"/>
      <c r="AF79" s="822"/>
      <c r="AG79" s="822"/>
      <c r="AH79" s="597"/>
      <c r="AI79" s="822">
        <v>-1</v>
      </c>
      <c r="AJ79" s="822">
        <v>-1</v>
      </c>
      <c r="AK79" s="591">
        <f>IF(AI79=0, "    ---- ", IF(ABS(ROUND(100/AI79*AJ79-100,1))&lt;999,ROUND(100/AI79*AJ79-100,1),IF(ROUND(100/AI79*AJ79-100,1)&gt;999,999,-999)))</f>
        <v>0</v>
      </c>
      <c r="AL79" s="822"/>
      <c r="AM79" s="822"/>
      <c r="AN79" s="597"/>
      <c r="AO79" s="593">
        <f t="shared" si="28"/>
        <v>-2.0170000000000003</v>
      </c>
      <c r="AP79" s="593">
        <f t="shared" si="29"/>
        <v>1.8368058499997479</v>
      </c>
      <c r="AQ79" s="597">
        <f t="shared" si="10"/>
        <v>-191.1</v>
      </c>
      <c r="AR79" s="593">
        <f t="shared" si="30"/>
        <v>-2.0170000000000003</v>
      </c>
      <c r="AS79" s="593">
        <f t="shared" si="31"/>
        <v>1.8368058499997479</v>
      </c>
      <c r="AT79" s="597">
        <f t="shared" si="13"/>
        <v>-191.1</v>
      </c>
    </row>
    <row r="80" spans="1:46" s="563" customFormat="1" ht="18.75" customHeight="1" x14ac:dyDescent="0.35">
      <c r="A80" s="588" t="s">
        <v>372</v>
      </c>
      <c r="B80" s="822"/>
      <c r="C80" s="822">
        <v>0.81499999999999995</v>
      </c>
      <c r="D80" s="596"/>
      <c r="E80" s="822"/>
      <c r="F80" s="822"/>
      <c r="G80" s="597"/>
      <c r="H80" s="822"/>
      <c r="I80" s="822"/>
      <c r="J80" s="591"/>
      <c r="K80" s="822"/>
      <c r="L80" s="822"/>
      <c r="M80" s="597"/>
      <c r="N80" s="822"/>
      <c r="O80" s="822"/>
      <c r="P80" s="597"/>
      <c r="Q80" s="822"/>
      <c r="R80" s="822"/>
      <c r="S80" s="596"/>
      <c r="T80" s="822"/>
      <c r="U80" s="822"/>
      <c r="V80" s="597"/>
      <c r="W80" s="822"/>
      <c r="X80" s="822"/>
      <c r="Y80" s="597"/>
      <c r="Z80" s="822">
        <v>5.32</v>
      </c>
      <c r="AA80" s="822">
        <v>5.51</v>
      </c>
      <c r="AB80" s="591">
        <f t="shared" si="22"/>
        <v>3.6</v>
      </c>
      <c r="AC80" s="822"/>
      <c r="AD80" s="822"/>
      <c r="AE80" s="597"/>
      <c r="AF80" s="822"/>
      <c r="AG80" s="822"/>
      <c r="AH80" s="597"/>
      <c r="AI80" s="822"/>
      <c r="AJ80" s="822"/>
      <c r="AK80" s="591"/>
      <c r="AL80" s="822"/>
      <c r="AM80" s="822"/>
      <c r="AN80" s="597"/>
      <c r="AO80" s="593">
        <f t="shared" si="28"/>
        <v>5.32</v>
      </c>
      <c r="AP80" s="593">
        <f t="shared" si="29"/>
        <v>6.3249999999999993</v>
      </c>
      <c r="AQ80" s="597">
        <f t="shared" si="10"/>
        <v>18.899999999999999</v>
      </c>
      <c r="AR80" s="593">
        <f t="shared" si="30"/>
        <v>5.32</v>
      </c>
      <c r="AS80" s="593">
        <f t="shared" si="31"/>
        <v>6.3249999999999993</v>
      </c>
      <c r="AT80" s="597">
        <f t="shared" si="13"/>
        <v>18.899999999999999</v>
      </c>
    </row>
    <row r="81" spans="1:46" s="563" customFormat="1" ht="18.75" customHeight="1" x14ac:dyDescent="0.35">
      <c r="A81" s="588" t="s">
        <v>373</v>
      </c>
      <c r="B81" s="822"/>
      <c r="C81" s="822"/>
      <c r="D81" s="596"/>
      <c r="E81" s="822"/>
      <c r="F81" s="822"/>
      <c r="G81" s="597"/>
      <c r="H81" s="822"/>
      <c r="I81" s="822"/>
      <c r="J81" s="591"/>
      <c r="K81" s="822"/>
      <c r="L81" s="822"/>
      <c r="M81" s="597"/>
      <c r="N81" s="822"/>
      <c r="O81" s="822"/>
      <c r="P81" s="597"/>
      <c r="Q81" s="822"/>
      <c r="R81" s="822"/>
      <c r="S81" s="596"/>
      <c r="T81" s="822"/>
      <c r="U81" s="822"/>
      <c r="V81" s="597"/>
      <c r="W81" s="822"/>
      <c r="X81" s="822"/>
      <c r="Y81" s="597"/>
      <c r="Z81" s="822"/>
      <c r="AA81" s="822">
        <v>0</v>
      </c>
      <c r="AB81" s="591" t="str">
        <f t="shared" si="22"/>
        <v xml:space="preserve">    ---- </v>
      </c>
      <c r="AC81" s="822"/>
      <c r="AD81" s="822"/>
      <c r="AE81" s="597"/>
      <c r="AF81" s="822"/>
      <c r="AG81" s="822"/>
      <c r="AH81" s="597"/>
      <c r="AI81" s="822"/>
      <c r="AJ81" s="822"/>
      <c r="AK81" s="591"/>
      <c r="AL81" s="822"/>
      <c r="AM81" s="822"/>
      <c r="AN81" s="597"/>
      <c r="AO81" s="593">
        <f t="shared" si="28"/>
        <v>0</v>
      </c>
      <c r="AP81" s="593">
        <f t="shared" si="29"/>
        <v>0</v>
      </c>
      <c r="AQ81" s="597" t="str">
        <f t="shared" si="10"/>
        <v xml:space="preserve">    ---- </v>
      </c>
      <c r="AR81" s="593">
        <f t="shared" si="30"/>
        <v>0</v>
      </c>
      <c r="AS81" s="593">
        <f t="shared" si="31"/>
        <v>0</v>
      </c>
      <c r="AT81" s="597" t="str">
        <f t="shared" si="13"/>
        <v xml:space="preserve">    ---- </v>
      </c>
    </row>
    <row r="82" spans="1:46" s="595" customFormat="1" ht="18.75" customHeight="1" x14ac:dyDescent="0.35">
      <c r="A82" s="583" t="s">
        <v>374</v>
      </c>
      <c r="B82" s="820">
        <f>SUM(B74:B79)+B81</f>
        <v>-2.919</v>
      </c>
      <c r="C82" s="820">
        <f>SUM(C74:C79)+C81</f>
        <v>1.645</v>
      </c>
      <c r="D82" s="591">
        <f>IF(B82=0, "    ---- ", IF(ABS(ROUND(100/B82*C82-100,1))&lt;999,ROUND(100/B82*C82-100,1),IF(ROUND(100/B82*C82-100,1)&gt;999,999,-999)))</f>
        <v>-156.4</v>
      </c>
      <c r="E82" s="820"/>
      <c r="F82" s="820"/>
      <c r="G82" s="599"/>
      <c r="H82" s="820">
        <f>SUM(H74:H79)+H81</f>
        <v>32</v>
      </c>
      <c r="I82" s="820">
        <f>SUM(I74:I79)+I81</f>
        <v>81.96902448349573</v>
      </c>
      <c r="J82" s="586">
        <f>IF(H82=0, "    ---- ", IF(ABS(ROUND(100/H82*I82-100,1))&lt;999,ROUND(100/H82*I82-100,1),IF(ROUND(100/H82*I82-100,1)&gt;999,999,-999)))</f>
        <v>156.19999999999999</v>
      </c>
      <c r="K82" s="820"/>
      <c r="L82" s="820"/>
      <c r="M82" s="599"/>
      <c r="N82" s="820"/>
      <c r="O82" s="820"/>
      <c r="P82" s="599"/>
      <c r="Q82" s="820"/>
      <c r="R82" s="820"/>
      <c r="S82" s="598"/>
      <c r="T82" s="820"/>
      <c r="U82" s="820"/>
      <c r="V82" s="599"/>
      <c r="W82" s="820"/>
      <c r="X82" s="820"/>
      <c r="Y82" s="599"/>
      <c r="Z82" s="820">
        <f>SUM(Z74:Z79)+Z81</f>
        <v>1.89</v>
      </c>
      <c r="AA82" s="820">
        <f>SUM(AA74:AA79)+AA81</f>
        <v>5.2399999999999984</v>
      </c>
      <c r="AB82" s="586">
        <f t="shared" si="22"/>
        <v>177.2</v>
      </c>
      <c r="AC82" s="820"/>
      <c r="AD82" s="820"/>
      <c r="AE82" s="599"/>
      <c r="AF82" s="820"/>
      <c r="AG82" s="820"/>
      <c r="AH82" s="599"/>
      <c r="AI82" s="820">
        <f>SUM(AI74:AI79)+AI81</f>
        <v>1</v>
      </c>
      <c r="AJ82" s="820">
        <f>SUM(AJ74:AJ79)+AJ81</f>
        <v>12</v>
      </c>
      <c r="AK82" s="586">
        <f>IF(AI82=0, "    ---- ", IF(ABS(ROUND(100/AI82*AJ82-100,1))&lt;999,ROUND(100/AI82*AJ82-100,1),IF(ROUND(100/AI82*AJ82-100,1)&gt;999,999,-999)))</f>
        <v>999</v>
      </c>
      <c r="AL82" s="820"/>
      <c r="AM82" s="820"/>
      <c r="AN82" s="599"/>
      <c r="AO82" s="594">
        <f t="shared" si="28"/>
        <v>31.971</v>
      </c>
      <c r="AP82" s="594">
        <f t="shared" si="29"/>
        <v>100.85402448349572</v>
      </c>
      <c r="AQ82" s="599">
        <f t="shared" si="10"/>
        <v>215.5</v>
      </c>
      <c r="AR82" s="594">
        <f t="shared" si="30"/>
        <v>31.971</v>
      </c>
      <c r="AS82" s="594">
        <f t="shared" si="31"/>
        <v>100.85402448349572</v>
      </c>
      <c r="AT82" s="599">
        <f t="shared" si="13"/>
        <v>215.5</v>
      </c>
    </row>
    <row r="83" spans="1:46" s="563" customFormat="1" ht="18.75" customHeight="1" x14ac:dyDescent="0.35">
      <c r="A83" s="588" t="s">
        <v>375</v>
      </c>
      <c r="B83" s="822">
        <v>0.29599999999999999</v>
      </c>
      <c r="C83" s="822">
        <f>0.48+0.815</f>
        <v>1.2949999999999999</v>
      </c>
      <c r="D83" s="591">
        <f>IF(B83=0, "    ---- ", IF(ABS(ROUND(100/B83*C83-100,1))&lt;999,ROUND(100/B83*C83-100,1),IF(ROUND(100/B83*C83-100,1)&gt;999,999,-999)))</f>
        <v>337.5</v>
      </c>
      <c r="E83" s="822"/>
      <c r="F83" s="822"/>
      <c r="G83" s="597"/>
      <c r="H83" s="822">
        <v>2</v>
      </c>
      <c r="I83" s="822">
        <v>52.397290260807097</v>
      </c>
      <c r="J83" s="591">
        <f>IF(H83=0, "    ---- ", IF(ABS(ROUND(100/H83*I83-100,1))&lt;999,ROUND(100/H83*I83-100,1),IF(ROUND(100/H83*I83-100,1)&gt;999,999,-999)))</f>
        <v>999</v>
      </c>
      <c r="K83" s="822"/>
      <c r="L83" s="822"/>
      <c r="M83" s="597"/>
      <c r="N83" s="822"/>
      <c r="O83" s="822"/>
      <c r="P83" s="597"/>
      <c r="Q83" s="822"/>
      <c r="R83" s="822"/>
      <c r="S83" s="596"/>
      <c r="T83" s="822"/>
      <c r="U83" s="822"/>
      <c r="V83" s="597"/>
      <c r="W83" s="822"/>
      <c r="X83" s="822"/>
      <c r="Y83" s="597"/>
      <c r="Z83" s="822">
        <v>0.35</v>
      </c>
      <c r="AA83" s="822">
        <v>0</v>
      </c>
      <c r="AB83" s="591">
        <f t="shared" si="22"/>
        <v>-100</v>
      </c>
      <c r="AC83" s="822"/>
      <c r="AD83" s="822"/>
      <c r="AE83" s="597"/>
      <c r="AF83" s="822"/>
      <c r="AG83" s="822"/>
      <c r="AH83" s="597"/>
      <c r="AI83" s="822"/>
      <c r="AJ83" s="822">
        <v>11</v>
      </c>
      <c r="AK83" s="591" t="str">
        <f>IF(AI83=0, "    ---- ", IF(ABS(ROUND(100/AI83*AJ83-100,1))&lt;999,ROUND(100/AI83*AJ83-100,1),IF(ROUND(100/AI83*AJ83-100,1)&gt;999,999,-999)))</f>
        <v xml:space="preserve">    ---- </v>
      </c>
      <c r="AL83" s="822"/>
      <c r="AM83" s="822"/>
      <c r="AN83" s="597"/>
      <c r="AO83" s="593">
        <f t="shared" si="28"/>
        <v>2.6459999999999999</v>
      </c>
      <c r="AP83" s="593">
        <f t="shared" si="29"/>
        <v>64.692290260807098</v>
      </c>
      <c r="AQ83" s="597">
        <f t="shared" si="10"/>
        <v>999</v>
      </c>
      <c r="AR83" s="593">
        <f t="shared" si="30"/>
        <v>2.6459999999999999</v>
      </c>
      <c r="AS83" s="593">
        <f t="shared" si="31"/>
        <v>64.692290260807098</v>
      </c>
      <c r="AT83" s="597">
        <f t="shared" si="13"/>
        <v>999</v>
      </c>
    </row>
    <row r="84" spans="1:46" s="563" customFormat="1" ht="18.75" customHeight="1" x14ac:dyDescent="0.35">
      <c r="A84" s="588" t="s">
        <v>376</v>
      </c>
      <c r="B84" s="822">
        <v>-3.2149999999999999</v>
      </c>
      <c r="C84" s="822">
        <v>0.35</v>
      </c>
      <c r="D84" s="591">
        <f>IF(B84=0, "    ---- ", IF(ABS(ROUND(100/B84*C84-100,1))&lt;999,ROUND(100/B84*C84-100,1),IF(ROUND(100/B84*C84-100,1)&gt;999,999,-999)))</f>
        <v>-110.9</v>
      </c>
      <c r="E84" s="822"/>
      <c r="F84" s="822"/>
      <c r="G84" s="597"/>
      <c r="H84" s="822">
        <v>30</v>
      </c>
      <c r="I84" s="822">
        <v>29.571734222688633</v>
      </c>
      <c r="J84" s="591">
        <f>IF(H84=0, "    ---- ", IF(ABS(ROUND(100/H84*I84-100,1))&lt;999,ROUND(100/H84*I84-100,1),IF(ROUND(100/H84*I84-100,1)&gt;999,999,-999)))</f>
        <v>-1.4</v>
      </c>
      <c r="K84" s="822"/>
      <c r="L84" s="822"/>
      <c r="M84" s="597"/>
      <c r="N84" s="822"/>
      <c r="O84" s="822"/>
      <c r="P84" s="597"/>
      <c r="Q84" s="822"/>
      <c r="R84" s="822"/>
      <c r="S84" s="596"/>
      <c r="T84" s="822"/>
      <c r="U84" s="822"/>
      <c r="V84" s="597"/>
      <c r="W84" s="822"/>
      <c r="X84" s="822"/>
      <c r="Y84" s="597"/>
      <c r="Z84" s="822">
        <v>1.54</v>
      </c>
      <c r="AA84" s="822">
        <v>5.24</v>
      </c>
      <c r="AB84" s="591">
        <f t="shared" si="22"/>
        <v>240.3</v>
      </c>
      <c r="AC84" s="822"/>
      <c r="AD84" s="822"/>
      <c r="AE84" s="597"/>
      <c r="AF84" s="822"/>
      <c r="AG84" s="822"/>
      <c r="AH84" s="597"/>
      <c r="AI84" s="822">
        <v>1</v>
      </c>
      <c r="AJ84" s="822">
        <v>1</v>
      </c>
      <c r="AK84" s="591">
        <f>IF(AI84=0, "    ---- ", IF(ABS(ROUND(100/AI84*AJ84-100,1))&lt;999,ROUND(100/AI84*AJ84-100,1),IF(ROUND(100/AI84*AJ84-100,1)&gt;999,999,-999)))</f>
        <v>0</v>
      </c>
      <c r="AL84" s="822"/>
      <c r="AM84" s="822"/>
      <c r="AN84" s="597"/>
      <c r="AO84" s="593">
        <f t="shared" si="28"/>
        <v>29.324999999999999</v>
      </c>
      <c r="AP84" s="593">
        <f t="shared" si="29"/>
        <v>36.161734222688636</v>
      </c>
      <c r="AQ84" s="597">
        <f t="shared" si="10"/>
        <v>23.3</v>
      </c>
      <c r="AR84" s="593">
        <f t="shared" si="30"/>
        <v>29.324999999999999</v>
      </c>
      <c r="AS84" s="593">
        <f t="shared" si="31"/>
        <v>36.161734222688636</v>
      </c>
      <c r="AT84" s="597">
        <f t="shared" si="13"/>
        <v>23.3</v>
      </c>
    </row>
    <row r="85" spans="1:46" s="595" customFormat="1" ht="18.75" customHeight="1" x14ac:dyDescent="0.35">
      <c r="A85" s="583" t="s">
        <v>382</v>
      </c>
      <c r="B85" s="820"/>
      <c r="C85" s="820"/>
      <c r="D85" s="598"/>
      <c r="E85" s="820"/>
      <c r="F85" s="820"/>
      <c r="G85" s="599"/>
      <c r="H85" s="820"/>
      <c r="I85" s="820"/>
      <c r="J85" s="586"/>
      <c r="K85" s="820"/>
      <c r="L85" s="820"/>
      <c r="M85" s="599"/>
      <c r="N85" s="820"/>
      <c r="O85" s="820"/>
      <c r="P85" s="599"/>
      <c r="Q85" s="820"/>
      <c r="R85" s="820"/>
      <c r="S85" s="598"/>
      <c r="T85" s="820"/>
      <c r="U85" s="820"/>
      <c r="V85" s="599"/>
      <c r="W85" s="820"/>
      <c r="X85" s="820"/>
      <c r="Y85" s="599"/>
      <c r="Z85" s="820"/>
      <c r="AA85" s="820"/>
      <c r="AB85" s="586"/>
      <c r="AC85" s="820"/>
      <c r="AD85" s="820"/>
      <c r="AE85" s="599"/>
      <c r="AF85" s="820"/>
      <c r="AG85" s="820"/>
      <c r="AH85" s="599"/>
      <c r="AI85" s="820"/>
      <c r="AJ85" s="820"/>
      <c r="AK85" s="586"/>
      <c r="AL85" s="820"/>
      <c r="AM85" s="820"/>
      <c r="AN85" s="599"/>
      <c r="AO85" s="598"/>
      <c r="AP85" s="598"/>
      <c r="AQ85" s="599"/>
      <c r="AR85" s="593"/>
      <c r="AS85" s="593"/>
      <c r="AT85" s="599"/>
    </row>
    <row r="86" spans="1:46" s="563" customFormat="1" ht="18.75" customHeight="1" x14ac:dyDescent="0.35">
      <c r="A86" s="588" t="s">
        <v>366</v>
      </c>
      <c r="B86" s="822">
        <v>0.99</v>
      </c>
      <c r="C86" s="822">
        <v>0.71199999999999997</v>
      </c>
      <c r="D86" s="608"/>
      <c r="E86" s="822"/>
      <c r="F86" s="822"/>
      <c r="G86" s="609"/>
      <c r="H86" s="822"/>
      <c r="I86" s="822"/>
      <c r="J86" s="591"/>
      <c r="K86" s="822"/>
      <c r="L86" s="822"/>
      <c r="M86" s="591"/>
      <c r="N86" s="822">
        <v>21.108000000000001</v>
      </c>
      <c r="O86" s="822">
        <v>33.993000000000002</v>
      </c>
      <c r="P86" s="591">
        <f>IF(N86=0, "    ---- ", IF(ABS(ROUND(100/N86*O86-100,1))&lt;999,ROUND(100/N86*O86-100,1),IF(ROUND(100/N86*O86-100,1)&gt;999,999,-999)))</f>
        <v>61</v>
      </c>
      <c r="Q86" s="822">
        <v>23.8</v>
      </c>
      <c r="R86" s="822">
        <v>25.5</v>
      </c>
      <c r="S86" s="593">
        <f>IF(Q86=0, "    ---- ", IF(ABS(ROUND(100/Q86*R86-100,1))&lt;999,ROUND(100/Q86*R86-100,1),IF(ROUND(100/Q86*R86-100,1)&gt;999,999,-999)))</f>
        <v>7.1</v>
      </c>
      <c r="T86" s="822"/>
      <c r="U86" s="822"/>
      <c r="V86" s="609"/>
      <c r="W86" s="822"/>
      <c r="X86" s="822"/>
      <c r="Y86" s="609"/>
      <c r="Z86" s="822">
        <v>7.77</v>
      </c>
      <c r="AA86" s="822">
        <v>28.04</v>
      </c>
      <c r="AB86" s="591">
        <f t="shared" si="22"/>
        <v>260.89999999999998</v>
      </c>
      <c r="AC86" s="822"/>
      <c r="AD86" s="822"/>
      <c r="AE86" s="591"/>
      <c r="AF86" s="822"/>
      <c r="AG86" s="822"/>
      <c r="AH86" s="609"/>
      <c r="AI86" s="822"/>
      <c r="AJ86" s="822"/>
      <c r="AK86" s="591"/>
      <c r="AL86" s="822"/>
      <c r="AM86" s="822"/>
      <c r="AN86" s="591"/>
      <c r="AO86" s="593">
        <f t="shared" ref="AO86:AO96" si="32">B86+H86+K86+N86+Q86+W86+E86+Z86+AC86+AI86+AL86</f>
        <v>53.667999999999992</v>
      </c>
      <c r="AP86" s="593">
        <f t="shared" ref="AP86:AP96" si="33">C86+I86+L86+O86+R86+X86+F86+AA86+AD86+AJ86+AM86</f>
        <v>88.245000000000005</v>
      </c>
      <c r="AQ86" s="591">
        <f t="shared" si="10"/>
        <v>64.400000000000006</v>
      </c>
      <c r="AR86" s="593">
        <f t="shared" ref="AR86:AR96" si="34">+B86+H86+K86+N86+Q86+T86+W86+E86+Z86+AC86+AF86+AI86+AL86</f>
        <v>53.667999999999992</v>
      </c>
      <c r="AS86" s="593">
        <f t="shared" ref="AS86:AS96" si="35">+C86+I86+L86+O86+R86+U86+X86+F86+AA86+AD86+AG86+AJ86+AM86</f>
        <v>88.245000000000005</v>
      </c>
      <c r="AT86" s="591">
        <f t="shared" si="13"/>
        <v>64.400000000000006</v>
      </c>
    </row>
    <row r="87" spans="1:46" s="563" customFormat="1" ht="18.75" customHeight="1" x14ac:dyDescent="0.35">
      <c r="A87" s="588" t="s">
        <v>367</v>
      </c>
      <c r="B87" s="822"/>
      <c r="C87" s="822"/>
      <c r="D87" s="608"/>
      <c r="E87" s="822"/>
      <c r="F87" s="822"/>
      <c r="G87" s="609"/>
      <c r="H87" s="822"/>
      <c r="I87" s="822"/>
      <c r="J87" s="591"/>
      <c r="K87" s="822"/>
      <c r="L87" s="822"/>
      <c r="M87" s="609"/>
      <c r="N87" s="822"/>
      <c r="O87" s="822"/>
      <c r="P87" s="609"/>
      <c r="Q87" s="822"/>
      <c r="R87" s="822"/>
      <c r="S87" s="608"/>
      <c r="T87" s="822"/>
      <c r="U87" s="822"/>
      <c r="V87" s="609"/>
      <c r="W87" s="822"/>
      <c r="X87" s="822"/>
      <c r="Y87" s="609"/>
      <c r="Z87" s="822"/>
      <c r="AA87" s="822"/>
      <c r="AB87" s="591"/>
      <c r="AC87" s="822"/>
      <c r="AD87" s="822"/>
      <c r="AE87" s="609"/>
      <c r="AF87" s="822"/>
      <c r="AG87" s="822"/>
      <c r="AH87" s="609"/>
      <c r="AI87" s="822"/>
      <c r="AJ87" s="822"/>
      <c r="AK87" s="591"/>
      <c r="AL87" s="822"/>
      <c r="AM87" s="822"/>
      <c r="AN87" s="609"/>
      <c r="AO87" s="593">
        <f t="shared" si="32"/>
        <v>0</v>
      </c>
      <c r="AP87" s="593">
        <f t="shared" si="33"/>
        <v>0</v>
      </c>
      <c r="AQ87" s="609" t="str">
        <f t="shared" si="10"/>
        <v xml:space="preserve">    ---- </v>
      </c>
      <c r="AR87" s="593">
        <f t="shared" si="34"/>
        <v>0</v>
      </c>
      <c r="AS87" s="593">
        <f t="shared" si="35"/>
        <v>0</v>
      </c>
      <c r="AT87" s="609" t="str">
        <f t="shared" si="13"/>
        <v xml:space="preserve">    ---- </v>
      </c>
    </row>
    <row r="88" spans="1:46" s="563" customFormat="1" ht="18.75" customHeight="1" x14ac:dyDescent="0.35">
      <c r="A88" s="588" t="s">
        <v>368</v>
      </c>
      <c r="B88" s="822">
        <v>-1.7889999999999999</v>
      </c>
      <c r="C88" s="822">
        <v>-0.251</v>
      </c>
      <c r="D88" s="591">
        <f>IF(B88=0, "    ---- ", IF(ABS(ROUND(100/B88*C88-100,1))&lt;999,ROUND(100/B88*C88-100,1),IF(ROUND(100/B88*C88-100,1)&gt;999,999,-999)))</f>
        <v>-86</v>
      </c>
      <c r="E88" s="822"/>
      <c r="F88" s="822"/>
      <c r="G88" s="597"/>
      <c r="H88" s="822"/>
      <c r="I88" s="822"/>
      <c r="J88" s="591"/>
      <c r="K88" s="822"/>
      <c r="L88" s="822"/>
      <c r="M88" s="597"/>
      <c r="N88" s="822">
        <v>-29.998999999999999</v>
      </c>
      <c r="O88" s="822">
        <v>-29.957000000000001</v>
      </c>
      <c r="P88" s="597">
        <f>IF(N88=0, "    ---- ", IF(ABS(ROUND(100/N88*O88-100,1))&lt;999,ROUND(100/N88*O88-100,1),IF(ROUND(100/N88*O88-100,1)&gt;999,999,-999)))</f>
        <v>-0.1</v>
      </c>
      <c r="Q88" s="822">
        <v>40</v>
      </c>
      <c r="R88" s="822">
        <v>39.799999999999997</v>
      </c>
      <c r="S88" s="596">
        <f>IF(Q88=0, "    ---- ", IF(ABS(ROUND(100/Q88*R88-100,1))&lt;999,ROUND(100/Q88*R88-100,1),IF(ROUND(100/Q88*R88-100,1)&gt;999,999,-999)))</f>
        <v>-0.5</v>
      </c>
      <c r="T88" s="822"/>
      <c r="U88" s="822"/>
      <c r="V88" s="597"/>
      <c r="W88" s="822"/>
      <c r="X88" s="822"/>
      <c r="Y88" s="597"/>
      <c r="Z88" s="822">
        <v>10.78</v>
      </c>
      <c r="AA88" s="822">
        <v>13.98</v>
      </c>
      <c r="AB88" s="591">
        <f t="shared" si="22"/>
        <v>29.7</v>
      </c>
      <c r="AC88" s="822"/>
      <c r="AD88" s="822"/>
      <c r="AE88" s="597"/>
      <c r="AF88" s="822"/>
      <c r="AG88" s="822"/>
      <c r="AH88" s="597"/>
      <c r="AI88" s="822"/>
      <c r="AJ88" s="822"/>
      <c r="AK88" s="591"/>
      <c r="AL88" s="822"/>
      <c r="AM88" s="822"/>
      <c r="AN88" s="597"/>
      <c r="AO88" s="593">
        <f t="shared" si="32"/>
        <v>18.991999999999997</v>
      </c>
      <c r="AP88" s="593">
        <f t="shared" si="33"/>
        <v>23.571999999999996</v>
      </c>
      <c r="AQ88" s="597">
        <f t="shared" ref="AQ88:AQ108" si="36">IF(AO88=0, "    ---- ", IF(ABS(ROUND(100/AO88*AP88-100,1))&lt;999,ROUND(100/AO88*AP88-100,1),IF(ROUND(100/AO88*AP88-100,1)&gt;999,999,-999)))</f>
        <v>24.1</v>
      </c>
      <c r="AR88" s="593">
        <f t="shared" si="34"/>
        <v>18.991999999999997</v>
      </c>
      <c r="AS88" s="593">
        <f t="shared" si="35"/>
        <v>23.571999999999996</v>
      </c>
      <c r="AT88" s="597">
        <f t="shared" ref="AT88:AT108" si="37">IF(AR88=0, "    ---- ", IF(ABS(ROUND(100/AR88*AS88-100,1))&lt;999,ROUND(100/AR88*AS88-100,1),IF(ROUND(100/AR88*AS88-100,1)&gt;999,999,-999)))</f>
        <v>24.1</v>
      </c>
    </row>
    <row r="89" spans="1:46" s="563" customFormat="1" ht="18.75" customHeight="1" x14ac:dyDescent="0.35">
      <c r="A89" s="588" t="s">
        <v>369</v>
      </c>
      <c r="B89" s="822"/>
      <c r="C89" s="822"/>
      <c r="D89" s="596"/>
      <c r="E89" s="822"/>
      <c r="F89" s="822"/>
      <c r="G89" s="597"/>
      <c r="H89" s="822"/>
      <c r="I89" s="822"/>
      <c r="J89" s="591"/>
      <c r="K89" s="822"/>
      <c r="L89" s="822"/>
      <c r="M89" s="597"/>
      <c r="N89" s="822"/>
      <c r="O89" s="822"/>
      <c r="P89" s="597"/>
      <c r="Q89" s="822"/>
      <c r="R89" s="822"/>
      <c r="S89" s="596"/>
      <c r="T89" s="822"/>
      <c r="U89" s="822"/>
      <c r="V89" s="597"/>
      <c r="W89" s="822"/>
      <c r="X89" s="822"/>
      <c r="Y89" s="597"/>
      <c r="Z89" s="822"/>
      <c r="AA89" s="822"/>
      <c r="AB89" s="591"/>
      <c r="AC89" s="822"/>
      <c r="AD89" s="822"/>
      <c r="AE89" s="597"/>
      <c r="AF89" s="822"/>
      <c r="AG89" s="822"/>
      <c r="AH89" s="597"/>
      <c r="AI89" s="822"/>
      <c r="AJ89" s="822"/>
      <c r="AK89" s="591"/>
      <c r="AL89" s="822"/>
      <c r="AM89" s="822"/>
      <c r="AN89" s="597"/>
      <c r="AO89" s="593">
        <f t="shared" si="32"/>
        <v>0</v>
      </c>
      <c r="AP89" s="593">
        <f t="shared" si="33"/>
        <v>0</v>
      </c>
      <c r="AQ89" s="597" t="str">
        <f t="shared" si="36"/>
        <v xml:space="preserve">    ---- </v>
      </c>
      <c r="AR89" s="593">
        <f t="shared" si="34"/>
        <v>0</v>
      </c>
      <c r="AS89" s="593">
        <f t="shared" si="35"/>
        <v>0</v>
      </c>
      <c r="AT89" s="597" t="str">
        <f t="shared" si="37"/>
        <v xml:space="preserve">    ---- </v>
      </c>
    </row>
    <row r="90" spans="1:46" s="563" customFormat="1" ht="18.75" customHeight="1" x14ac:dyDescent="0.35">
      <c r="A90" s="588" t="s">
        <v>370</v>
      </c>
      <c r="B90" s="822"/>
      <c r="C90" s="822"/>
      <c r="D90" s="596"/>
      <c r="E90" s="822"/>
      <c r="F90" s="822"/>
      <c r="G90" s="597"/>
      <c r="H90" s="822"/>
      <c r="I90" s="822"/>
      <c r="J90" s="591"/>
      <c r="K90" s="822"/>
      <c r="L90" s="822"/>
      <c r="M90" s="597"/>
      <c r="N90" s="822"/>
      <c r="O90" s="822"/>
      <c r="P90" s="597"/>
      <c r="Q90" s="822"/>
      <c r="R90" s="822"/>
      <c r="S90" s="596"/>
      <c r="T90" s="822"/>
      <c r="U90" s="822"/>
      <c r="V90" s="597"/>
      <c r="W90" s="822"/>
      <c r="X90" s="822"/>
      <c r="Y90" s="597"/>
      <c r="Z90" s="822"/>
      <c r="AA90" s="822"/>
      <c r="AB90" s="591"/>
      <c r="AC90" s="822"/>
      <c r="AD90" s="822"/>
      <c r="AE90" s="597"/>
      <c r="AF90" s="822"/>
      <c r="AG90" s="822"/>
      <c r="AH90" s="597"/>
      <c r="AI90" s="822"/>
      <c r="AJ90" s="822"/>
      <c r="AK90" s="591"/>
      <c r="AL90" s="822"/>
      <c r="AM90" s="822"/>
      <c r="AN90" s="597"/>
      <c r="AO90" s="593">
        <f t="shared" si="32"/>
        <v>0</v>
      </c>
      <c r="AP90" s="593">
        <f t="shared" si="33"/>
        <v>0</v>
      </c>
      <c r="AQ90" s="597" t="str">
        <f t="shared" si="36"/>
        <v xml:space="preserve">    ---- </v>
      </c>
      <c r="AR90" s="593">
        <f t="shared" si="34"/>
        <v>0</v>
      </c>
      <c r="AS90" s="593">
        <f t="shared" si="35"/>
        <v>0</v>
      </c>
      <c r="AT90" s="597" t="str">
        <f t="shared" si="37"/>
        <v xml:space="preserve">    ---- </v>
      </c>
    </row>
    <row r="91" spans="1:46" s="563" customFormat="1" ht="18.75" customHeight="1" x14ac:dyDescent="0.35">
      <c r="A91" s="588" t="s">
        <v>371</v>
      </c>
      <c r="B91" s="822">
        <v>3.5390000000000001</v>
      </c>
      <c r="C91" s="822">
        <v>0.41899999999999998</v>
      </c>
      <c r="D91" s="591">
        <f>IF(B91=0, "    ---- ", IF(ABS(ROUND(100/B91*C91-100,1))&lt;999,ROUND(100/B91*C91-100,1),IF(ROUND(100/B91*C91-100,1)&gt;999,999,-999)))</f>
        <v>-88.2</v>
      </c>
      <c r="E91" s="822"/>
      <c r="F91" s="822"/>
      <c r="G91" s="597"/>
      <c r="H91" s="822"/>
      <c r="I91" s="822"/>
      <c r="J91" s="591"/>
      <c r="K91" s="822"/>
      <c r="L91" s="822"/>
      <c r="M91" s="597"/>
      <c r="N91" s="822">
        <v>-5.6000000000000001E-2</v>
      </c>
      <c r="O91" s="822">
        <v>-108.75700000000001</v>
      </c>
      <c r="P91" s="597">
        <f>IF(N91=0, "    ---- ", IF(ABS(ROUND(100/N91*O91-100,1))&lt;999,ROUND(100/N91*O91-100,1),IF(ROUND(100/N91*O91-100,1)&gt;999,999,-999)))</f>
        <v>999</v>
      </c>
      <c r="Q91" s="822">
        <v>1.6</v>
      </c>
      <c r="R91" s="822">
        <v>0.2</v>
      </c>
      <c r="S91" s="596">
        <f>IF(Q91=0, "    ---- ", IF(ABS(ROUND(100/Q91*R91-100,1))&lt;999,ROUND(100/Q91*R91-100,1),IF(ROUND(100/Q91*R91-100,1)&gt;999,999,-999)))</f>
        <v>-87.5</v>
      </c>
      <c r="T91" s="822"/>
      <c r="U91" s="822"/>
      <c r="V91" s="597"/>
      <c r="W91" s="822"/>
      <c r="X91" s="822"/>
      <c r="Y91" s="597"/>
      <c r="Z91" s="822">
        <v>-17.45</v>
      </c>
      <c r="AA91" s="822">
        <v>24.18</v>
      </c>
      <c r="AB91" s="591">
        <f t="shared" si="22"/>
        <v>-238.6</v>
      </c>
      <c r="AC91" s="822"/>
      <c r="AD91" s="822"/>
      <c r="AE91" s="597"/>
      <c r="AF91" s="822"/>
      <c r="AG91" s="822"/>
      <c r="AH91" s="597"/>
      <c r="AI91" s="822"/>
      <c r="AJ91" s="822"/>
      <c r="AK91" s="591"/>
      <c r="AL91" s="822"/>
      <c r="AM91" s="822"/>
      <c r="AN91" s="597"/>
      <c r="AO91" s="593">
        <f t="shared" si="32"/>
        <v>-12.366999999999999</v>
      </c>
      <c r="AP91" s="593">
        <f t="shared" si="33"/>
        <v>-83.957999999999998</v>
      </c>
      <c r="AQ91" s="597">
        <f t="shared" si="36"/>
        <v>578.9</v>
      </c>
      <c r="AR91" s="593">
        <f t="shared" si="34"/>
        <v>-12.366999999999999</v>
      </c>
      <c r="AS91" s="593">
        <f t="shared" si="35"/>
        <v>-83.957999999999998</v>
      </c>
      <c r="AT91" s="597">
        <f t="shared" si="37"/>
        <v>578.9</v>
      </c>
    </row>
    <row r="92" spans="1:46" s="563" customFormat="1" ht="18.75" customHeight="1" x14ac:dyDescent="0.35">
      <c r="A92" s="588" t="s">
        <v>372</v>
      </c>
      <c r="B92" s="822"/>
      <c r="C92" s="822"/>
      <c r="D92" s="596"/>
      <c r="E92" s="822"/>
      <c r="F92" s="822"/>
      <c r="G92" s="597"/>
      <c r="H92" s="822"/>
      <c r="I92" s="822"/>
      <c r="J92" s="591"/>
      <c r="K92" s="822"/>
      <c r="L92" s="822"/>
      <c r="M92" s="597"/>
      <c r="N92" s="822"/>
      <c r="O92" s="822"/>
      <c r="P92" s="597"/>
      <c r="Q92" s="822"/>
      <c r="R92" s="822"/>
      <c r="S92" s="596"/>
      <c r="T92" s="822"/>
      <c r="U92" s="822"/>
      <c r="V92" s="597"/>
      <c r="W92" s="822"/>
      <c r="X92" s="822"/>
      <c r="Y92" s="597"/>
      <c r="Z92" s="822"/>
      <c r="AA92" s="822"/>
      <c r="AB92" s="591"/>
      <c r="AC92" s="822"/>
      <c r="AD92" s="822"/>
      <c r="AE92" s="597"/>
      <c r="AF92" s="822"/>
      <c r="AG92" s="822"/>
      <c r="AH92" s="597"/>
      <c r="AI92" s="822"/>
      <c r="AJ92" s="822"/>
      <c r="AK92" s="591"/>
      <c r="AL92" s="822"/>
      <c r="AM92" s="822"/>
      <c r="AN92" s="597"/>
      <c r="AO92" s="593">
        <f t="shared" si="32"/>
        <v>0</v>
      </c>
      <c r="AP92" s="593">
        <f t="shared" si="33"/>
        <v>0</v>
      </c>
      <c r="AQ92" s="597" t="str">
        <f t="shared" si="36"/>
        <v xml:space="preserve">    ---- </v>
      </c>
      <c r="AR92" s="593">
        <f t="shared" si="34"/>
        <v>0</v>
      </c>
      <c r="AS92" s="593">
        <f t="shared" si="35"/>
        <v>0</v>
      </c>
      <c r="AT92" s="597" t="str">
        <f t="shared" si="37"/>
        <v xml:space="preserve">    ---- </v>
      </c>
    </row>
    <row r="93" spans="1:46" s="563" customFormat="1" ht="18.75" customHeight="1" x14ac:dyDescent="0.35">
      <c r="A93" s="588" t="s">
        <v>373</v>
      </c>
      <c r="B93" s="822"/>
      <c r="C93" s="822"/>
      <c r="D93" s="596"/>
      <c r="E93" s="822"/>
      <c r="F93" s="822"/>
      <c r="G93" s="597"/>
      <c r="H93" s="822"/>
      <c r="I93" s="822"/>
      <c r="J93" s="591"/>
      <c r="K93" s="822"/>
      <c r="L93" s="822"/>
      <c r="M93" s="597"/>
      <c r="N93" s="822">
        <v>-0.38</v>
      </c>
      <c r="O93" s="822"/>
      <c r="P93" s="597">
        <f>IF(N93=0, "    ---- ", IF(ABS(ROUND(100/N93*O93-100,1))&lt;999,ROUND(100/N93*O93-100,1),IF(ROUND(100/N93*O93-100,1)&gt;999,999,-999)))</f>
        <v>-100</v>
      </c>
      <c r="Q93" s="822"/>
      <c r="R93" s="822"/>
      <c r="S93" s="596"/>
      <c r="T93" s="822"/>
      <c r="U93" s="822"/>
      <c r="V93" s="597"/>
      <c r="W93" s="822"/>
      <c r="X93" s="822"/>
      <c r="Y93" s="597"/>
      <c r="Z93" s="822"/>
      <c r="AA93" s="822"/>
      <c r="AB93" s="591"/>
      <c r="AC93" s="822"/>
      <c r="AD93" s="822"/>
      <c r="AE93" s="597"/>
      <c r="AF93" s="822"/>
      <c r="AG93" s="822"/>
      <c r="AH93" s="597"/>
      <c r="AI93" s="822"/>
      <c r="AJ93" s="822"/>
      <c r="AK93" s="591"/>
      <c r="AL93" s="822"/>
      <c r="AM93" s="822"/>
      <c r="AN93" s="597"/>
      <c r="AO93" s="593">
        <f t="shared" si="32"/>
        <v>-0.38</v>
      </c>
      <c r="AP93" s="593">
        <f t="shared" si="33"/>
        <v>0</v>
      </c>
      <c r="AQ93" s="597">
        <f t="shared" si="36"/>
        <v>-100</v>
      </c>
      <c r="AR93" s="593">
        <f t="shared" si="34"/>
        <v>-0.38</v>
      </c>
      <c r="AS93" s="593">
        <f t="shared" si="35"/>
        <v>0</v>
      </c>
      <c r="AT93" s="597">
        <f t="shared" si="37"/>
        <v>-100</v>
      </c>
    </row>
    <row r="94" spans="1:46" s="595" customFormat="1" ht="18.75" customHeight="1" x14ac:dyDescent="0.35">
      <c r="A94" s="583" t="s">
        <v>374</v>
      </c>
      <c r="B94" s="820">
        <f>SUM(B86:B91)+B93</f>
        <v>2.74</v>
      </c>
      <c r="C94" s="820">
        <f>SUM(C86:C91)+C93</f>
        <v>0.87999999999999989</v>
      </c>
      <c r="D94" s="591">
        <f>IF(B94=0, "    ---- ", IF(ABS(ROUND(100/B94*C94-100,1))&lt;999,ROUND(100/B94*C94-100,1),IF(ROUND(100/B94*C94-100,1)&gt;999,999,-999)))</f>
        <v>-67.900000000000006</v>
      </c>
      <c r="E94" s="820"/>
      <c r="F94" s="820"/>
      <c r="G94" s="599"/>
      <c r="H94" s="820"/>
      <c r="I94" s="820"/>
      <c r="J94" s="586"/>
      <c r="K94" s="820"/>
      <c r="L94" s="820"/>
      <c r="M94" s="599"/>
      <c r="N94" s="820">
        <f>SUM(N86:N91)+N93</f>
        <v>-9.3269999999999982</v>
      </c>
      <c r="O94" s="820">
        <f>SUM(O86:O91)+O93</f>
        <v>-104.721</v>
      </c>
      <c r="P94" s="599">
        <f>IF(N94=0, "    ---- ", IF(ABS(ROUND(100/N94*O94-100,1))&lt;999,ROUND(100/N94*O94-100,1),IF(ROUND(100/N94*O94-100,1)&gt;999,999,-999)))</f>
        <v>999</v>
      </c>
      <c r="Q94" s="820">
        <f>SUM(Q86:Q91)+Q93</f>
        <v>65.399999999999991</v>
      </c>
      <c r="R94" s="820">
        <f>SUM(R86:R91)+R93</f>
        <v>65.5</v>
      </c>
      <c r="S94" s="598">
        <f>IF(Q94=0, "    ---- ", IF(ABS(ROUND(100/Q94*R94-100,1))&lt;999,ROUND(100/Q94*R94-100,1),IF(ROUND(100/Q94*R94-100,1)&gt;999,999,-999)))</f>
        <v>0.2</v>
      </c>
      <c r="T94" s="820"/>
      <c r="U94" s="820"/>
      <c r="V94" s="599"/>
      <c r="W94" s="820"/>
      <c r="X94" s="820"/>
      <c r="Y94" s="599"/>
      <c r="Z94" s="820">
        <f>SUM(Z86:Z91)+Z93</f>
        <v>1.0999999999999979</v>
      </c>
      <c r="AA94" s="820">
        <f>SUM(AA86:AA91)+AA93</f>
        <v>66.199999999999989</v>
      </c>
      <c r="AB94" s="586">
        <f t="shared" si="22"/>
        <v>999</v>
      </c>
      <c r="AC94" s="820"/>
      <c r="AD94" s="820"/>
      <c r="AE94" s="599"/>
      <c r="AF94" s="820"/>
      <c r="AG94" s="820"/>
      <c r="AH94" s="599"/>
      <c r="AI94" s="820"/>
      <c r="AJ94" s="820"/>
      <c r="AK94" s="586"/>
      <c r="AL94" s="820"/>
      <c r="AM94" s="820"/>
      <c r="AN94" s="599"/>
      <c r="AO94" s="594">
        <f t="shared" si="32"/>
        <v>59.912999999999997</v>
      </c>
      <c r="AP94" s="594">
        <f t="shared" si="33"/>
        <v>27.85899999999998</v>
      </c>
      <c r="AQ94" s="599">
        <f t="shared" si="36"/>
        <v>-53.5</v>
      </c>
      <c r="AR94" s="594">
        <f t="shared" si="34"/>
        <v>59.912999999999997</v>
      </c>
      <c r="AS94" s="594">
        <f t="shared" si="35"/>
        <v>27.85899999999998</v>
      </c>
      <c r="AT94" s="599">
        <f t="shared" si="37"/>
        <v>-53.5</v>
      </c>
    </row>
    <row r="95" spans="1:46" s="563" customFormat="1" ht="18.75" customHeight="1" x14ac:dyDescent="0.35">
      <c r="A95" s="588" t="s">
        <v>375</v>
      </c>
      <c r="B95" s="822"/>
      <c r="C95" s="822"/>
      <c r="D95" s="596"/>
      <c r="E95" s="822"/>
      <c r="F95" s="822"/>
      <c r="G95" s="597"/>
      <c r="H95" s="822"/>
      <c r="I95" s="822"/>
      <c r="J95" s="591"/>
      <c r="K95" s="822"/>
      <c r="L95" s="822"/>
      <c r="M95" s="597"/>
      <c r="N95" s="822"/>
      <c r="O95" s="822"/>
      <c r="P95" s="597"/>
      <c r="Q95" s="822">
        <v>0.6</v>
      </c>
      <c r="R95" s="822">
        <v>0.4</v>
      </c>
      <c r="S95" s="596">
        <f>IF(Q95=0, "    ---- ", IF(ABS(ROUND(100/Q95*R95-100,1))&lt;999,ROUND(100/Q95*R95-100,1),IF(ROUND(100/Q95*R95-100,1)&gt;999,999,-999)))</f>
        <v>-33.299999999999997</v>
      </c>
      <c r="T95" s="822"/>
      <c r="U95" s="822"/>
      <c r="V95" s="597"/>
      <c r="W95" s="822"/>
      <c r="X95" s="822"/>
      <c r="Y95" s="597"/>
      <c r="Z95" s="822">
        <v>-2.67</v>
      </c>
      <c r="AA95" s="822">
        <v>-16.2</v>
      </c>
      <c r="AB95" s="591">
        <f t="shared" si="22"/>
        <v>506.7</v>
      </c>
      <c r="AC95" s="822"/>
      <c r="AD95" s="822"/>
      <c r="AE95" s="597"/>
      <c r="AF95" s="822"/>
      <c r="AG95" s="822"/>
      <c r="AH95" s="597"/>
      <c r="AI95" s="822"/>
      <c r="AJ95" s="822"/>
      <c r="AK95" s="591"/>
      <c r="AL95" s="822"/>
      <c r="AM95" s="822"/>
      <c r="AN95" s="597"/>
      <c r="AO95" s="593">
        <f t="shared" si="32"/>
        <v>-2.0699999999999998</v>
      </c>
      <c r="AP95" s="593">
        <f t="shared" si="33"/>
        <v>-15.799999999999999</v>
      </c>
      <c r="AQ95" s="597">
        <f t="shared" si="36"/>
        <v>663.3</v>
      </c>
      <c r="AR95" s="593">
        <f t="shared" si="34"/>
        <v>-2.0699999999999998</v>
      </c>
      <c r="AS95" s="593">
        <f t="shared" si="35"/>
        <v>-15.799999999999999</v>
      </c>
      <c r="AT95" s="597">
        <f t="shared" si="37"/>
        <v>663.3</v>
      </c>
    </row>
    <row r="96" spans="1:46" s="563" customFormat="1" ht="18.75" customHeight="1" x14ac:dyDescent="0.35">
      <c r="A96" s="588" t="s">
        <v>376</v>
      </c>
      <c r="B96" s="822">
        <v>2.74</v>
      </c>
      <c r="C96" s="822">
        <v>0.88</v>
      </c>
      <c r="D96" s="591">
        <f>IF(B96=0, "    ---- ", IF(ABS(ROUND(100/B96*C96-100,1))&lt;999,ROUND(100/B96*C96-100,1),IF(ROUND(100/B96*C96-100,1)&gt;999,999,-999)))</f>
        <v>-67.900000000000006</v>
      </c>
      <c r="E96" s="822"/>
      <c r="F96" s="822"/>
      <c r="G96" s="597"/>
      <c r="H96" s="822"/>
      <c r="I96" s="822"/>
      <c r="J96" s="591"/>
      <c r="K96" s="822"/>
      <c r="L96" s="822"/>
      <c r="M96" s="597"/>
      <c r="N96" s="822">
        <v>-9.327</v>
      </c>
      <c r="O96" s="822">
        <v>-104.703</v>
      </c>
      <c r="P96" s="597">
        <f>IF(N96=0, "    ---- ", IF(ABS(ROUND(100/N96*O96-100,1))&lt;999,ROUND(100/N96*O96-100,1),IF(ROUND(100/N96*O96-100,1)&gt;999,999,-999)))</f>
        <v>999</v>
      </c>
      <c r="Q96" s="822">
        <v>64.8</v>
      </c>
      <c r="R96" s="822">
        <v>65.099999999999994</v>
      </c>
      <c r="S96" s="596">
        <f>IF(Q96=0, "    ---- ", IF(ABS(ROUND(100/Q96*R96-100,1))&lt;999,ROUND(100/Q96*R96-100,1),IF(ROUND(100/Q96*R96-100,1)&gt;999,999,-999)))</f>
        <v>0.5</v>
      </c>
      <c r="T96" s="822"/>
      <c r="U96" s="822"/>
      <c r="V96" s="597"/>
      <c r="W96" s="822"/>
      <c r="X96" s="822"/>
      <c r="Y96" s="597"/>
      <c r="Z96" s="822">
        <v>3.77</v>
      </c>
      <c r="AA96" s="822">
        <v>82.39</v>
      </c>
      <c r="AB96" s="591">
        <f t="shared" si="22"/>
        <v>999</v>
      </c>
      <c r="AC96" s="822"/>
      <c r="AD96" s="822"/>
      <c r="AE96" s="597"/>
      <c r="AF96" s="822"/>
      <c r="AG96" s="822"/>
      <c r="AH96" s="597"/>
      <c r="AI96" s="822"/>
      <c r="AJ96" s="822"/>
      <c r="AK96" s="591"/>
      <c r="AL96" s="822"/>
      <c r="AM96" s="822"/>
      <c r="AN96" s="597"/>
      <c r="AO96" s="593">
        <f t="shared" si="32"/>
        <v>61.982999999999997</v>
      </c>
      <c r="AP96" s="593">
        <f t="shared" si="33"/>
        <v>43.666999999999987</v>
      </c>
      <c r="AQ96" s="597">
        <f t="shared" si="36"/>
        <v>-29.6</v>
      </c>
      <c r="AR96" s="593">
        <f t="shared" si="34"/>
        <v>61.982999999999997</v>
      </c>
      <c r="AS96" s="593">
        <f t="shared" si="35"/>
        <v>43.666999999999987</v>
      </c>
      <c r="AT96" s="597">
        <f t="shared" si="37"/>
        <v>-29.6</v>
      </c>
    </row>
    <row r="97" spans="1:46" s="563" customFormat="1" ht="18.75" customHeight="1" x14ac:dyDescent="0.35">
      <c r="A97" s="583" t="s">
        <v>383</v>
      </c>
      <c r="B97" s="822"/>
      <c r="C97" s="822"/>
      <c r="D97" s="596"/>
      <c r="E97" s="822"/>
      <c r="F97" s="822"/>
      <c r="G97" s="597"/>
      <c r="H97" s="822"/>
      <c r="I97" s="822"/>
      <c r="J97" s="591"/>
      <c r="K97" s="822"/>
      <c r="L97" s="822"/>
      <c r="M97" s="597"/>
      <c r="N97" s="822"/>
      <c r="O97" s="822"/>
      <c r="P97" s="597"/>
      <c r="Q97" s="822"/>
      <c r="R97" s="822"/>
      <c r="S97" s="596"/>
      <c r="T97" s="822"/>
      <c r="U97" s="822"/>
      <c r="V97" s="597"/>
      <c r="W97" s="822"/>
      <c r="X97" s="822"/>
      <c r="Y97" s="597"/>
      <c r="Z97" s="822"/>
      <c r="AA97" s="822"/>
      <c r="AB97" s="591"/>
      <c r="AC97" s="822"/>
      <c r="AD97" s="822"/>
      <c r="AE97" s="597"/>
      <c r="AF97" s="822"/>
      <c r="AG97" s="822"/>
      <c r="AH97" s="597"/>
      <c r="AI97" s="822"/>
      <c r="AJ97" s="822"/>
      <c r="AK97" s="591"/>
      <c r="AL97" s="822"/>
      <c r="AM97" s="822"/>
      <c r="AN97" s="597"/>
      <c r="AO97" s="596"/>
      <c r="AP97" s="596"/>
      <c r="AQ97" s="597"/>
      <c r="AR97" s="593"/>
      <c r="AS97" s="593"/>
      <c r="AT97" s="597"/>
    </row>
    <row r="98" spans="1:46" s="563" customFormat="1" ht="18.75" customHeight="1" x14ac:dyDescent="0.35">
      <c r="A98" s="588" t="s">
        <v>366</v>
      </c>
      <c r="B98" s="822"/>
      <c r="C98" s="822"/>
      <c r="D98" s="596"/>
      <c r="E98" s="822"/>
      <c r="F98" s="822"/>
      <c r="G98" s="597"/>
      <c r="H98" s="822">
        <v>567</v>
      </c>
      <c r="I98" s="822">
        <v>713.96108300000003</v>
      </c>
      <c r="J98" s="591">
        <f>IF(H98=0, "    ---- ", IF(ABS(ROUND(100/H98*I98-100,1))&lt;999,ROUND(100/H98*I98-100,1),IF(ROUND(100/H98*I98-100,1)&gt;999,999,-999)))</f>
        <v>25.9</v>
      </c>
      <c r="K98" s="822"/>
      <c r="L98" s="822"/>
      <c r="M98" s="597"/>
      <c r="N98" s="822"/>
      <c r="O98" s="822"/>
      <c r="P98" s="597"/>
      <c r="Q98" s="822"/>
      <c r="R98" s="822"/>
      <c r="S98" s="596"/>
      <c r="T98" s="822"/>
      <c r="U98" s="822"/>
      <c r="V98" s="597"/>
      <c r="W98" s="822"/>
      <c r="X98" s="822"/>
      <c r="Y98" s="597"/>
      <c r="Z98" s="822"/>
      <c r="AA98" s="822"/>
      <c r="AB98" s="591"/>
      <c r="AC98" s="822"/>
      <c r="AD98" s="822"/>
      <c r="AE98" s="597"/>
      <c r="AF98" s="822"/>
      <c r="AG98" s="822">
        <v>8.4192118889639997E-2</v>
      </c>
      <c r="AH98" s="597" t="str">
        <f>IF(AF98=0, "    ---- ", IF(ABS(ROUND(100/AF98*AG98-100,1))&lt;999,ROUND(100/AF98*AG98-100,1),IF(ROUND(100/AF98*AG98-100,1)&gt;999,999,-999)))</f>
        <v xml:space="preserve">    ---- </v>
      </c>
      <c r="AI98" s="822"/>
      <c r="AJ98" s="822"/>
      <c r="AK98" s="591"/>
      <c r="AL98" s="822">
        <v>-3</v>
      </c>
      <c r="AM98" s="822">
        <v>0</v>
      </c>
      <c r="AN98" s="597">
        <f>IF(AL98=0, "    ---- ", IF(ABS(ROUND(100/AL98*AM98-100,1))&lt;999,ROUND(100/AL98*AM98-100,1),IF(ROUND(100/AL98*AM98-100,1)&gt;999,999,-999)))</f>
        <v>-100</v>
      </c>
      <c r="AO98" s="593">
        <f t="shared" ref="AO98:AO108" si="38">B98+H98+K98+N98+Q98+W98+E98+Z98+AC98+AI98+AL98</f>
        <v>564</v>
      </c>
      <c r="AP98" s="593">
        <f t="shared" ref="AP98:AP108" si="39">C98+I98+L98+O98+R98+X98+F98+AA98+AD98+AJ98+AM98</f>
        <v>713.96108300000003</v>
      </c>
      <c r="AQ98" s="597">
        <f t="shared" si="36"/>
        <v>26.6</v>
      </c>
      <c r="AR98" s="593">
        <f t="shared" ref="AR98:AR108" si="40">+B98+H98+K98+N98+Q98+T98+W98+E98+Z98+AC98+AF98+AI98+AL98</f>
        <v>564</v>
      </c>
      <c r="AS98" s="593">
        <f t="shared" ref="AS98:AS108" si="41">+C98+I98+L98+O98+R98+U98+X98+F98+AA98+AD98+AG98+AJ98+AM98</f>
        <v>714.04527511888966</v>
      </c>
      <c r="AT98" s="597">
        <f t="shared" si="37"/>
        <v>26.6</v>
      </c>
    </row>
    <row r="99" spans="1:46" s="563" customFormat="1" ht="18.75" customHeight="1" x14ac:dyDescent="0.35">
      <c r="A99" s="588" t="s">
        <v>367</v>
      </c>
      <c r="B99" s="822"/>
      <c r="C99" s="822"/>
      <c r="D99" s="596"/>
      <c r="E99" s="822"/>
      <c r="F99" s="822"/>
      <c r="G99" s="597"/>
      <c r="H99" s="822"/>
      <c r="I99" s="822"/>
      <c r="J99" s="591"/>
      <c r="K99" s="822"/>
      <c r="L99" s="822"/>
      <c r="M99" s="597"/>
      <c r="N99" s="822"/>
      <c r="O99" s="822"/>
      <c r="P99" s="597"/>
      <c r="Q99" s="822"/>
      <c r="R99" s="822"/>
      <c r="S99" s="596"/>
      <c r="T99" s="822"/>
      <c r="U99" s="822"/>
      <c r="V99" s="597"/>
      <c r="W99" s="822"/>
      <c r="X99" s="822"/>
      <c r="Y99" s="597"/>
      <c r="Z99" s="822"/>
      <c r="AA99" s="822"/>
      <c r="AB99" s="591"/>
      <c r="AC99" s="822"/>
      <c r="AD99" s="822"/>
      <c r="AE99" s="597"/>
      <c r="AF99" s="822"/>
      <c r="AG99" s="822"/>
      <c r="AH99" s="597"/>
      <c r="AI99" s="822"/>
      <c r="AJ99" s="822"/>
      <c r="AK99" s="591"/>
      <c r="AL99" s="822"/>
      <c r="AM99" s="822"/>
      <c r="AN99" s="597"/>
      <c r="AO99" s="593">
        <f t="shared" si="38"/>
        <v>0</v>
      </c>
      <c r="AP99" s="593">
        <f t="shared" si="39"/>
        <v>0</v>
      </c>
      <c r="AQ99" s="597" t="str">
        <f t="shared" si="36"/>
        <v xml:space="preserve">    ---- </v>
      </c>
      <c r="AR99" s="593">
        <f t="shared" si="40"/>
        <v>0</v>
      </c>
      <c r="AS99" s="593">
        <f t="shared" si="41"/>
        <v>0</v>
      </c>
      <c r="AT99" s="597" t="str">
        <f t="shared" si="37"/>
        <v xml:space="preserve">    ---- </v>
      </c>
    </row>
    <row r="100" spans="1:46" s="563" customFormat="1" ht="18.75" customHeight="1" x14ac:dyDescent="0.35">
      <c r="A100" s="588" t="s">
        <v>368</v>
      </c>
      <c r="B100" s="822">
        <v>6.8620000000000001</v>
      </c>
      <c r="C100" s="822">
        <v>12.574999999999999</v>
      </c>
      <c r="D100" s="596">
        <f>IF(B100=0, "    ---- ", IF(ABS(ROUND(100/B100*C100-100,1))&lt;999,ROUND(100/B100*C100-100,1),IF(ROUND(100/B100*C100-100,1)&gt;999,999,-999)))</f>
        <v>83.3</v>
      </c>
      <c r="E100" s="822"/>
      <c r="F100" s="822"/>
      <c r="G100" s="597"/>
      <c r="H100" s="822">
        <v>24</v>
      </c>
      <c r="I100" s="822">
        <v>17.667058000000004</v>
      </c>
      <c r="J100" s="591">
        <f>IF(H100=0, "    ---- ", IF(ABS(ROUND(100/H100*I100-100,1))&lt;999,ROUND(100/H100*I100-100,1),IF(ROUND(100/H100*I100-100,1)&gt;999,999,-999)))</f>
        <v>-26.4</v>
      </c>
      <c r="K100" s="822"/>
      <c r="L100" s="822"/>
      <c r="M100" s="597"/>
      <c r="N100" s="822"/>
      <c r="O100" s="822"/>
      <c r="P100" s="597"/>
      <c r="Q100" s="822">
        <v>-1.9</v>
      </c>
      <c r="R100" s="822">
        <v>-8.6999999999999993</v>
      </c>
      <c r="S100" s="596">
        <f>IF(Q100=0, "    ---- ", IF(ABS(ROUND(100/Q100*R100-100,1))&lt;999,ROUND(100/Q100*R100-100,1),IF(ROUND(100/Q100*R100-100,1)&gt;999,999,-999)))</f>
        <v>357.9</v>
      </c>
      <c r="T100" s="822"/>
      <c r="U100" s="822"/>
      <c r="V100" s="597"/>
      <c r="W100" s="822"/>
      <c r="X100" s="822"/>
      <c r="Y100" s="597"/>
      <c r="Z100" s="822">
        <v>21.71</v>
      </c>
      <c r="AA100" s="822">
        <v>33.5</v>
      </c>
      <c r="AB100" s="591">
        <f t="shared" si="22"/>
        <v>54.3</v>
      </c>
      <c r="AC100" s="822"/>
      <c r="AD100" s="822"/>
      <c r="AE100" s="597"/>
      <c r="AF100" s="822">
        <v>14.7300291669755</v>
      </c>
      <c r="AG100" s="822">
        <v>14.5131322471582</v>
      </c>
      <c r="AH100" s="597">
        <f>IF(AF100=0, "    ---- ", IF(ABS(ROUND(100/AF100*AG100-100,1))&lt;999,ROUND(100/AF100*AG100-100,1),IF(ROUND(100/AF100*AG100-100,1)&gt;999,999,-999)))</f>
        <v>-1.5</v>
      </c>
      <c r="AI100" s="822">
        <v>4</v>
      </c>
      <c r="AJ100" s="822">
        <v>6</v>
      </c>
      <c r="AK100" s="591">
        <f>IF(AI100=0, "    ---- ", IF(ABS(ROUND(100/AI100*AJ100-100,1))&lt;999,ROUND(100/AI100*AJ100-100,1),IF(ROUND(100/AI100*AJ100-100,1)&gt;999,999,-999)))</f>
        <v>50</v>
      </c>
      <c r="AL100" s="822">
        <v>1</v>
      </c>
      <c r="AM100" s="822">
        <v>20</v>
      </c>
      <c r="AN100" s="597">
        <f>IF(AL100=0, "    ---- ", IF(ABS(ROUND(100/AL100*AM100-100,1))&lt;999,ROUND(100/AL100*AM100-100,1),IF(ROUND(100/AL100*AM100-100,1)&gt;999,999,-999)))</f>
        <v>999</v>
      </c>
      <c r="AO100" s="593">
        <f t="shared" si="38"/>
        <v>55.672000000000004</v>
      </c>
      <c r="AP100" s="593">
        <f t="shared" si="39"/>
        <v>81.042057999999997</v>
      </c>
      <c r="AQ100" s="597">
        <f t="shared" si="36"/>
        <v>45.6</v>
      </c>
      <c r="AR100" s="593">
        <f t="shared" si="40"/>
        <v>70.40202916697551</v>
      </c>
      <c r="AS100" s="593">
        <f t="shared" si="41"/>
        <v>95.555190247158208</v>
      </c>
      <c r="AT100" s="597">
        <f t="shared" si="37"/>
        <v>35.700000000000003</v>
      </c>
    </row>
    <row r="101" spans="1:46" s="563" customFormat="1" ht="18.75" customHeight="1" x14ac:dyDescent="0.35">
      <c r="A101" s="588" t="s">
        <v>369</v>
      </c>
      <c r="B101" s="822"/>
      <c r="C101" s="822"/>
      <c r="D101" s="596"/>
      <c r="E101" s="822"/>
      <c r="F101" s="822"/>
      <c r="G101" s="597"/>
      <c r="H101" s="822"/>
      <c r="I101" s="822"/>
      <c r="J101" s="591"/>
      <c r="K101" s="822"/>
      <c r="L101" s="822"/>
      <c r="M101" s="597"/>
      <c r="N101" s="822"/>
      <c r="O101" s="822"/>
      <c r="P101" s="597"/>
      <c r="Q101" s="822"/>
      <c r="R101" s="822"/>
      <c r="S101" s="596"/>
      <c r="T101" s="822"/>
      <c r="U101" s="822"/>
      <c r="V101" s="597"/>
      <c r="W101" s="822"/>
      <c r="X101" s="822"/>
      <c r="Y101" s="597"/>
      <c r="Z101" s="822"/>
      <c r="AA101" s="822"/>
      <c r="AB101" s="591"/>
      <c r="AC101" s="822"/>
      <c r="AD101" s="822"/>
      <c r="AE101" s="597"/>
      <c r="AF101" s="822"/>
      <c r="AG101" s="822"/>
      <c r="AH101" s="597"/>
      <c r="AI101" s="822"/>
      <c r="AJ101" s="822"/>
      <c r="AK101" s="591"/>
      <c r="AL101" s="822"/>
      <c r="AM101" s="822"/>
      <c r="AN101" s="597"/>
      <c r="AO101" s="593">
        <f t="shared" si="38"/>
        <v>0</v>
      </c>
      <c r="AP101" s="593">
        <f t="shared" si="39"/>
        <v>0</v>
      </c>
      <c r="AQ101" s="597" t="str">
        <f t="shared" si="36"/>
        <v xml:space="preserve">    ---- </v>
      </c>
      <c r="AR101" s="593">
        <f t="shared" si="40"/>
        <v>0</v>
      </c>
      <c r="AS101" s="593">
        <f t="shared" si="41"/>
        <v>0</v>
      </c>
      <c r="AT101" s="597" t="str">
        <f t="shared" si="37"/>
        <v xml:space="preserve">    ---- </v>
      </c>
    </row>
    <row r="102" spans="1:46" s="563" customFormat="1" ht="18.75" customHeight="1" x14ac:dyDescent="0.35">
      <c r="A102" s="588" t="s">
        <v>370</v>
      </c>
      <c r="B102" s="822"/>
      <c r="C102" s="822"/>
      <c r="D102" s="596"/>
      <c r="E102" s="822"/>
      <c r="F102" s="822"/>
      <c r="G102" s="597"/>
      <c r="H102" s="822"/>
      <c r="I102" s="822"/>
      <c r="J102" s="591"/>
      <c r="K102" s="822"/>
      <c r="L102" s="822"/>
      <c r="M102" s="597"/>
      <c r="N102" s="822"/>
      <c r="O102" s="822"/>
      <c r="P102" s="597"/>
      <c r="Q102" s="822"/>
      <c r="R102" s="822"/>
      <c r="S102" s="596"/>
      <c r="T102" s="822"/>
      <c r="U102" s="822"/>
      <c r="V102" s="597"/>
      <c r="W102" s="822"/>
      <c r="X102" s="822"/>
      <c r="Y102" s="597"/>
      <c r="Z102" s="822"/>
      <c r="AA102" s="822"/>
      <c r="AB102" s="591"/>
      <c r="AC102" s="822"/>
      <c r="AD102" s="822"/>
      <c r="AE102" s="597"/>
      <c r="AF102" s="822"/>
      <c r="AG102" s="822"/>
      <c r="AH102" s="597"/>
      <c r="AI102" s="822"/>
      <c r="AJ102" s="822"/>
      <c r="AK102" s="591"/>
      <c r="AL102" s="822"/>
      <c r="AM102" s="822"/>
      <c r="AN102" s="597"/>
      <c r="AO102" s="593">
        <f t="shared" si="38"/>
        <v>0</v>
      </c>
      <c r="AP102" s="593">
        <f t="shared" si="39"/>
        <v>0</v>
      </c>
      <c r="AQ102" s="597" t="str">
        <f t="shared" si="36"/>
        <v xml:space="preserve">    ---- </v>
      </c>
      <c r="AR102" s="593">
        <f t="shared" si="40"/>
        <v>0</v>
      </c>
      <c r="AS102" s="593">
        <f t="shared" si="41"/>
        <v>0</v>
      </c>
      <c r="AT102" s="597" t="str">
        <f t="shared" si="37"/>
        <v xml:space="preserve">    ---- </v>
      </c>
    </row>
    <row r="103" spans="1:46" s="563" customFormat="1" ht="18.75" customHeight="1" x14ac:dyDescent="0.35">
      <c r="A103" s="588" t="s">
        <v>371</v>
      </c>
      <c r="B103" s="822">
        <v>-2.9940000000000002</v>
      </c>
      <c r="C103" s="822">
        <v>-3.867</v>
      </c>
      <c r="D103" s="596">
        <f>IF(B103=0, "    ---- ", IF(ABS(ROUND(100/B103*C103-100,1))&lt;999,ROUND(100/B103*C103-100,1),IF(ROUND(100/B103*C103-100,1)&gt;999,999,-999)))</f>
        <v>29.2</v>
      </c>
      <c r="E103" s="822"/>
      <c r="F103" s="822"/>
      <c r="G103" s="597"/>
      <c r="H103" s="822">
        <v>-3</v>
      </c>
      <c r="I103" s="822">
        <v>-1.8160000000000025</v>
      </c>
      <c r="J103" s="591">
        <f>IF(H103=0, "    ---- ", IF(ABS(ROUND(100/H103*I103-100,1))&lt;999,ROUND(100/H103*I103-100,1),IF(ROUND(100/H103*I103-100,1)&gt;999,999,-999)))</f>
        <v>-39.5</v>
      </c>
      <c r="K103" s="822"/>
      <c r="L103" s="822"/>
      <c r="M103" s="597"/>
      <c r="N103" s="822"/>
      <c r="O103" s="822"/>
      <c r="P103" s="597"/>
      <c r="Q103" s="822">
        <v>2.2000000000000002</v>
      </c>
      <c r="R103" s="822">
        <v>1</v>
      </c>
      <c r="S103" s="596">
        <f>IF(Q103=0, "    ---- ", IF(ABS(ROUND(100/Q103*R103-100,1))&lt;999,ROUND(100/Q103*R103-100,1),IF(ROUND(100/Q103*R103-100,1)&gt;999,999,-999)))</f>
        <v>-54.5</v>
      </c>
      <c r="T103" s="822"/>
      <c r="U103" s="822"/>
      <c r="V103" s="597"/>
      <c r="W103" s="822"/>
      <c r="X103" s="822"/>
      <c r="Y103" s="597"/>
      <c r="Z103" s="822">
        <v>-4.4800000000000004</v>
      </c>
      <c r="AA103" s="822">
        <v>0</v>
      </c>
      <c r="AB103" s="591">
        <f t="shared" si="22"/>
        <v>-100</v>
      </c>
      <c r="AC103" s="822"/>
      <c r="AD103" s="822"/>
      <c r="AE103" s="597"/>
      <c r="AF103" s="822"/>
      <c r="AG103" s="822">
        <v>-3.5697200000001102E-2</v>
      </c>
      <c r="AH103" s="597" t="str">
        <f>IF(AF103=0, "    ---- ", IF(ABS(ROUND(100/AF103*AG103-100,1))&lt;999,ROUND(100/AF103*AG103-100,1),IF(ROUND(100/AF103*AG103-100,1)&gt;999,999,-999)))</f>
        <v xml:space="preserve">    ---- </v>
      </c>
      <c r="AI103" s="822">
        <v>-2</v>
      </c>
      <c r="AJ103" s="822">
        <v>-1</v>
      </c>
      <c r="AK103" s="591">
        <f>IF(AI103=0, "    ---- ", IF(ABS(ROUND(100/AI103*AJ103-100,1))&lt;999,ROUND(100/AI103*AJ103-100,1),IF(ROUND(100/AI103*AJ103-100,1)&gt;999,999,-999)))</f>
        <v>-50</v>
      </c>
      <c r="AL103" s="822">
        <v>-1</v>
      </c>
      <c r="AM103" s="822">
        <v>-1</v>
      </c>
      <c r="AN103" s="597">
        <f>IF(AL103=0, "    ---- ", IF(ABS(ROUND(100/AL103*AM103-100,1))&lt;999,ROUND(100/AL103*AM103-100,1),IF(ROUND(100/AL103*AM103-100,1)&gt;999,999,-999)))</f>
        <v>0</v>
      </c>
      <c r="AO103" s="593">
        <f t="shared" si="38"/>
        <v>-11.274000000000001</v>
      </c>
      <c r="AP103" s="593">
        <f t="shared" si="39"/>
        <v>-6.6830000000000025</v>
      </c>
      <c r="AQ103" s="597">
        <f t="shared" si="36"/>
        <v>-40.700000000000003</v>
      </c>
      <c r="AR103" s="593">
        <f t="shared" si="40"/>
        <v>-11.274000000000001</v>
      </c>
      <c r="AS103" s="593">
        <f t="shared" si="41"/>
        <v>-6.7186972000000038</v>
      </c>
      <c r="AT103" s="597">
        <f t="shared" si="37"/>
        <v>-40.4</v>
      </c>
    </row>
    <row r="104" spans="1:46" s="563" customFormat="1" ht="18.75" customHeight="1" x14ac:dyDescent="0.35">
      <c r="A104" s="588" t="s">
        <v>372</v>
      </c>
      <c r="B104" s="822"/>
      <c r="C104" s="822"/>
      <c r="D104" s="596"/>
      <c r="E104" s="822"/>
      <c r="F104" s="822"/>
      <c r="G104" s="597"/>
      <c r="H104" s="822"/>
      <c r="I104" s="822"/>
      <c r="J104" s="591"/>
      <c r="K104" s="822"/>
      <c r="L104" s="822"/>
      <c r="M104" s="597"/>
      <c r="N104" s="822"/>
      <c r="O104" s="822"/>
      <c r="P104" s="597"/>
      <c r="Q104" s="822"/>
      <c r="R104" s="822"/>
      <c r="S104" s="596"/>
      <c r="T104" s="822"/>
      <c r="U104" s="822"/>
      <c r="V104" s="597"/>
      <c r="W104" s="822"/>
      <c r="X104" s="822"/>
      <c r="Y104" s="597"/>
      <c r="Z104" s="822"/>
      <c r="AA104" s="822"/>
      <c r="AB104" s="591"/>
      <c r="AC104" s="822"/>
      <c r="AD104" s="822"/>
      <c r="AE104" s="597"/>
      <c r="AF104" s="822"/>
      <c r="AG104" s="822"/>
      <c r="AH104" s="597"/>
      <c r="AI104" s="822"/>
      <c r="AJ104" s="822"/>
      <c r="AK104" s="591"/>
      <c r="AL104" s="822"/>
      <c r="AM104" s="822"/>
      <c r="AN104" s="597"/>
      <c r="AO104" s="593">
        <f t="shared" si="38"/>
        <v>0</v>
      </c>
      <c r="AP104" s="593">
        <f t="shared" si="39"/>
        <v>0</v>
      </c>
      <c r="AQ104" s="597" t="str">
        <f t="shared" si="36"/>
        <v xml:space="preserve">    ---- </v>
      </c>
      <c r="AR104" s="593">
        <f t="shared" si="40"/>
        <v>0</v>
      </c>
      <c r="AS104" s="593">
        <f t="shared" si="41"/>
        <v>0</v>
      </c>
      <c r="AT104" s="597" t="str">
        <f t="shared" si="37"/>
        <v xml:space="preserve">    ---- </v>
      </c>
    </row>
    <row r="105" spans="1:46" s="563" customFormat="1" ht="18.75" customHeight="1" x14ac:dyDescent="0.35">
      <c r="A105" s="588" t="s">
        <v>373</v>
      </c>
      <c r="B105" s="822"/>
      <c r="C105" s="822"/>
      <c r="D105" s="596"/>
      <c r="E105" s="822"/>
      <c r="F105" s="822"/>
      <c r="G105" s="597"/>
      <c r="H105" s="822"/>
      <c r="I105" s="822"/>
      <c r="J105" s="591"/>
      <c r="K105" s="822"/>
      <c r="L105" s="822"/>
      <c r="M105" s="597"/>
      <c r="N105" s="822"/>
      <c r="O105" s="822"/>
      <c r="P105" s="597"/>
      <c r="Q105" s="822"/>
      <c r="R105" s="822"/>
      <c r="S105" s="596"/>
      <c r="T105" s="822"/>
      <c r="U105" s="822"/>
      <c r="V105" s="597"/>
      <c r="W105" s="822"/>
      <c r="X105" s="822"/>
      <c r="Y105" s="597"/>
      <c r="Z105" s="822">
        <v>-0.09</v>
      </c>
      <c r="AA105" s="822">
        <v>-0.53</v>
      </c>
      <c r="AB105" s="591">
        <f t="shared" ref="AB105" si="42">IF(Z105=0, "    ---- ", IF(ABS(ROUND(100/Z105*AA105-100,1))&lt;999,ROUND(100/Z105*AA105-100,1),IF(ROUND(100/Z105*AA105-100,1)&gt;999,999,-999)))</f>
        <v>488.9</v>
      </c>
      <c r="AC105" s="822"/>
      <c r="AD105" s="822"/>
      <c r="AE105" s="597"/>
      <c r="AF105" s="822"/>
      <c r="AG105" s="822"/>
      <c r="AH105" s="597"/>
      <c r="AI105" s="822"/>
      <c r="AJ105" s="822"/>
      <c r="AK105" s="591"/>
      <c r="AL105" s="822"/>
      <c r="AM105" s="822"/>
      <c r="AN105" s="597"/>
      <c r="AO105" s="593">
        <f t="shared" si="38"/>
        <v>-0.09</v>
      </c>
      <c r="AP105" s="593">
        <f t="shared" si="39"/>
        <v>-0.53</v>
      </c>
      <c r="AQ105" s="597">
        <f t="shared" si="36"/>
        <v>488.9</v>
      </c>
      <c r="AR105" s="593">
        <f t="shared" si="40"/>
        <v>-0.09</v>
      </c>
      <c r="AS105" s="593">
        <f t="shared" si="41"/>
        <v>-0.53</v>
      </c>
      <c r="AT105" s="597">
        <f t="shared" si="37"/>
        <v>488.9</v>
      </c>
    </row>
    <row r="106" spans="1:46" s="595" customFormat="1" ht="18.75" customHeight="1" x14ac:dyDescent="0.3">
      <c r="A106" s="583" t="s">
        <v>374</v>
      </c>
      <c r="B106" s="820">
        <f>SUM(B98:B103)+B105</f>
        <v>3.8679999999999999</v>
      </c>
      <c r="C106" s="820">
        <f>SUM(C98:C103)+C105</f>
        <v>8.7079999999999984</v>
      </c>
      <c r="D106" s="598">
        <f>IF(B106=0, "    ---- ", IF(ABS(ROUND(100/B106*C106-100,1))&lt;999,ROUND(100/B106*C106-100,1),IF(ROUND(100/B106*C106-100,1)&gt;999,999,-999)))</f>
        <v>125.1</v>
      </c>
      <c r="E106" s="820"/>
      <c r="F106" s="820"/>
      <c r="G106" s="599"/>
      <c r="H106" s="820">
        <f>SUM(H98:H103)+H105</f>
        <v>588</v>
      </c>
      <c r="I106" s="820">
        <f>SUM(I98:I103)+I105</f>
        <v>729.812141</v>
      </c>
      <c r="J106" s="586">
        <f>IF(H106=0, "    ---- ", IF(ABS(ROUND(100/H106*I106-100,1))&lt;999,ROUND(100/H106*I106-100,1),IF(ROUND(100/H106*I106-100,1)&gt;999,999,-999)))</f>
        <v>24.1</v>
      </c>
      <c r="K106" s="820"/>
      <c r="L106" s="820"/>
      <c r="M106" s="599"/>
      <c r="N106" s="820"/>
      <c r="O106" s="820"/>
      <c r="P106" s="599"/>
      <c r="Q106" s="820">
        <f>SUM(Q98:Q103)+Q105</f>
        <v>0.30000000000000027</v>
      </c>
      <c r="R106" s="820">
        <f>SUM(R98:R103)+R105</f>
        <v>-7.6999999999999993</v>
      </c>
      <c r="S106" s="598">
        <f>IF(Q106=0, "    ---- ", IF(ABS(ROUND(100/Q106*R106-100,1))&lt;999,ROUND(100/Q106*R106-100,1),IF(ROUND(100/Q106*R106-100,1)&gt;999,999,-999)))</f>
        <v>-999</v>
      </c>
      <c r="T106" s="820"/>
      <c r="U106" s="820"/>
      <c r="V106" s="599"/>
      <c r="W106" s="820"/>
      <c r="X106" s="820"/>
      <c r="Y106" s="599"/>
      <c r="Z106" s="820">
        <f>SUM(Z98:Z103)+Z105</f>
        <v>17.14</v>
      </c>
      <c r="AA106" s="820">
        <f>SUM(AA98:AA103)+AA105</f>
        <v>32.97</v>
      </c>
      <c r="AB106" s="586">
        <f t="shared" si="22"/>
        <v>92.4</v>
      </c>
      <c r="AC106" s="820"/>
      <c r="AD106" s="820"/>
      <c r="AE106" s="599"/>
      <c r="AF106" s="820">
        <f>SUM(AF98:AF103)+AF105</f>
        <v>14.7300291669755</v>
      </c>
      <c r="AG106" s="820">
        <f>SUM(AG98:AG103)+AG105</f>
        <v>14.561627166047838</v>
      </c>
      <c r="AH106" s="599">
        <f>IF(AF106=0, "    ---- ", IF(ABS(ROUND(100/AF106*AG106-100,1))&lt;999,ROUND(100/AF106*AG106-100,1),IF(ROUND(100/AF106*AG106-100,1)&gt;999,999,-999)))</f>
        <v>-1.1000000000000001</v>
      </c>
      <c r="AI106" s="820">
        <f>SUM(AI98:AI103)+AI105</f>
        <v>2</v>
      </c>
      <c r="AJ106" s="820">
        <f>SUM(AJ98:AJ103)+AJ105</f>
        <v>5</v>
      </c>
      <c r="AK106" s="586">
        <f>IF(AI106=0, "    ---- ", IF(ABS(ROUND(100/AI106*AJ106-100,1))&lt;999,ROUND(100/AI106*AJ106-100,1),IF(ROUND(100/AI106*AJ106-100,1)&gt;999,999,-999)))</f>
        <v>150</v>
      </c>
      <c r="AL106" s="820">
        <f>SUM(AL98:AL103)+AL105</f>
        <v>-3</v>
      </c>
      <c r="AM106" s="820">
        <f>SUM(AM98:AM103)+AM105</f>
        <v>19</v>
      </c>
      <c r="AN106" s="599">
        <f>IF(AL106=0, "    ---- ", IF(ABS(ROUND(100/AL106*AM106-100,1))&lt;999,ROUND(100/AL106*AM106-100,1),IF(ROUND(100/AL106*AM106-100,1)&gt;999,999,-999)))</f>
        <v>-733.3</v>
      </c>
      <c r="AO106" s="594">
        <f t="shared" si="38"/>
        <v>608.30799999999999</v>
      </c>
      <c r="AP106" s="594">
        <f t="shared" si="39"/>
        <v>787.79014099999995</v>
      </c>
      <c r="AQ106" s="599">
        <f t="shared" si="36"/>
        <v>29.5</v>
      </c>
      <c r="AR106" s="594">
        <f t="shared" si="40"/>
        <v>623.03802916697555</v>
      </c>
      <c r="AS106" s="594">
        <f t="shared" si="41"/>
        <v>802.3517681660478</v>
      </c>
      <c r="AT106" s="599">
        <f t="shared" si="37"/>
        <v>28.8</v>
      </c>
    </row>
    <row r="107" spans="1:46" s="563" customFormat="1" ht="18.75" customHeight="1" x14ac:dyDescent="0.35">
      <c r="A107" s="588" t="s">
        <v>375</v>
      </c>
      <c r="B107" s="822"/>
      <c r="C107" s="822"/>
      <c r="D107" s="596"/>
      <c r="E107" s="822"/>
      <c r="F107" s="822"/>
      <c r="G107" s="597"/>
      <c r="H107" s="822">
        <v>567</v>
      </c>
      <c r="I107" s="822">
        <v>713.96371999999997</v>
      </c>
      <c r="J107" s="591">
        <f>IF(H107=0, "    ---- ", IF(ABS(ROUND(100/H107*I107-100,1))&lt;999,ROUND(100/H107*I107-100,1),IF(ROUND(100/H107*I107-100,1)&gt;999,999,-999)))</f>
        <v>25.9</v>
      </c>
      <c r="K107" s="822"/>
      <c r="L107" s="822"/>
      <c r="M107" s="597"/>
      <c r="N107" s="822"/>
      <c r="O107" s="822"/>
      <c r="P107" s="597"/>
      <c r="Q107" s="822"/>
      <c r="R107" s="822"/>
      <c r="S107" s="596"/>
      <c r="T107" s="822"/>
      <c r="U107" s="822"/>
      <c r="V107" s="597"/>
      <c r="W107" s="822"/>
      <c r="X107" s="822"/>
      <c r="Y107" s="597"/>
      <c r="Z107" s="822"/>
      <c r="AA107" s="822">
        <v>0</v>
      </c>
      <c r="AB107" s="591" t="str">
        <f t="shared" si="22"/>
        <v xml:space="preserve">    ---- </v>
      </c>
      <c r="AC107" s="822"/>
      <c r="AD107" s="822"/>
      <c r="AE107" s="597"/>
      <c r="AF107" s="822"/>
      <c r="AG107" s="822"/>
      <c r="AH107" s="597"/>
      <c r="AI107" s="822"/>
      <c r="AJ107" s="822"/>
      <c r="AK107" s="591"/>
      <c r="AL107" s="822"/>
      <c r="AM107" s="822"/>
      <c r="AN107" s="597"/>
      <c r="AO107" s="593">
        <f t="shared" si="38"/>
        <v>567</v>
      </c>
      <c r="AP107" s="593">
        <f t="shared" si="39"/>
        <v>713.96371999999997</v>
      </c>
      <c r="AQ107" s="597">
        <f t="shared" si="36"/>
        <v>25.9</v>
      </c>
      <c r="AR107" s="593">
        <f t="shared" si="40"/>
        <v>567</v>
      </c>
      <c r="AS107" s="593">
        <f t="shared" si="41"/>
        <v>713.96371999999997</v>
      </c>
      <c r="AT107" s="597">
        <f t="shared" si="37"/>
        <v>25.9</v>
      </c>
    </row>
    <row r="108" spans="1:46" s="563" customFormat="1" ht="18.75" customHeight="1" x14ac:dyDescent="0.35">
      <c r="A108" s="600" t="s">
        <v>376</v>
      </c>
      <c r="B108" s="823">
        <v>3.8679999999999999</v>
      </c>
      <c r="C108" s="823">
        <v>8.7080000000000002</v>
      </c>
      <c r="D108" s="601">
        <f>IF(B108=0, "    ---- ", IF(ABS(ROUND(100/B108*C108-100,1))&lt;999,ROUND(100/B108*C108-100,1),IF(ROUND(100/B108*C108-100,1)&gt;999,999,-999)))</f>
        <v>125.1</v>
      </c>
      <c r="E108" s="823"/>
      <c r="F108" s="823"/>
      <c r="G108" s="603"/>
      <c r="H108" s="823">
        <v>21</v>
      </c>
      <c r="I108" s="823">
        <v>15.84842100000003</v>
      </c>
      <c r="J108" s="602">
        <f>IF(H108=0, "    ---- ", IF(ABS(ROUND(100/H108*I108-100,1))&lt;999,ROUND(100/H108*I108-100,1),IF(ROUND(100/H108*I108-100,1)&gt;999,999,-999)))</f>
        <v>-24.5</v>
      </c>
      <c r="K108" s="823"/>
      <c r="L108" s="823"/>
      <c r="M108" s="603"/>
      <c r="N108" s="823"/>
      <c r="O108" s="823"/>
      <c r="P108" s="603"/>
      <c r="Q108" s="823">
        <v>0.2</v>
      </c>
      <c r="R108" s="823">
        <v>-7.7</v>
      </c>
      <c r="S108" s="601">
        <f>IF(Q108=0, "    ---- ", IF(ABS(ROUND(100/Q108*R108-100,1))&lt;999,ROUND(100/Q108*R108-100,1),IF(ROUND(100/Q108*R108-100,1)&gt;999,999,-999)))</f>
        <v>-999</v>
      </c>
      <c r="T108" s="823"/>
      <c r="U108" s="823"/>
      <c r="V108" s="603"/>
      <c r="W108" s="823"/>
      <c r="X108" s="823"/>
      <c r="Y108" s="603"/>
      <c r="Z108" s="823">
        <v>17.14</v>
      </c>
      <c r="AA108" s="823">
        <v>32.979999999999997</v>
      </c>
      <c r="AB108" s="602">
        <f t="shared" si="22"/>
        <v>92.4</v>
      </c>
      <c r="AC108" s="823"/>
      <c r="AD108" s="823"/>
      <c r="AE108" s="603"/>
      <c r="AF108" s="823">
        <v>15</v>
      </c>
      <c r="AG108" s="823">
        <v>14.561627166047838</v>
      </c>
      <c r="AH108" s="603">
        <f>IF(AF108=0, "    ---- ", IF(ABS(ROUND(100/AF108*AG108-100,1))&lt;999,ROUND(100/AF108*AG108-100,1),IF(ROUND(100/AF108*AG108-100,1)&gt;999,999,-999)))</f>
        <v>-2.9</v>
      </c>
      <c r="AI108" s="823">
        <v>2</v>
      </c>
      <c r="AJ108" s="823">
        <v>5</v>
      </c>
      <c r="AK108" s="602">
        <f>IF(AI108=0, "    ---- ", IF(ABS(ROUND(100/AI108*AJ108-100,1))&lt;999,ROUND(100/AI108*AJ108-100,1),IF(ROUND(100/AI108*AJ108-100,1)&gt;999,999,-999)))</f>
        <v>150</v>
      </c>
      <c r="AL108" s="823">
        <v>-3</v>
      </c>
      <c r="AM108" s="823">
        <v>19</v>
      </c>
      <c r="AN108" s="603">
        <f>IF(AL108=0, "    ---- ", IF(ABS(ROUND(100/AL108*AM108-100,1))&lt;999,ROUND(100/AL108*AM108-100,1),IF(ROUND(100/AL108*AM108-100,1)&gt;999,999,-999)))</f>
        <v>-733.3</v>
      </c>
      <c r="AO108" s="602">
        <f t="shared" si="38"/>
        <v>41.207999999999998</v>
      </c>
      <c r="AP108" s="602">
        <f t="shared" si="39"/>
        <v>73.83642100000003</v>
      </c>
      <c r="AQ108" s="603">
        <f t="shared" si="36"/>
        <v>79.2</v>
      </c>
      <c r="AR108" s="602">
        <f t="shared" si="40"/>
        <v>56.207999999999998</v>
      </c>
      <c r="AS108" s="602">
        <f t="shared" si="41"/>
        <v>88.398048166047872</v>
      </c>
      <c r="AT108" s="603">
        <f t="shared" si="37"/>
        <v>57.3</v>
      </c>
    </row>
    <row r="109" spans="1:46" s="563" customFormat="1" ht="18.75" customHeight="1" x14ac:dyDescent="0.35">
      <c r="A109" s="563" t="s">
        <v>252</v>
      </c>
      <c r="B109" s="611"/>
      <c r="C109" s="611"/>
      <c r="D109" s="611"/>
      <c r="E109" s="611"/>
      <c r="F109" s="611"/>
      <c r="G109" s="611"/>
      <c r="H109" s="612"/>
      <c r="I109" s="611"/>
      <c r="J109" s="611"/>
      <c r="K109" s="611"/>
      <c r="L109" s="611"/>
      <c r="M109" s="611"/>
      <c r="N109" s="611"/>
      <c r="O109" s="611"/>
      <c r="P109" s="611"/>
      <c r="Q109" s="611"/>
      <c r="R109" s="611"/>
      <c r="S109" s="611"/>
      <c r="T109" s="611"/>
      <c r="U109" s="611"/>
      <c r="V109" s="611"/>
      <c r="W109" s="611"/>
      <c r="X109" s="611"/>
      <c r="Y109" s="611"/>
      <c r="Z109" s="611"/>
      <c r="AA109" s="611"/>
      <c r="AB109" s="611"/>
      <c r="AC109" s="611"/>
      <c r="AD109" s="611"/>
      <c r="AE109" s="611"/>
      <c r="AF109" s="611"/>
      <c r="AG109" s="611"/>
      <c r="AH109" s="611"/>
      <c r="AI109" s="611"/>
      <c r="AJ109" s="611"/>
      <c r="AK109" s="611"/>
      <c r="AL109" s="611"/>
      <c r="AM109" s="611"/>
      <c r="AN109" s="611"/>
      <c r="AO109" s="611"/>
      <c r="AP109" s="611"/>
      <c r="AQ109" s="611"/>
      <c r="AR109" s="611"/>
      <c r="AS109" s="611"/>
      <c r="AT109" s="611"/>
    </row>
    <row r="110" spans="1:46" ht="18" x14ac:dyDescent="0.35">
      <c r="A110" s="563"/>
    </row>
    <row r="111" spans="1:46" ht="18" x14ac:dyDescent="0.35">
      <c r="A111" s="563"/>
    </row>
    <row r="112" spans="1:46" ht="18" x14ac:dyDescent="0.35">
      <c r="A112" s="563"/>
    </row>
    <row r="113" spans="1:1" ht="18" x14ac:dyDescent="0.35">
      <c r="A113" s="563"/>
    </row>
    <row r="114" spans="1:1" ht="18" x14ac:dyDescent="0.35">
      <c r="A114" s="563"/>
    </row>
    <row r="115" spans="1:1" ht="18" x14ac:dyDescent="0.35">
      <c r="A115" s="563"/>
    </row>
    <row r="116" spans="1:1" ht="18" x14ac:dyDescent="0.35">
      <c r="A116" s="563"/>
    </row>
    <row r="117" spans="1:1" ht="18" x14ac:dyDescent="0.35">
      <c r="A117" s="563"/>
    </row>
    <row r="118" spans="1:1" ht="18" x14ac:dyDescent="0.35">
      <c r="A118" s="563"/>
    </row>
    <row r="119" spans="1:1" ht="18" x14ac:dyDescent="0.35">
      <c r="A119" s="563"/>
    </row>
    <row r="120" spans="1:1" ht="18" x14ac:dyDescent="0.35">
      <c r="A120" s="563"/>
    </row>
    <row r="121" spans="1:1" ht="18" x14ac:dyDescent="0.35">
      <c r="A121" s="563"/>
    </row>
    <row r="122" spans="1:1" ht="18" x14ac:dyDescent="0.35">
      <c r="A122" s="563"/>
    </row>
    <row r="123" spans="1:1" ht="18" x14ac:dyDescent="0.35">
      <c r="A123" s="563"/>
    </row>
    <row r="124" spans="1:1" ht="18" x14ac:dyDescent="0.35">
      <c r="A124" s="563"/>
    </row>
    <row r="125" spans="1:1" ht="18" x14ac:dyDescent="0.35">
      <c r="A125" s="563"/>
    </row>
    <row r="126" spans="1:1" ht="18" x14ac:dyDescent="0.35">
      <c r="A126" s="563"/>
    </row>
    <row r="127" spans="1:1" ht="18" x14ac:dyDescent="0.35">
      <c r="A127" s="563"/>
    </row>
    <row r="128" spans="1:1" ht="18" x14ac:dyDescent="0.35">
      <c r="A128" s="563"/>
    </row>
    <row r="129" spans="1:1" ht="18" x14ac:dyDescent="0.35">
      <c r="A129" s="563"/>
    </row>
    <row r="130" spans="1:1" ht="18" x14ac:dyDescent="0.35">
      <c r="A130" s="563"/>
    </row>
    <row r="131" spans="1:1" ht="18" x14ac:dyDescent="0.35">
      <c r="A131" s="563"/>
    </row>
    <row r="132" spans="1:1" ht="18" x14ac:dyDescent="0.35">
      <c r="A132" s="563"/>
    </row>
    <row r="133" spans="1:1" ht="18" x14ac:dyDescent="0.35">
      <c r="A133" s="563"/>
    </row>
    <row r="134" spans="1:1" ht="18" x14ac:dyDescent="0.35">
      <c r="A134" s="563"/>
    </row>
    <row r="135" spans="1:1" ht="18" x14ac:dyDescent="0.35">
      <c r="A135" s="563"/>
    </row>
    <row r="136" spans="1:1" ht="18" x14ac:dyDescent="0.35">
      <c r="A136" s="563"/>
    </row>
    <row r="137" spans="1:1" ht="18" x14ac:dyDescent="0.35">
      <c r="A137" s="563"/>
    </row>
    <row r="138" spans="1:1" ht="18" x14ac:dyDescent="0.35">
      <c r="A138" s="563"/>
    </row>
    <row r="139" spans="1:1" ht="18" x14ac:dyDescent="0.35">
      <c r="A139" s="563"/>
    </row>
    <row r="140" spans="1:1" ht="18" x14ac:dyDescent="0.35">
      <c r="A140" s="563"/>
    </row>
    <row r="141" spans="1:1" ht="18" x14ac:dyDescent="0.35">
      <c r="A141" s="563"/>
    </row>
    <row r="142" spans="1:1" ht="18" x14ac:dyDescent="0.35">
      <c r="A142" s="563"/>
    </row>
    <row r="143" spans="1:1" ht="18" x14ac:dyDescent="0.35">
      <c r="A143" s="563"/>
    </row>
    <row r="144" spans="1:1" ht="18" x14ac:dyDescent="0.35">
      <c r="A144" s="563"/>
    </row>
    <row r="145" spans="1:1" ht="18" x14ac:dyDescent="0.35">
      <c r="A145" s="563"/>
    </row>
    <row r="146" spans="1:1" ht="18" x14ac:dyDescent="0.35">
      <c r="A146" s="563"/>
    </row>
    <row r="147" spans="1:1" ht="18" x14ac:dyDescent="0.35">
      <c r="A147" s="563"/>
    </row>
    <row r="148" spans="1:1" ht="18" x14ac:dyDescent="0.35">
      <c r="A148" s="563"/>
    </row>
    <row r="149" spans="1:1" ht="18" x14ac:dyDescent="0.35">
      <c r="A149" s="563"/>
    </row>
    <row r="150" spans="1:1" ht="18" x14ac:dyDescent="0.35">
      <c r="A150" s="563"/>
    </row>
    <row r="151" spans="1:1" ht="18" x14ac:dyDescent="0.35">
      <c r="A151" s="563"/>
    </row>
    <row r="152" spans="1:1" ht="18" x14ac:dyDescent="0.35">
      <c r="A152" s="563"/>
    </row>
    <row r="153" spans="1:1" ht="18" x14ac:dyDescent="0.35">
      <c r="A153" s="563"/>
    </row>
    <row r="154" spans="1:1" ht="18" x14ac:dyDescent="0.35">
      <c r="A154" s="563"/>
    </row>
    <row r="155" spans="1:1" ht="18" x14ac:dyDescent="0.35">
      <c r="A155" s="563"/>
    </row>
    <row r="156" spans="1:1" ht="18" x14ac:dyDescent="0.35">
      <c r="A156" s="563"/>
    </row>
    <row r="157" spans="1:1" ht="18" x14ac:dyDescent="0.35">
      <c r="A157" s="563"/>
    </row>
    <row r="158" spans="1:1" ht="18" x14ac:dyDescent="0.35">
      <c r="A158" s="563"/>
    </row>
    <row r="159" spans="1:1" ht="18" x14ac:dyDescent="0.35">
      <c r="A159" s="563"/>
    </row>
    <row r="160" spans="1:1" ht="18" x14ac:dyDescent="0.35">
      <c r="A160" s="563"/>
    </row>
    <row r="161" spans="1:1" ht="18" x14ac:dyDescent="0.35">
      <c r="A161" s="563"/>
    </row>
    <row r="162" spans="1:1" ht="18" x14ac:dyDescent="0.35">
      <c r="A162" s="563"/>
    </row>
    <row r="163" spans="1:1" ht="18" x14ac:dyDescent="0.35">
      <c r="A163" s="563"/>
    </row>
    <row r="164" spans="1:1" ht="18" x14ac:dyDescent="0.35">
      <c r="A164" s="563"/>
    </row>
    <row r="165" spans="1:1" ht="18" x14ac:dyDescent="0.35">
      <c r="A165" s="563"/>
    </row>
    <row r="166" spans="1:1" ht="18" x14ac:dyDescent="0.35">
      <c r="A166" s="563"/>
    </row>
    <row r="167" spans="1:1" ht="18" x14ac:dyDescent="0.35">
      <c r="A167" s="563"/>
    </row>
    <row r="168" spans="1:1" ht="18" x14ac:dyDescent="0.35">
      <c r="A168" s="563"/>
    </row>
    <row r="169" spans="1:1" ht="18" x14ac:dyDescent="0.35">
      <c r="A169" s="563"/>
    </row>
    <row r="170" spans="1:1" ht="18" x14ac:dyDescent="0.35">
      <c r="A170" s="563"/>
    </row>
    <row r="171" spans="1:1" ht="18" x14ac:dyDescent="0.35">
      <c r="A171" s="563"/>
    </row>
    <row r="172" spans="1:1" ht="18" x14ac:dyDescent="0.35">
      <c r="A172" s="563"/>
    </row>
    <row r="173" spans="1:1" ht="18" x14ac:dyDescent="0.35">
      <c r="A173" s="563"/>
    </row>
    <row r="174" spans="1:1" ht="18" x14ac:dyDescent="0.35">
      <c r="A174" s="563"/>
    </row>
    <row r="175" spans="1:1" ht="18" x14ac:dyDescent="0.35">
      <c r="A175" s="563"/>
    </row>
    <row r="176" spans="1:1" ht="18" x14ac:dyDescent="0.35">
      <c r="A176" s="563"/>
    </row>
    <row r="177" spans="1:1" ht="18" x14ac:dyDescent="0.35">
      <c r="A177" s="563"/>
    </row>
    <row r="178" spans="1:1" ht="18" x14ac:dyDescent="0.35">
      <c r="A178" s="563"/>
    </row>
    <row r="179" spans="1:1" ht="18" x14ac:dyDescent="0.35">
      <c r="A179" s="563"/>
    </row>
    <row r="180" spans="1:1" ht="18" x14ac:dyDescent="0.35">
      <c r="A180" s="563"/>
    </row>
    <row r="181" spans="1:1" ht="18" x14ac:dyDescent="0.35">
      <c r="A181" s="563"/>
    </row>
    <row r="182" spans="1:1" ht="18" x14ac:dyDescent="0.35">
      <c r="A182" s="563"/>
    </row>
    <row r="183" spans="1:1" ht="18" x14ac:dyDescent="0.35">
      <c r="A183" s="563"/>
    </row>
    <row r="184" spans="1:1" ht="18" x14ac:dyDescent="0.35">
      <c r="A184" s="563"/>
    </row>
    <row r="185" spans="1:1" ht="18" x14ac:dyDescent="0.35">
      <c r="A185" s="563"/>
    </row>
    <row r="186" spans="1:1" ht="18" x14ac:dyDescent="0.35">
      <c r="A186" s="563"/>
    </row>
    <row r="187" spans="1:1" ht="18" x14ac:dyDescent="0.35">
      <c r="A187" s="563"/>
    </row>
    <row r="188" spans="1:1" ht="18" x14ac:dyDescent="0.35">
      <c r="A188" s="563"/>
    </row>
    <row r="189" spans="1:1" ht="18" x14ac:dyDescent="0.35">
      <c r="A189" s="563"/>
    </row>
  </sheetData>
  <mergeCells count="27">
    <mergeCell ref="AR6:AT6"/>
    <mergeCell ref="B6:D6"/>
    <mergeCell ref="H6:J6"/>
    <mergeCell ref="N6:P6"/>
    <mergeCell ref="Q6:S6"/>
    <mergeCell ref="T6:V6"/>
    <mergeCell ref="E6:G6"/>
    <mergeCell ref="K6:M6"/>
    <mergeCell ref="AC6:AE6"/>
    <mergeCell ref="AI6:AK6"/>
    <mergeCell ref="AL6:AN6"/>
    <mergeCell ref="AO6:AQ6"/>
    <mergeCell ref="B7:D7"/>
    <mergeCell ref="H7:J7"/>
    <mergeCell ref="N7:P7"/>
    <mergeCell ref="Q7:S7"/>
    <mergeCell ref="T7:V7"/>
    <mergeCell ref="K7:M7"/>
    <mergeCell ref="AO7:AQ7"/>
    <mergeCell ref="AR7:AT7"/>
    <mergeCell ref="E7:G7"/>
    <mergeCell ref="Z7:AB7"/>
    <mergeCell ref="AC7:AE7"/>
    <mergeCell ref="AF7:AH7"/>
    <mergeCell ref="AI7:AK7"/>
    <mergeCell ref="W7:Y7"/>
    <mergeCell ref="AL7:AN7"/>
  </mergeCells>
  <conditionalFormatting sqref="E20">
    <cfRule type="expression" dxfId="889" priority="577">
      <formula>#REF!="20≠21+22"</formula>
    </cfRule>
    <cfRule type="expression" dxfId="888" priority="578">
      <formula>#REF!="20≠12+13+14+15+16+17+19"</formula>
    </cfRule>
  </conditionalFormatting>
  <conditionalFormatting sqref="E32">
    <cfRule type="expression" dxfId="887" priority="579">
      <formula>#REF!="32≠33+34"</formula>
    </cfRule>
  </conditionalFormatting>
  <conditionalFormatting sqref="E44">
    <cfRule type="expression" dxfId="886" priority="580">
      <formula>#REF!="44≠45+46"</formula>
    </cfRule>
  </conditionalFormatting>
  <conditionalFormatting sqref="E56">
    <cfRule type="expression" dxfId="885" priority="581">
      <formula>#REF!="56≠57+58"</formula>
    </cfRule>
  </conditionalFormatting>
  <conditionalFormatting sqref="E70">
    <cfRule type="expression" dxfId="884" priority="582">
      <formula>#REF!="70≠62+63+64+65+66+67+69"</formula>
    </cfRule>
  </conditionalFormatting>
  <conditionalFormatting sqref="E82">
    <cfRule type="expression" dxfId="883" priority="583">
      <formula>#REF!="82≠83+84"</formula>
    </cfRule>
  </conditionalFormatting>
  <conditionalFormatting sqref="E94">
    <cfRule type="expression" dxfId="882" priority="584">
      <formula>#REF!="94≠95+96"</formula>
    </cfRule>
  </conditionalFormatting>
  <conditionalFormatting sqref="E106">
    <cfRule type="expression" dxfId="881" priority="585">
      <formula>#REF!="106≠107+108"</formula>
    </cfRule>
  </conditionalFormatting>
  <conditionalFormatting sqref="E32">
    <cfRule type="expression" dxfId="880" priority="586">
      <formula>#REF!="32≠24+25+26+27+28+29+31"</formula>
    </cfRule>
  </conditionalFormatting>
  <conditionalFormatting sqref="E44">
    <cfRule type="expression" dxfId="879" priority="587">
      <formula>#REF!="44≠36+37+38+39+40+41+43"</formula>
    </cfRule>
  </conditionalFormatting>
  <conditionalFormatting sqref="E56">
    <cfRule type="expression" dxfId="878" priority="588">
      <formula>#REF!="56≠48+49+50+51+52+53+55"</formula>
    </cfRule>
  </conditionalFormatting>
  <conditionalFormatting sqref="E70">
    <cfRule type="expression" dxfId="877" priority="589">
      <formula>#REF!="70≠71+72"</formula>
    </cfRule>
  </conditionalFormatting>
  <conditionalFormatting sqref="E82">
    <cfRule type="expression" dxfId="876" priority="590">
      <formula>#REF!="82≠74+75+76+77+78+79+81"</formula>
    </cfRule>
  </conditionalFormatting>
  <conditionalFormatting sqref="E94">
    <cfRule type="expression" dxfId="875" priority="591">
      <formula>#REF!="94≠86+87+88+89+90+91+93"</formula>
    </cfRule>
  </conditionalFormatting>
  <conditionalFormatting sqref="E106">
    <cfRule type="expression" dxfId="874" priority="592">
      <formula>#REF!="106≠98+99+100+101+102+103+105"</formula>
    </cfRule>
  </conditionalFormatting>
  <conditionalFormatting sqref="B20">
    <cfRule type="expression" dxfId="873" priority="353">
      <formula>#REF!="20≠21+22"</formula>
    </cfRule>
    <cfRule type="expression" dxfId="872" priority="354">
      <formula>#REF!="20≠12+13+14+15+16+17+19"</formula>
    </cfRule>
  </conditionalFormatting>
  <conditionalFormatting sqref="B32">
    <cfRule type="expression" dxfId="871" priority="355">
      <formula>#REF!="32≠33+34"</formula>
    </cfRule>
  </conditionalFormatting>
  <conditionalFormatting sqref="B44">
    <cfRule type="expression" dxfId="870" priority="356">
      <formula>#REF!="44≠45+46"</formula>
    </cfRule>
  </conditionalFormatting>
  <conditionalFormatting sqref="B56">
    <cfRule type="expression" dxfId="869" priority="357">
      <formula>#REF!="56≠57+58"</formula>
    </cfRule>
  </conditionalFormatting>
  <conditionalFormatting sqref="B70">
    <cfRule type="expression" dxfId="868" priority="358">
      <formula>#REF!="70≠62+63+64+65+66+67+69"</formula>
    </cfRule>
  </conditionalFormatting>
  <conditionalFormatting sqref="B82">
    <cfRule type="expression" dxfId="867" priority="359">
      <formula>#REF!="82≠83+84"</formula>
    </cfRule>
  </conditionalFormatting>
  <conditionalFormatting sqref="B94">
    <cfRule type="expression" dxfId="866" priority="360">
      <formula>#REF!="94≠95+96"</formula>
    </cfRule>
  </conditionalFormatting>
  <conditionalFormatting sqref="B106">
    <cfRule type="expression" dxfId="865" priority="361">
      <formula>#REF!="106≠107+108"</formula>
    </cfRule>
  </conditionalFormatting>
  <conditionalFormatting sqref="B32">
    <cfRule type="expression" dxfId="864" priority="362">
      <formula>#REF!="32≠24+25+26+27+28+29+31"</formula>
    </cfRule>
  </conditionalFormatting>
  <conditionalFormatting sqref="B44">
    <cfRule type="expression" dxfId="863" priority="363">
      <formula>#REF!="44≠36+37+38+39+40+41+43"</formula>
    </cfRule>
  </conditionalFormatting>
  <conditionalFormatting sqref="B56">
    <cfRule type="expression" dxfId="862" priority="364">
      <formula>#REF!="56≠48+49+50+51+52+53+55"</formula>
    </cfRule>
  </conditionalFormatting>
  <conditionalFormatting sqref="B70">
    <cfRule type="expression" dxfId="861" priority="365">
      <formula>#REF!="70≠71+72"</formula>
    </cfRule>
  </conditionalFormatting>
  <conditionalFormatting sqref="B82">
    <cfRule type="expression" dxfId="860" priority="366">
      <formula>#REF!="82≠74+75+76+77+78+79+81"</formula>
    </cfRule>
  </conditionalFormatting>
  <conditionalFormatting sqref="B94">
    <cfRule type="expression" dxfId="859" priority="367">
      <formula>#REF!="94≠86+87+88+89+90+91+93"</formula>
    </cfRule>
  </conditionalFormatting>
  <conditionalFormatting sqref="B106">
    <cfRule type="expression" dxfId="858" priority="368">
      <formula>#REF!="106≠98+99+100+101+102+103+105"</formula>
    </cfRule>
  </conditionalFormatting>
  <conditionalFormatting sqref="H20">
    <cfRule type="expression" dxfId="857" priority="321">
      <formula>#REF!="20≠21+22"</formula>
    </cfRule>
    <cfRule type="expression" dxfId="856" priority="322">
      <formula>#REF!="20≠12+13+14+15+16+17+19"</formula>
    </cfRule>
  </conditionalFormatting>
  <conditionalFormatting sqref="H32">
    <cfRule type="expression" dxfId="855" priority="323">
      <formula>#REF!="32≠33+34"</formula>
    </cfRule>
  </conditionalFormatting>
  <conditionalFormatting sqref="H44">
    <cfRule type="expression" dxfId="854" priority="324">
      <formula>#REF!="44≠45+46"</formula>
    </cfRule>
  </conditionalFormatting>
  <conditionalFormatting sqref="H56">
    <cfRule type="expression" dxfId="853" priority="325">
      <formula>#REF!="56≠57+58"</formula>
    </cfRule>
  </conditionalFormatting>
  <conditionalFormatting sqref="H70">
    <cfRule type="expression" dxfId="852" priority="326">
      <formula>#REF!="70≠62+63+64+65+66+67+69"</formula>
    </cfRule>
  </conditionalFormatting>
  <conditionalFormatting sqref="H82">
    <cfRule type="expression" dxfId="851" priority="327">
      <formula>#REF!="82≠83+84"</formula>
    </cfRule>
  </conditionalFormatting>
  <conditionalFormatting sqref="H94">
    <cfRule type="expression" dxfId="850" priority="328">
      <formula>#REF!="94≠95+96"</formula>
    </cfRule>
  </conditionalFormatting>
  <conditionalFormatting sqref="H106">
    <cfRule type="expression" dxfId="849" priority="329">
      <formula>#REF!="106≠107+108"</formula>
    </cfRule>
  </conditionalFormatting>
  <conditionalFormatting sqref="H32">
    <cfRule type="expression" dxfId="848" priority="330">
      <formula>#REF!="32≠24+25+26+27+28+29+31"</formula>
    </cfRule>
  </conditionalFormatting>
  <conditionalFormatting sqref="H44">
    <cfRule type="expression" dxfId="847" priority="331">
      <formula>#REF!="44≠36+37+38+39+40+41+43"</formula>
    </cfRule>
  </conditionalFormatting>
  <conditionalFormatting sqref="H56">
    <cfRule type="expression" dxfId="846" priority="332">
      <formula>#REF!="56≠48+49+50+51+52+53+55"</formula>
    </cfRule>
  </conditionalFormatting>
  <conditionalFormatting sqref="H70">
    <cfRule type="expression" dxfId="845" priority="333">
      <formula>#REF!="70≠71+72"</formula>
    </cfRule>
  </conditionalFormatting>
  <conditionalFormatting sqref="H82">
    <cfRule type="expression" dxfId="844" priority="334">
      <formula>#REF!="82≠74+75+76+77+78+79+81"</formula>
    </cfRule>
  </conditionalFormatting>
  <conditionalFormatting sqref="H94">
    <cfRule type="expression" dxfId="843" priority="335">
      <formula>#REF!="94≠86+87+88+89+90+91+93"</formula>
    </cfRule>
  </conditionalFormatting>
  <conditionalFormatting sqref="H106">
    <cfRule type="expression" dxfId="842" priority="336">
      <formula>#REF!="106≠98+99+100+101+102+103+105"</formula>
    </cfRule>
  </conditionalFormatting>
  <conditionalFormatting sqref="K20">
    <cfRule type="expression" dxfId="841" priority="289">
      <formula>#REF!="20≠21+22"</formula>
    </cfRule>
    <cfRule type="expression" dxfId="840" priority="290">
      <formula>#REF!="20≠12+13+14+15+16+17+19"</formula>
    </cfRule>
  </conditionalFormatting>
  <conditionalFormatting sqref="K32">
    <cfRule type="expression" dxfId="839" priority="291">
      <formula>#REF!="32≠33+34"</formula>
    </cfRule>
  </conditionalFormatting>
  <conditionalFormatting sqref="K44">
    <cfRule type="expression" dxfId="838" priority="292">
      <formula>#REF!="44≠45+46"</formula>
    </cfRule>
  </conditionalFormatting>
  <conditionalFormatting sqref="K56">
    <cfRule type="expression" dxfId="837" priority="293">
      <formula>#REF!="56≠57+58"</formula>
    </cfRule>
  </conditionalFormatting>
  <conditionalFormatting sqref="K70">
    <cfRule type="expression" dxfId="836" priority="294">
      <formula>#REF!="70≠62+63+64+65+66+67+69"</formula>
    </cfRule>
  </conditionalFormatting>
  <conditionalFormatting sqref="K82">
    <cfRule type="expression" dxfId="835" priority="295">
      <formula>#REF!="82≠83+84"</formula>
    </cfRule>
  </conditionalFormatting>
  <conditionalFormatting sqref="K94">
    <cfRule type="expression" dxfId="834" priority="296">
      <formula>#REF!="94≠95+96"</formula>
    </cfRule>
  </conditionalFormatting>
  <conditionalFormatting sqref="K106">
    <cfRule type="expression" dxfId="833" priority="297">
      <formula>#REF!="106≠107+108"</formula>
    </cfRule>
  </conditionalFormatting>
  <conditionalFormatting sqref="K32">
    <cfRule type="expression" dxfId="832" priority="298">
      <formula>#REF!="32≠24+25+26+27+28+29+31"</formula>
    </cfRule>
  </conditionalFormatting>
  <conditionalFormatting sqref="K44">
    <cfRule type="expression" dxfId="831" priority="299">
      <formula>#REF!="44≠36+37+38+39+40+41+43"</formula>
    </cfRule>
  </conditionalFormatting>
  <conditionalFormatting sqref="K56">
    <cfRule type="expression" dxfId="830" priority="300">
      <formula>#REF!="56≠48+49+50+51+52+53+55"</formula>
    </cfRule>
  </conditionalFormatting>
  <conditionalFormatting sqref="K70">
    <cfRule type="expression" dxfId="829" priority="301">
      <formula>#REF!="70≠71+72"</formula>
    </cfRule>
  </conditionalFormatting>
  <conditionalFormatting sqref="K82">
    <cfRule type="expression" dxfId="828" priority="302">
      <formula>#REF!="82≠74+75+76+77+78+79+81"</formula>
    </cfRule>
  </conditionalFormatting>
  <conditionalFormatting sqref="K94">
    <cfRule type="expression" dxfId="827" priority="303">
      <formula>#REF!="94≠86+87+88+89+90+91+93"</formula>
    </cfRule>
  </conditionalFormatting>
  <conditionalFormatting sqref="K106">
    <cfRule type="expression" dxfId="826" priority="304">
      <formula>#REF!="106≠98+99+100+101+102+103+105"</formula>
    </cfRule>
  </conditionalFormatting>
  <conditionalFormatting sqref="N20">
    <cfRule type="expression" dxfId="825" priority="257">
      <formula>#REF!="20≠21+22"</formula>
    </cfRule>
    <cfRule type="expression" dxfId="824" priority="258">
      <formula>#REF!="20≠12+13+14+15+16+17+19"</formula>
    </cfRule>
  </conditionalFormatting>
  <conditionalFormatting sqref="N32">
    <cfRule type="expression" dxfId="823" priority="259">
      <formula>#REF!="32≠33+34"</formula>
    </cfRule>
  </conditionalFormatting>
  <conditionalFormatting sqref="N44">
    <cfRule type="expression" dxfId="822" priority="260">
      <formula>#REF!="44≠45+46"</formula>
    </cfRule>
  </conditionalFormatting>
  <conditionalFormatting sqref="N56">
    <cfRule type="expression" dxfId="821" priority="261">
      <formula>#REF!="56≠57+58"</formula>
    </cfRule>
  </conditionalFormatting>
  <conditionalFormatting sqref="N70">
    <cfRule type="expression" dxfId="820" priority="262">
      <formula>#REF!="70≠62+63+64+65+66+67+69"</formula>
    </cfRule>
  </conditionalFormatting>
  <conditionalFormatting sqref="N82">
    <cfRule type="expression" dxfId="819" priority="263">
      <formula>#REF!="82≠83+84"</formula>
    </cfRule>
  </conditionalFormatting>
  <conditionalFormatting sqref="N94">
    <cfRule type="expression" dxfId="818" priority="264">
      <formula>#REF!="94≠95+96"</formula>
    </cfRule>
  </conditionalFormatting>
  <conditionalFormatting sqref="N106">
    <cfRule type="expression" dxfId="817" priority="265">
      <formula>#REF!="106≠107+108"</formula>
    </cfRule>
  </conditionalFormatting>
  <conditionalFormatting sqref="N32">
    <cfRule type="expression" dxfId="816" priority="266">
      <formula>#REF!="32≠24+25+26+27+28+29+31"</formula>
    </cfRule>
  </conditionalFormatting>
  <conditionalFormatting sqref="N44">
    <cfRule type="expression" dxfId="815" priority="267">
      <formula>#REF!="44≠36+37+38+39+40+41+43"</formula>
    </cfRule>
  </conditionalFormatting>
  <conditionalFormatting sqref="N56">
    <cfRule type="expression" dxfId="814" priority="268">
      <formula>#REF!="56≠48+49+50+51+52+53+55"</formula>
    </cfRule>
  </conditionalFormatting>
  <conditionalFormatting sqref="N70">
    <cfRule type="expression" dxfId="813" priority="269">
      <formula>#REF!="70≠71+72"</formula>
    </cfRule>
  </conditionalFormatting>
  <conditionalFormatting sqref="N82">
    <cfRule type="expression" dxfId="812" priority="270">
      <formula>#REF!="82≠74+75+76+77+78+79+81"</formula>
    </cfRule>
  </conditionalFormatting>
  <conditionalFormatting sqref="N94">
    <cfRule type="expression" dxfId="811" priority="271">
      <formula>#REF!="94≠86+87+88+89+90+91+93"</formula>
    </cfRule>
  </conditionalFormatting>
  <conditionalFormatting sqref="N106">
    <cfRule type="expression" dxfId="810" priority="272">
      <formula>#REF!="106≠98+99+100+101+102+103+105"</formula>
    </cfRule>
  </conditionalFormatting>
  <conditionalFormatting sqref="Q20">
    <cfRule type="expression" dxfId="809" priority="225">
      <formula>#REF!="20≠21+22"</formula>
    </cfRule>
    <cfRule type="expression" dxfId="808" priority="226">
      <formula>#REF!="20≠12+13+14+15+16+17+19"</formula>
    </cfRule>
  </conditionalFormatting>
  <conditionalFormatting sqref="Q32">
    <cfRule type="expression" dxfId="807" priority="227">
      <formula>#REF!="32≠33+34"</formula>
    </cfRule>
  </conditionalFormatting>
  <conditionalFormatting sqref="Q44">
    <cfRule type="expression" dxfId="806" priority="228">
      <formula>#REF!="44≠45+46"</formula>
    </cfRule>
  </conditionalFormatting>
  <conditionalFormatting sqref="Q56">
    <cfRule type="expression" dxfId="805" priority="229">
      <formula>#REF!="56≠57+58"</formula>
    </cfRule>
  </conditionalFormatting>
  <conditionalFormatting sqref="Q70">
    <cfRule type="expression" dxfId="804" priority="230">
      <formula>#REF!="70≠62+63+64+65+66+67+69"</formula>
    </cfRule>
  </conditionalFormatting>
  <conditionalFormatting sqref="Q82">
    <cfRule type="expression" dxfId="803" priority="231">
      <formula>#REF!="82≠83+84"</formula>
    </cfRule>
  </conditionalFormatting>
  <conditionalFormatting sqref="Q94">
    <cfRule type="expression" dxfId="802" priority="232">
      <formula>#REF!="94≠95+96"</formula>
    </cfRule>
  </conditionalFormatting>
  <conditionalFormatting sqref="Q106">
    <cfRule type="expression" dxfId="801" priority="233">
      <formula>#REF!="106≠107+108"</formula>
    </cfRule>
  </conditionalFormatting>
  <conditionalFormatting sqref="Q32">
    <cfRule type="expression" dxfId="800" priority="234">
      <formula>#REF!="32≠24+25+26+27+28+29+31"</formula>
    </cfRule>
  </conditionalFormatting>
  <conditionalFormatting sqref="Q44">
    <cfRule type="expression" dxfId="799" priority="235">
      <formula>#REF!="44≠36+37+38+39+40+41+43"</formula>
    </cfRule>
  </conditionalFormatting>
  <conditionalFormatting sqref="Q56">
    <cfRule type="expression" dxfId="798" priority="236">
      <formula>#REF!="56≠48+49+50+51+52+53+55"</formula>
    </cfRule>
  </conditionalFormatting>
  <conditionalFormatting sqref="Q70">
    <cfRule type="expression" dxfId="797" priority="237">
      <formula>#REF!="70≠71+72"</formula>
    </cfRule>
  </conditionalFormatting>
  <conditionalFormatting sqref="Q82">
    <cfRule type="expression" dxfId="796" priority="238">
      <formula>#REF!="82≠74+75+76+77+78+79+81"</formula>
    </cfRule>
  </conditionalFormatting>
  <conditionalFormatting sqref="Q94">
    <cfRule type="expression" dxfId="795" priority="239">
      <formula>#REF!="94≠86+87+88+89+90+91+93"</formula>
    </cfRule>
  </conditionalFormatting>
  <conditionalFormatting sqref="Q106">
    <cfRule type="expression" dxfId="794" priority="240">
      <formula>#REF!="106≠98+99+100+101+102+103+105"</formula>
    </cfRule>
  </conditionalFormatting>
  <conditionalFormatting sqref="AF20">
    <cfRule type="expression" dxfId="793" priority="193">
      <formula>#REF!="20≠21+22"</formula>
    </cfRule>
    <cfRule type="expression" dxfId="792" priority="194">
      <formula>#REF!="20≠12+13+14+15+16+17+19"</formula>
    </cfRule>
  </conditionalFormatting>
  <conditionalFormatting sqref="AF32">
    <cfRule type="expression" dxfId="791" priority="195">
      <formula>#REF!="32≠33+34"</formula>
    </cfRule>
  </conditionalFormatting>
  <conditionalFormatting sqref="AF44">
    <cfRule type="expression" dxfId="790" priority="196">
      <formula>#REF!="44≠45+46"</formula>
    </cfRule>
  </conditionalFormatting>
  <conditionalFormatting sqref="AF56">
    <cfRule type="expression" dxfId="789" priority="197">
      <formula>#REF!="56≠57+58"</formula>
    </cfRule>
  </conditionalFormatting>
  <conditionalFormatting sqref="AF70">
    <cfRule type="expression" dxfId="788" priority="198">
      <formula>#REF!="70≠62+63+64+65+66+67+69"</formula>
    </cfRule>
  </conditionalFormatting>
  <conditionalFormatting sqref="AF82">
    <cfRule type="expression" dxfId="787" priority="199">
      <formula>#REF!="82≠83+84"</formula>
    </cfRule>
  </conditionalFormatting>
  <conditionalFormatting sqref="AF94">
    <cfRule type="expression" dxfId="786" priority="200">
      <formula>#REF!="94≠95+96"</formula>
    </cfRule>
  </conditionalFormatting>
  <conditionalFormatting sqref="AF106">
    <cfRule type="expression" dxfId="785" priority="201">
      <formula>#REF!="106≠107+108"</formula>
    </cfRule>
  </conditionalFormatting>
  <conditionalFormatting sqref="AF32">
    <cfRule type="expression" dxfId="784" priority="202">
      <formula>#REF!="32≠24+25+26+27+28+29+31"</formula>
    </cfRule>
  </conditionalFormatting>
  <conditionalFormatting sqref="AF44">
    <cfRule type="expression" dxfId="783" priority="203">
      <formula>#REF!="44≠36+37+38+39+40+41+43"</formula>
    </cfRule>
  </conditionalFormatting>
  <conditionalFormatting sqref="AF56">
    <cfRule type="expression" dxfId="782" priority="204">
      <formula>#REF!="56≠48+49+50+51+52+53+55"</formula>
    </cfRule>
  </conditionalFormatting>
  <conditionalFormatting sqref="AF70">
    <cfRule type="expression" dxfId="781" priority="205">
      <formula>#REF!="70≠71+72"</formula>
    </cfRule>
  </conditionalFormatting>
  <conditionalFormatting sqref="AF82">
    <cfRule type="expression" dxfId="780" priority="206">
      <formula>#REF!="82≠74+75+76+77+78+79+81"</formula>
    </cfRule>
  </conditionalFormatting>
  <conditionalFormatting sqref="AF94">
    <cfRule type="expression" dxfId="779" priority="207">
      <formula>#REF!="94≠86+87+88+89+90+91+93"</formula>
    </cfRule>
  </conditionalFormatting>
  <conditionalFormatting sqref="AF106">
    <cfRule type="expression" dxfId="778" priority="208">
      <formula>#REF!="106≠98+99+100+101+102+103+105"</formula>
    </cfRule>
  </conditionalFormatting>
  <conditionalFormatting sqref="T20">
    <cfRule type="expression" dxfId="777" priority="161">
      <formula>#REF!="20≠21+22"</formula>
    </cfRule>
    <cfRule type="expression" dxfId="776" priority="162">
      <formula>#REF!="20≠12+13+14+15+16+17+19"</formula>
    </cfRule>
  </conditionalFormatting>
  <conditionalFormatting sqref="T32">
    <cfRule type="expression" dxfId="775" priority="163">
      <formula>#REF!="32≠33+34"</formula>
    </cfRule>
  </conditionalFormatting>
  <conditionalFormatting sqref="T44">
    <cfRule type="expression" dxfId="774" priority="164">
      <formula>#REF!="44≠45+46"</formula>
    </cfRule>
  </conditionalFormatting>
  <conditionalFormatting sqref="T56">
    <cfRule type="expression" dxfId="773" priority="165">
      <formula>#REF!="56≠57+58"</formula>
    </cfRule>
  </conditionalFormatting>
  <conditionalFormatting sqref="T70">
    <cfRule type="expression" dxfId="772" priority="166">
      <formula>#REF!="70≠62+63+64+65+66+67+69"</formula>
    </cfRule>
  </conditionalFormatting>
  <conditionalFormatting sqref="T82">
    <cfRule type="expression" dxfId="771" priority="167">
      <formula>#REF!="82≠83+84"</formula>
    </cfRule>
  </conditionalFormatting>
  <conditionalFormatting sqref="T94">
    <cfRule type="expression" dxfId="770" priority="168">
      <formula>#REF!="94≠95+96"</formula>
    </cfRule>
  </conditionalFormatting>
  <conditionalFormatting sqref="T106">
    <cfRule type="expression" dxfId="769" priority="169">
      <formula>#REF!="106≠107+108"</formula>
    </cfRule>
  </conditionalFormatting>
  <conditionalFormatting sqref="T32">
    <cfRule type="expression" dxfId="768" priority="170">
      <formula>#REF!="32≠24+25+26+27+28+29+31"</formula>
    </cfRule>
  </conditionalFormatting>
  <conditionalFormatting sqref="T44">
    <cfRule type="expression" dxfId="767" priority="171">
      <formula>#REF!="44≠36+37+38+39+40+41+43"</formula>
    </cfRule>
  </conditionalFormatting>
  <conditionalFormatting sqref="T56">
    <cfRule type="expression" dxfId="766" priority="172">
      <formula>#REF!="56≠48+49+50+51+52+53+55"</formula>
    </cfRule>
  </conditionalFormatting>
  <conditionalFormatting sqref="T70">
    <cfRule type="expression" dxfId="765" priority="173">
      <formula>#REF!="70≠71+72"</formula>
    </cfRule>
  </conditionalFormatting>
  <conditionalFormatting sqref="T82">
    <cfRule type="expression" dxfId="764" priority="174">
      <formula>#REF!="82≠74+75+76+77+78+79+81"</formula>
    </cfRule>
  </conditionalFormatting>
  <conditionalFormatting sqref="T94">
    <cfRule type="expression" dxfId="763" priority="175">
      <formula>#REF!="94≠86+87+88+89+90+91+93"</formula>
    </cfRule>
  </conditionalFormatting>
  <conditionalFormatting sqref="T106">
    <cfRule type="expression" dxfId="762" priority="176">
      <formula>#REF!="106≠98+99+100+101+102+103+105"</formula>
    </cfRule>
  </conditionalFormatting>
  <conditionalFormatting sqref="W20">
    <cfRule type="expression" dxfId="761" priority="129">
      <formula>#REF!="20≠21+22"</formula>
    </cfRule>
    <cfRule type="expression" dxfId="760" priority="130">
      <formula>#REF!="20≠12+13+14+15+16+17+19"</formula>
    </cfRule>
  </conditionalFormatting>
  <conditionalFormatting sqref="W32">
    <cfRule type="expression" dxfId="759" priority="131">
      <formula>#REF!="32≠33+34"</formula>
    </cfRule>
  </conditionalFormatting>
  <conditionalFormatting sqref="W44">
    <cfRule type="expression" dxfId="758" priority="132">
      <formula>#REF!="44≠45+46"</formula>
    </cfRule>
  </conditionalFormatting>
  <conditionalFormatting sqref="W56">
    <cfRule type="expression" dxfId="757" priority="133">
      <formula>#REF!="56≠57+58"</formula>
    </cfRule>
  </conditionalFormatting>
  <conditionalFormatting sqref="W70">
    <cfRule type="expression" dxfId="756" priority="134">
      <formula>#REF!="70≠62+63+64+65+66+67+69"</formula>
    </cfRule>
  </conditionalFormatting>
  <conditionalFormatting sqref="W82">
    <cfRule type="expression" dxfId="755" priority="135">
      <formula>#REF!="82≠83+84"</formula>
    </cfRule>
  </conditionalFormatting>
  <conditionalFormatting sqref="W94">
    <cfRule type="expression" dxfId="754" priority="136">
      <formula>#REF!="94≠95+96"</formula>
    </cfRule>
  </conditionalFormatting>
  <conditionalFormatting sqref="W106">
    <cfRule type="expression" dxfId="753" priority="137">
      <formula>#REF!="106≠107+108"</formula>
    </cfRule>
  </conditionalFormatting>
  <conditionalFormatting sqref="W32">
    <cfRule type="expression" dxfId="752" priority="138">
      <formula>#REF!="32≠24+25+26+27+28+29+31"</formula>
    </cfRule>
  </conditionalFormatting>
  <conditionalFormatting sqref="W44">
    <cfRule type="expression" dxfId="751" priority="139">
      <formula>#REF!="44≠36+37+38+39+40+41+43"</formula>
    </cfRule>
  </conditionalFormatting>
  <conditionalFormatting sqref="W56">
    <cfRule type="expression" dxfId="750" priority="140">
      <formula>#REF!="56≠48+49+50+51+52+53+55"</formula>
    </cfRule>
  </conditionalFormatting>
  <conditionalFormatting sqref="W70">
    <cfRule type="expression" dxfId="749" priority="141">
      <formula>#REF!="70≠71+72"</formula>
    </cfRule>
  </conditionalFormatting>
  <conditionalFormatting sqref="W82">
    <cfRule type="expression" dxfId="748" priority="142">
      <formula>#REF!="82≠74+75+76+77+78+79+81"</formula>
    </cfRule>
  </conditionalFormatting>
  <conditionalFormatting sqref="W94">
    <cfRule type="expression" dxfId="747" priority="143">
      <formula>#REF!="94≠86+87+88+89+90+91+93"</formula>
    </cfRule>
  </conditionalFormatting>
  <conditionalFormatting sqref="W106">
    <cfRule type="expression" dxfId="746" priority="144">
      <formula>#REF!="106≠98+99+100+101+102+103+105"</formula>
    </cfRule>
  </conditionalFormatting>
  <conditionalFormatting sqref="Z20">
    <cfRule type="expression" dxfId="745" priority="97">
      <formula>#REF!="20≠21+22"</formula>
    </cfRule>
    <cfRule type="expression" dxfId="744" priority="98">
      <formula>#REF!="20≠12+13+14+15+16+17+19"</formula>
    </cfRule>
  </conditionalFormatting>
  <conditionalFormatting sqref="Z32">
    <cfRule type="expression" dxfId="743" priority="99">
      <formula>#REF!="32≠33+34"</formula>
    </cfRule>
  </conditionalFormatting>
  <conditionalFormatting sqref="Z44">
    <cfRule type="expression" dxfId="742" priority="100">
      <formula>#REF!="44≠45+46"</formula>
    </cfRule>
  </conditionalFormatting>
  <conditionalFormatting sqref="Z56">
    <cfRule type="expression" dxfId="741" priority="101">
      <formula>#REF!="56≠57+58"</formula>
    </cfRule>
  </conditionalFormatting>
  <conditionalFormatting sqref="Z70">
    <cfRule type="expression" dxfId="740" priority="102">
      <formula>#REF!="70≠62+63+64+65+66+67+69"</formula>
    </cfRule>
  </conditionalFormatting>
  <conditionalFormatting sqref="Z82">
    <cfRule type="expression" dxfId="739" priority="103">
      <formula>#REF!="82≠83+84"</formula>
    </cfRule>
  </conditionalFormatting>
  <conditionalFormatting sqref="Z94">
    <cfRule type="expression" dxfId="738" priority="104">
      <formula>#REF!="94≠95+96"</formula>
    </cfRule>
  </conditionalFormatting>
  <conditionalFormatting sqref="Z106">
    <cfRule type="expression" dxfId="737" priority="105">
      <formula>#REF!="106≠107+108"</formula>
    </cfRule>
  </conditionalFormatting>
  <conditionalFormatting sqref="Z32">
    <cfRule type="expression" dxfId="736" priority="106">
      <formula>#REF!="32≠24+25+26+27+28+29+31"</formula>
    </cfRule>
  </conditionalFormatting>
  <conditionalFormatting sqref="Z44">
    <cfRule type="expression" dxfId="735" priority="107">
      <formula>#REF!="44≠36+37+38+39+40+41+43"</formula>
    </cfRule>
  </conditionalFormatting>
  <conditionalFormatting sqref="Z56">
    <cfRule type="expression" dxfId="734" priority="108">
      <formula>#REF!="56≠48+49+50+51+52+53+55"</formula>
    </cfRule>
  </conditionalFormatting>
  <conditionalFormatting sqref="Z70">
    <cfRule type="expression" dxfId="733" priority="109">
      <formula>#REF!="70≠71+72"</formula>
    </cfRule>
  </conditionalFormatting>
  <conditionalFormatting sqref="Z82">
    <cfRule type="expression" dxfId="732" priority="110">
      <formula>#REF!="82≠74+75+76+77+78+79+81"</formula>
    </cfRule>
  </conditionalFormatting>
  <conditionalFormatting sqref="Z94">
    <cfRule type="expression" dxfId="731" priority="111">
      <formula>#REF!="94≠86+87+88+89+90+91+93"</formula>
    </cfRule>
  </conditionalFormatting>
  <conditionalFormatting sqref="Z106">
    <cfRule type="expression" dxfId="730" priority="112">
      <formula>#REF!="106≠98+99+100+101+102+103+105"</formula>
    </cfRule>
  </conditionalFormatting>
  <conditionalFormatting sqref="AC20">
    <cfRule type="expression" dxfId="729" priority="65">
      <formula>#REF!="20≠21+22"</formula>
    </cfRule>
    <cfRule type="expression" dxfId="728" priority="66">
      <formula>#REF!="20≠12+13+14+15+16+17+19"</formula>
    </cfRule>
  </conditionalFormatting>
  <conditionalFormatting sqref="AC32">
    <cfRule type="expression" dxfId="727" priority="67">
      <formula>#REF!="32≠33+34"</formula>
    </cfRule>
  </conditionalFormatting>
  <conditionalFormatting sqref="AC44">
    <cfRule type="expression" dxfId="726" priority="68">
      <formula>#REF!="44≠45+46"</formula>
    </cfRule>
  </conditionalFormatting>
  <conditionalFormatting sqref="AC56">
    <cfRule type="expression" dxfId="725" priority="69">
      <formula>#REF!="56≠57+58"</formula>
    </cfRule>
  </conditionalFormatting>
  <conditionalFormatting sqref="AC70">
    <cfRule type="expression" dxfId="724" priority="70">
      <formula>#REF!="70≠62+63+64+65+66+67+69"</formula>
    </cfRule>
  </conditionalFormatting>
  <conditionalFormatting sqref="AC82">
    <cfRule type="expression" dxfId="723" priority="71">
      <formula>#REF!="82≠83+84"</formula>
    </cfRule>
  </conditionalFormatting>
  <conditionalFormatting sqref="AC94">
    <cfRule type="expression" dxfId="722" priority="72">
      <formula>#REF!="94≠95+96"</formula>
    </cfRule>
  </conditionalFormatting>
  <conditionalFormatting sqref="AC106">
    <cfRule type="expression" dxfId="721" priority="73">
      <formula>#REF!="106≠107+108"</formula>
    </cfRule>
  </conditionalFormatting>
  <conditionalFormatting sqref="AC32">
    <cfRule type="expression" dxfId="720" priority="74">
      <formula>#REF!="32≠24+25+26+27+28+29+31"</formula>
    </cfRule>
  </conditionalFormatting>
  <conditionalFormatting sqref="AC44">
    <cfRule type="expression" dxfId="719" priority="75">
      <formula>#REF!="44≠36+37+38+39+40+41+43"</formula>
    </cfRule>
  </conditionalFormatting>
  <conditionalFormatting sqref="AC56">
    <cfRule type="expression" dxfId="718" priority="76">
      <formula>#REF!="56≠48+49+50+51+52+53+55"</formula>
    </cfRule>
  </conditionalFormatting>
  <conditionalFormatting sqref="AC70">
    <cfRule type="expression" dxfId="717" priority="77">
      <formula>#REF!="70≠71+72"</formula>
    </cfRule>
  </conditionalFormatting>
  <conditionalFormatting sqref="AC82">
    <cfRule type="expression" dxfId="716" priority="78">
      <formula>#REF!="82≠74+75+76+77+78+79+81"</formula>
    </cfRule>
  </conditionalFormatting>
  <conditionalFormatting sqref="AC94">
    <cfRule type="expression" dxfId="715" priority="79">
      <formula>#REF!="94≠86+87+88+89+90+91+93"</formula>
    </cfRule>
  </conditionalFormatting>
  <conditionalFormatting sqref="AC106">
    <cfRule type="expression" dxfId="714" priority="80">
      <formula>#REF!="106≠98+99+100+101+102+103+105"</formula>
    </cfRule>
  </conditionalFormatting>
  <conditionalFormatting sqref="AI20">
    <cfRule type="expression" dxfId="713" priority="33">
      <formula>#REF!="20≠21+22"</formula>
    </cfRule>
    <cfRule type="expression" dxfId="712" priority="34">
      <formula>#REF!="20≠12+13+14+15+16+17+19"</formula>
    </cfRule>
  </conditionalFormatting>
  <conditionalFormatting sqref="AI32">
    <cfRule type="expression" dxfId="711" priority="35">
      <formula>#REF!="32≠33+34"</formula>
    </cfRule>
  </conditionalFormatting>
  <conditionalFormatting sqref="AI44">
    <cfRule type="expression" dxfId="710" priority="36">
      <formula>#REF!="44≠45+46"</formula>
    </cfRule>
  </conditionalFormatting>
  <conditionalFormatting sqref="AI56">
    <cfRule type="expression" dxfId="709" priority="37">
      <formula>#REF!="56≠57+58"</formula>
    </cfRule>
  </conditionalFormatting>
  <conditionalFormatting sqref="AI70">
    <cfRule type="expression" dxfId="708" priority="38">
      <formula>#REF!="70≠62+63+64+65+66+67+69"</formula>
    </cfRule>
  </conditionalFormatting>
  <conditionalFormatting sqref="AI82">
    <cfRule type="expression" dxfId="707" priority="39">
      <formula>#REF!="82≠83+84"</formula>
    </cfRule>
  </conditionalFormatting>
  <conditionalFormatting sqref="AI94">
    <cfRule type="expression" dxfId="706" priority="40">
      <formula>#REF!="94≠95+96"</formula>
    </cfRule>
  </conditionalFormatting>
  <conditionalFormatting sqref="AI106">
    <cfRule type="expression" dxfId="705" priority="41">
      <formula>#REF!="106≠107+108"</formula>
    </cfRule>
  </conditionalFormatting>
  <conditionalFormatting sqref="AI32">
    <cfRule type="expression" dxfId="704" priority="42">
      <formula>#REF!="32≠24+25+26+27+28+29+31"</formula>
    </cfRule>
  </conditionalFormatting>
  <conditionalFormatting sqref="AI44">
    <cfRule type="expression" dxfId="703" priority="43">
      <formula>#REF!="44≠36+37+38+39+40+41+43"</formula>
    </cfRule>
  </conditionalFormatting>
  <conditionalFormatting sqref="AI56">
    <cfRule type="expression" dxfId="702" priority="44">
      <formula>#REF!="56≠48+49+50+51+52+53+55"</formula>
    </cfRule>
  </conditionalFormatting>
  <conditionalFormatting sqref="AI70">
    <cfRule type="expression" dxfId="701" priority="45">
      <formula>#REF!="70≠71+72"</formula>
    </cfRule>
  </conditionalFormatting>
  <conditionalFormatting sqref="AI82">
    <cfRule type="expression" dxfId="700" priority="46">
      <formula>#REF!="82≠74+75+76+77+78+79+81"</formula>
    </cfRule>
  </conditionalFormatting>
  <conditionalFormatting sqref="AI94">
    <cfRule type="expression" dxfId="699" priority="47">
      <formula>#REF!="94≠86+87+88+89+90+91+93"</formula>
    </cfRule>
  </conditionalFormatting>
  <conditionalFormatting sqref="AI106">
    <cfRule type="expression" dxfId="698" priority="48">
      <formula>#REF!="106≠98+99+100+101+102+103+105"</formula>
    </cfRule>
  </conditionalFormatting>
  <conditionalFormatting sqref="AL20">
    <cfRule type="expression" dxfId="697" priority="1">
      <formula>#REF!="20≠21+22"</formula>
    </cfRule>
    <cfRule type="expression" dxfId="696" priority="2">
      <formula>#REF!="20≠12+13+14+15+16+17+19"</formula>
    </cfRule>
  </conditionalFormatting>
  <conditionalFormatting sqref="AL32">
    <cfRule type="expression" dxfId="695" priority="3">
      <formula>#REF!="32≠33+34"</formula>
    </cfRule>
  </conditionalFormatting>
  <conditionalFormatting sqref="AL44">
    <cfRule type="expression" dxfId="694" priority="4">
      <formula>#REF!="44≠45+46"</formula>
    </cfRule>
  </conditionalFormatting>
  <conditionalFormatting sqref="AL56">
    <cfRule type="expression" dxfId="693" priority="5">
      <formula>#REF!="56≠57+58"</formula>
    </cfRule>
  </conditionalFormatting>
  <conditionalFormatting sqref="AL70">
    <cfRule type="expression" dxfId="692" priority="6">
      <formula>#REF!="70≠62+63+64+65+66+67+69"</formula>
    </cfRule>
  </conditionalFormatting>
  <conditionalFormatting sqref="AL82">
    <cfRule type="expression" dxfId="691" priority="7">
      <formula>#REF!="82≠83+84"</formula>
    </cfRule>
  </conditionalFormatting>
  <conditionalFormatting sqref="AL94">
    <cfRule type="expression" dxfId="690" priority="8">
      <formula>#REF!="94≠95+96"</formula>
    </cfRule>
  </conditionalFormatting>
  <conditionalFormatting sqref="AL106">
    <cfRule type="expression" dxfId="689" priority="9">
      <formula>#REF!="106≠107+108"</formula>
    </cfRule>
  </conditionalFormatting>
  <conditionalFormatting sqref="AL32">
    <cfRule type="expression" dxfId="688" priority="10">
      <formula>#REF!="32≠24+25+26+27+28+29+31"</formula>
    </cfRule>
  </conditionalFormatting>
  <conditionalFormatting sqref="AL44">
    <cfRule type="expression" dxfId="687" priority="11">
      <formula>#REF!="44≠36+37+38+39+40+41+43"</formula>
    </cfRule>
  </conditionalFormatting>
  <conditionalFormatting sqref="AL56">
    <cfRule type="expression" dxfId="686" priority="12">
      <formula>#REF!="56≠48+49+50+51+52+53+55"</formula>
    </cfRule>
  </conditionalFormatting>
  <conditionalFormatting sqref="AL70">
    <cfRule type="expression" dxfId="685" priority="13">
      <formula>#REF!="70≠71+72"</formula>
    </cfRule>
  </conditionalFormatting>
  <conditionalFormatting sqref="AL82">
    <cfRule type="expression" dxfId="684" priority="14">
      <formula>#REF!="82≠74+75+76+77+78+79+81"</formula>
    </cfRule>
  </conditionalFormatting>
  <conditionalFormatting sqref="AL94">
    <cfRule type="expression" dxfId="683" priority="15">
      <formula>#REF!="94≠86+87+88+89+90+91+93"</formula>
    </cfRule>
  </conditionalFormatting>
  <conditionalFormatting sqref="AL106">
    <cfRule type="expression" dxfId="682" priority="16">
      <formula>#REF!="106≠98+99+100+101+102+103+105"</formula>
    </cfRule>
  </conditionalFormatting>
  <conditionalFormatting sqref="F20 C20 I20 L20 O20 R20 AG20 U20 X20 AA20 AD20 AJ20 AM20">
    <cfRule type="expression" dxfId="681" priority="1327">
      <formula>#REF!="20≠21+22"</formula>
    </cfRule>
    <cfRule type="expression" dxfId="680" priority="1328">
      <formula>#REF!="20≠12+13+14+15+16+17+19"</formula>
    </cfRule>
  </conditionalFormatting>
  <conditionalFormatting sqref="F32 C32 I32 L32 O32 R32 AG32 U32 X32 AA32 AD32 AJ32 AM32">
    <cfRule type="expression" dxfId="679" priority="1329">
      <formula>#REF!="32≠33+34"</formula>
    </cfRule>
  </conditionalFormatting>
  <conditionalFormatting sqref="F44 C44 I44 L44 O44 R44 AG44 U44 X44 AA44 AD44 AJ44 AM44">
    <cfRule type="expression" dxfId="678" priority="1330">
      <formula>#REF!="44≠45+46"</formula>
    </cfRule>
  </conditionalFormatting>
  <conditionalFormatting sqref="F56 C56 I56 L56 O56 R56 AG56 U56 X56 AA56 AD56 AJ56 AM56">
    <cfRule type="expression" dxfId="677" priority="1331">
      <formula>#REF!="56≠57+58"</formula>
    </cfRule>
  </conditionalFormatting>
  <conditionalFormatting sqref="F70 C70 I70 L70 O70 R70 AG70 U70 X70 AA70 AD70 AJ70 AM70">
    <cfRule type="expression" dxfId="676" priority="1332">
      <formula>#REF!="70≠62+63+64+65+66+67+69"</formula>
    </cfRule>
  </conditionalFormatting>
  <conditionalFormatting sqref="F82 C82 I82 L82 O82 R82 AG82 U82 X82 AA82 AD82 AJ82 AM82">
    <cfRule type="expression" dxfId="675" priority="1333">
      <formula>#REF!="82≠83+84"</formula>
    </cfRule>
  </conditionalFormatting>
  <conditionalFormatting sqref="F94 C94 I94 L94 O94 R94 AG94 U94 X94 AA94 AD94 AJ94 AM94">
    <cfRule type="expression" dxfId="674" priority="1334">
      <formula>#REF!="94≠95+96"</formula>
    </cfRule>
  </conditionalFormatting>
  <conditionalFormatting sqref="F106 C106 I106 L106 O106 R106 AG106 U106 X106 AA106 AD106 AJ106 AM106">
    <cfRule type="expression" dxfId="673" priority="1335">
      <formula>#REF!="106≠107+108"</formula>
    </cfRule>
  </conditionalFormatting>
  <conditionalFormatting sqref="F32 C32 I32 L32 O32 R32 AG32 U32 X32 AA32 AD32 AJ32 AM32">
    <cfRule type="expression" dxfId="672" priority="1336">
      <formula>#REF!="32≠24+25+26+27+28+29+31"</formula>
    </cfRule>
  </conditionalFormatting>
  <conditionalFormatting sqref="F44 C44 I44 L44 O44 R44 AG44 U44 X44 AA44 AD44 AJ44 AM44">
    <cfRule type="expression" dxfId="671" priority="1337">
      <formula>#REF!="44≠36+37+38+39+40+41+43"</formula>
    </cfRule>
  </conditionalFormatting>
  <conditionalFormatting sqref="F56 C56 I56 L56 O56 R56 AG56 U56 X56 AA56 AD56 AJ56 AM56">
    <cfRule type="expression" dxfId="670" priority="1338">
      <formula>#REF!="56≠48+49+50+51+52+53+55"</formula>
    </cfRule>
  </conditionalFormatting>
  <conditionalFormatting sqref="F70 C70 I70 L70 O70 R70 AG70 U70 X70 AA70 AD70 AJ70 AM70">
    <cfRule type="expression" dxfId="669" priority="1339">
      <formula>#REF!="70≠71+72"</formula>
    </cfRule>
  </conditionalFormatting>
  <conditionalFormatting sqref="F82 C82 I82 L82 O82 R82 AG82 U82 X82 AA82 AD82 AJ82 AM82">
    <cfRule type="expression" dxfId="668" priority="1340">
      <formula>#REF!="82≠74+75+76+77+78+79+81"</formula>
    </cfRule>
  </conditionalFormatting>
  <conditionalFormatting sqref="F94 C94 I94 L94 O94 R94 AG94 U94 X94 AA94 AD94 AJ94 AM94">
    <cfRule type="expression" dxfId="667" priority="1341">
      <formula>#REF!="94≠86+87+88+89+90+91+93"</formula>
    </cfRule>
  </conditionalFormatting>
  <conditionalFormatting sqref="F106 C106 I106 L106 O106 R106 AG106 U106 X106 AA106 AD106 AJ106 AM106">
    <cfRule type="expression" dxfId="666" priority="1342">
      <formula>#REF!="106≠98+99+100+101+102+103+105"</formula>
    </cfRule>
  </conditionalFormatting>
  <hyperlinks>
    <hyperlink ref="B1" location="Innhold!A1" display="Tilbake" xr:uid="{00000000-0004-0000-1F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6" min="1" max="108" man="1"/>
    <brk id="4" min="1" max="108" man="1"/>
    <brk id="31" min="1" max="108" man="1"/>
    <brk id="37" min="1" max="10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X222"/>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546875" defaultRowHeight="15.6" x14ac:dyDescent="0.3"/>
  <cols>
    <col min="1" max="1" width="90.6640625" style="614" customWidth="1"/>
    <col min="2" max="46" width="11.6640625" style="614" customWidth="1"/>
    <col min="47" max="47" width="0" style="614" hidden="1" customWidth="1"/>
    <col min="48" max="16384" width="12.5546875" style="614"/>
  </cols>
  <sheetData>
    <row r="1" spans="1:50" ht="20.25" customHeight="1" x14ac:dyDescent="0.35">
      <c r="A1" s="562" t="s">
        <v>173</v>
      </c>
      <c r="B1" s="466" t="s">
        <v>52</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row>
    <row r="2" spans="1:50" ht="20.100000000000001" customHeight="1" x14ac:dyDescent="0.35">
      <c r="A2" s="615" t="s">
        <v>260</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row>
    <row r="3" spans="1:50" ht="20.100000000000001" customHeight="1" x14ac:dyDescent="0.35">
      <c r="A3" s="616" t="s">
        <v>384</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row>
    <row r="4" spans="1:50" ht="20.100000000000001" customHeight="1" x14ac:dyDescent="0.35">
      <c r="A4" s="617" t="s">
        <v>385</v>
      </c>
      <c r="B4" s="618"/>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8"/>
      <c r="AG4" s="618"/>
      <c r="AH4" s="618"/>
      <c r="AI4" s="613"/>
      <c r="AJ4" s="613"/>
      <c r="AK4" s="613"/>
      <c r="AL4" s="613"/>
      <c r="AM4" s="613"/>
      <c r="AN4" s="613"/>
      <c r="AO4" s="613"/>
      <c r="AP4" s="613"/>
      <c r="AQ4" s="613"/>
      <c r="AR4" s="613"/>
      <c r="AS4" s="613"/>
      <c r="AT4" s="613"/>
      <c r="AU4" s="618"/>
      <c r="AV4" s="613"/>
      <c r="AW4" s="613"/>
      <c r="AX4" s="613"/>
    </row>
    <row r="5" spans="1:50" ht="18.75" customHeight="1" x14ac:dyDescent="0.35">
      <c r="A5" s="619" t="s">
        <v>360</v>
      </c>
      <c r="B5" s="620"/>
      <c r="C5" s="620"/>
      <c r="D5" s="621"/>
      <c r="E5" s="622"/>
      <c r="F5" s="620"/>
      <c r="G5" s="621"/>
      <c r="H5" s="622"/>
      <c r="I5" s="620"/>
      <c r="J5" s="621"/>
      <c r="K5" s="622"/>
      <c r="L5" s="620"/>
      <c r="M5" s="621"/>
      <c r="N5" s="622"/>
      <c r="O5" s="620"/>
      <c r="P5" s="621"/>
      <c r="Q5" s="620"/>
      <c r="R5" s="620"/>
      <c r="S5" s="620"/>
      <c r="T5" s="620"/>
      <c r="U5" s="620"/>
      <c r="V5" s="621"/>
      <c r="W5" s="622"/>
      <c r="X5" s="620"/>
      <c r="Y5" s="621"/>
      <c r="Z5" s="622"/>
      <c r="AA5" s="620"/>
      <c r="AB5" s="621"/>
      <c r="AC5" s="622"/>
      <c r="AD5" s="620"/>
      <c r="AE5" s="621"/>
      <c r="AF5" s="622"/>
      <c r="AG5" s="620"/>
      <c r="AH5" s="621"/>
      <c r="AI5" s="622"/>
      <c r="AJ5" s="620"/>
      <c r="AK5" s="621"/>
      <c r="AL5" s="622"/>
      <c r="AM5" s="620"/>
      <c r="AN5" s="621"/>
      <c r="AO5" s="622"/>
      <c r="AP5" s="620"/>
      <c r="AQ5" s="621"/>
      <c r="AR5" s="622"/>
      <c r="AS5" s="620"/>
      <c r="AT5" s="621"/>
      <c r="AU5" s="618"/>
      <c r="AV5" s="618"/>
      <c r="AW5" s="613"/>
      <c r="AX5" s="613"/>
    </row>
    <row r="6" spans="1:50" ht="18.75" customHeight="1" x14ac:dyDescent="0.35">
      <c r="A6" s="623" t="s">
        <v>101</v>
      </c>
      <c r="B6" s="986" t="s">
        <v>176</v>
      </c>
      <c r="C6" s="987"/>
      <c r="D6" s="988"/>
      <c r="E6" s="986" t="s">
        <v>177</v>
      </c>
      <c r="F6" s="987"/>
      <c r="G6" s="988"/>
      <c r="H6" s="986" t="s">
        <v>177</v>
      </c>
      <c r="I6" s="987"/>
      <c r="J6" s="988"/>
      <c r="K6" s="986" t="s">
        <v>481</v>
      </c>
      <c r="L6" s="987"/>
      <c r="M6" s="988"/>
      <c r="N6" s="986" t="s">
        <v>178</v>
      </c>
      <c r="O6" s="987"/>
      <c r="P6" s="988"/>
      <c r="Q6" s="986" t="s">
        <v>179</v>
      </c>
      <c r="R6" s="987"/>
      <c r="S6" s="988"/>
      <c r="T6" s="986" t="s">
        <v>180</v>
      </c>
      <c r="U6" s="987"/>
      <c r="V6" s="988"/>
      <c r="W6" s="858" t="s">
        <v>180</v>
      </c>
      <c r="X6" s="859"/>
      <c r="Y6" s="860"/>
      <c r="Z6" s="858"/>
      <c r="AA6" s="859"/>
      <c r="AB6" s="860"/>
      <c r="AC6" s="986" t="s">
        <v>181</v>
      </c>
      <c r="AD6" s="987"/>
      <c r="AE6" s="988"/>
      <c r="AF6" s="858"/>
      <c r="AG6" s="859"/>
      <c r="AH6" s="860"/>
      <c r="AI6" s="971" t="s">
        <v>68</v>
      </c>
      <c r="AJ6" s="972"/>
      <c r="AK6" s="973"/>
      <c r="AL6" s="986" t="s">
        <v>73</v>
      </c>
      <c r="AM6" s="987"/>
      <c r="AN6" s="988"/>
      <c r="AO6" s="989" t="s">
        <v>2</v>
      </c>
      <c r="AP6" s="990"/>
      <c r="AQ6" s="991"/>
      <c r="AR6" s="986" t="s">
        <v>2</v>
      </c>
      <c r="AS6" s="987"/>
      <c r="AT6" s="988"/>
      <c r="AU6" s="618"/>
      <c r="AV6" s="618"/>
      <c r="AW6" s="613"/>
      <c r="AX6" s="613"/>
    </row>
    <row r="7" spans="1:50" ht="18.75" customHeight="1" x14ac:dyDescent="0.35">
      <c r="A7" s="624"/>
      <c r="B7" s="983" t="s">
        <v>182</v>
      </c>
      <c r="C7" s="984"/>
      <c r="D7" s="985"/>
      <c r="E7" s="983" t="s">
        <v>496</v>
      </c>
      <c r="F7" s="984"/>
      <c r="G7" s="985"/>
      <c r="H7" s="983" t="s">
        <v>183</v>
      </c>
      <c r="I7" s="984"/>
      <c r="J7" s="985"/>
      <c r="K7" s="983" t="s">
        <v>183</v>
      </c>
      <c r="L7" s="984"/>
      <c r="M7" s="985"/>
      <c r="N7" s="983" t="s">
        <v>183</v>
      </c>
      <c r="O7" s="984"/>
      <c r="P7" s="985"/>
      <c r="Q7" s="983" t="s">
        <v>184</v>
      </c>
      <c r="R7" s="984"/>
      <c r="S7" s="985"/>
      <c r="T7" s="983" t="s">
        <v>91</v>
      </c>
      <c r="U7" s="984"/>
      <c r="V7" s="985"/>
      <c r="W7" s="983" t="s">
        <v>63</v>
      </c>
      <c r="X7" s="984"/>
      <c r="Y7" s="985"/>
      <c r="Z7" s="983" t="s">
        <v>66</v>
      </c>
      <c r="AA7" s="984"/>
      <c r="AB7" s="985"/>
      <c r="AC7" s="983" t="s">
        <v>182</v>
      </c>
      <c r="AD7" s="984"/>
      <c r="AE7" s="985"/>
      <c r="AF7" s="983" t="s">
        <v>72</v>
      </c>
      <c r="AG7" s="984"/>
      <c r="AH7" s="985"/>
      <c r="AI7" s="965" t="s">
        <v>497</v>
      </c>
      <c r="AJ7" s="966"/>
      <c r="AK7" s="967"/>
      <c r="AL7" s="983" t="s">
        <v>183</v>
      </c>
      <c r="AM7" s="984"/>
      <c r="AN7" s="985"/>
      <c r="AO7" s="977" t="s">
        <v>286</v>
      </c>
      <c r="AP7" s="978"/>
      <c r="AQ7" s="979"/>
      <c r="AR7" s="980" t="s">
        <v>287</v>
      </c>
      <c r="AS7" s="981"/>
      <c r="AT7" s="982"/>
      <c r="AU7" s="618"/>
      <c r="AV7" s="618"/>
      <c r="AW7" s="613"/>
      <c r="AX7" s="613"/>
    </row>
    <row r="8" spans="1:50" ht="18.75" customHeight="1" x14ac:dyDescent="0.35">
      <c r="A8" s="624"/>
      <c r="B8" s="574"/>
      <c r="C8" s="574"/>
      <c r="D8" s="575" t="s">
        <v>81</v>
      </c>
      <c r="E8" s="574"/>
      <c r="F8" s="574"/>
      <c r="G8" s="575" t="s">
        <v>81</v>
      </c>
      <c r="H8" s="574"/>
      <c r="I8" s="574"/>
      <c r="J8" s="575" t="s">
        <v>81</v>
      </c>
      <c r="K8" s="574"/>
      <c r="L8" s="574"/>
      <c r="M8" s="575" t="s">
        <v>81</v>
      </c>
      <c r="N8" s="574"/>
      <c r="O8" s="574"/>
      <c r="P8" s="575" t="s">
        <v>81</v>
      </c>
      <c r="Q8" s="574"/>
      <c r="R8" s="574"/>
      <c r="S8" s="575" t="s">
        <v>81</v>
      </c>
      <c r="T8" s="574"/>
      <c r="U8" s="574"/>
      <c r="V8" s="575" t="s">
        <v>81</v>
      </c>
      <c r="W8" s="574"/>
      <c r="X8" s="574"/>
      <c r="Y8" s="575" t="s">
        <v>81</v>
      </c>
      <c r="Z8" s="574"/>
      <c r="AA8" s="574"/>
      <c r="AB8" s="575" t="s">
        <v>81</v>
      </c>
      <c r="AC8" s="574"/>
      <c r="AD8" s="574"/>
      <c r="AE8" s="575" t="s">
        <v>81</v>
      </c>
      <c r="AF8" s="574"/>
      <c r="AG8" s="574"/>
      <c r="AH8" s="575" t="s">
        <v>81</v>
      </c>
      <c r="AI8" s="574"/>
      <c r="AJ8" s="574"/>
      <c r="AK8" s="575" t="s">
        <v>81</v>
      </c>
      <c r="AL8" s="574"/>
      <c r="AM8" s="574"/>
      <c r="AN8" s="575" t="s">
        <v>81</v>
      </c>
      <c r="AO8" s="574"/>
      <c r="AP8" s="574"/>
      <c r="AQ8" s="575" t="s">
        <v>81</v>
      </c>
      <c r="AR8" s="574"/>
      <c r="AS8" s="574"/>
      <c r="AT8" s="575" t="s">
        <v>81</v>
      </c>
      <c r="AU8" s="618"/>
      <c r="AV8" s="618"/>
      <c r="AW8" s="613"/>
      <c r="AX8" s="613"/>
    </row>
    <row r="9" spans="1:50" ht="18.75" customHeight="1" x14ac:dyDescent="0.35">
      <c r="A9" s="625" t="s">
        <v>288</v>
      </c>
      <c r="B9" s="577">
        <v>2020</v>
      </c>
      <c r="C9" s="577">
        <v>2021</v>
      </c>
      <c r="D9" s="578" t="s">
        <v>83</v>
      </c>
      <c r="E9" s="577">
        <f>$B$9</f>
        <v>2020</v>
      </c>
      <c r="F9" s="577">
        <f>$C$9</f>
        <v>2021</v>
      </c>
      <c r="G9" s="578" t="s">
        <v>83</v>
      </c>
      <c r="H9" s="577">
        <f>$B$9</f>
        <v>2020</v>
      </c>
      <c r="I9" s="577">
        <f>$C$9</f>
        <v>2021</v>
      </c>
      <c r="J9" s="578" t="s">
        <v>83</v>
      </c>
      <c r="K9" s="577">
        <f>$B$9</f>
        <v>2020</v>
      </c>
      <c r="L9" s="577">
        <f>$C$9</f>
        <v>2021</v>
      </c>
      <c r="M9" s="578" t="s">
        <v>83</v>
      </c>
      <c r="N9" s="577">
        <f>$B$9</f>
        <v>2020</v>
      </c>
      <c r="O9" s="577">
        <f>$C$9</f>
        <v>2021</v>
      </c>
      <c r="P9" s="578" t="s">
        <v>83</v>
      </c>
      <c r="Q9" s="577">
        <f>$B$9</f>
        <v>2020</v>
      </c>
      <c r="R9" s="577">
        <f>$C$9</f>
        <v>2021</v>
      </c>
      <c r="S9" s="578" t="s">
        <v>83</v>
      </c>
      <c r="T9" s="577">
        <f>$B$9</f>
        <v>2020</v>
      </c>
      <c r="U9" s="577">
        <f>$C$9</f>
        <v>2021</v>
      </c>
      <c r="V9" s="578" t="s">
        <v>83</v>
      </c>
      <c r="W9" s="577">
        <f>$B$9</f>
        <v>2020</v>
      </c>
      <c r="X9" s="577">
        <f>$C$9</f>
        <v>2021</v>
      </c>
      <c r="Y9" s="578" t="s">
        <v>83</v>
      </c>
      <c r="Z9" s="577">
        <f>$B$9</f>
        <v>2020</v>
      </c>
      <c r="AA9" s="577">
        <f>$C$9</f>
        <v>2021</v>
      </c>
      <c r="AB9" s="578" t="s">
        <v>83</v>
      </c>
      <c r="AC9" s="577">
        <f>$B$9</f>
        <v>2020</v>
      </c>
      <c r="AD9" s="577">
        <f>$C$9</f>
        <v>2021</v>
      </c>
      <c r="AE9" s="578" t="s">
        <v>83</v>
      </c>
      <c r="AF9" s="577">
        <f>$B$9</f>
        <v>2020</v>
      </c>
      <c r="AG9" s="577">
        <f>$C$9</f>
        <v>2021</v>
      </c>
      <c r="AH9" s="578" t="s">
        <v>83</v>
      </c>
      <c r="AI9" s="577">
        <f>$B$9</f>
        <v>2020</v>
      </c>
      <c r="AJ9" s="577">
        <f>$C$9</f>
        <v>2021</v>
      </c>
      <c r="AK9" s="578" t="s">
        <v>83</v>
      </c>
      <c r="AL9" s="577">
        <f>$B$9</f>
        <v>2020</v>
      </c>
      <c r="AM9" s="577">
        <f>$C$9</f>
        <v>2021</v>
      </c>
      <c r="AN9" s="578" t="s">
        <v>83</v>
      </c>
      <c r="AO9" s="577">
        <f>$B$9</f>
        <v>2020</v>
      </c>
      <c r="AP9" s="577">
        <f>$C$9</f>
        <v>2021</v>
      </c>
      <c r="AQ9" s="578" t="s">
        <v>83</v>
      </c>
      <c r="AR9" s="577">
        <f>$B$9</f>
        <v>2020</v>
      </c>
      <c r="AS9" s="577">
        <f>$C$9</f>
        <v>2021</v>
      </c>
      <c r="AT9" s="578" t="s">
        <v>83</v>
      </c>
      <c r="AU9" s="618"/>
      <c r="AV9" s="618"/>
      <c r="AW9" s="613"/>
      <c r="AX9" s="613"/>
    </row>
    <row r="10" spans="1:50" ht="18.75" customHeight="1" x14ac:dyDescent="0.35">
      <c r="A10" s="626"/>
      <c r="B10" s="826"/>
      <c r="C10" s="826"/>
      <c r="D10" s="627"/>
      <c r="E10" s="826"/>
      <c r="F10" s="826"/>
      <c r="G10" s="630"/>
      <c r="H10" s="826"/>
      <c r="I10" s="826"/>
      <c r="J10" s="628"/>
      <c r="K10" s="826"/>
      <c r="L10" s="826"/>
      <c r="M10" s="629"/>
      <c r="N10" s="826"/>
      <c r="O10" s="826"/>
      <c r="P10" s="629"/>
      <c r="Q10" s="826"/>
      <c r="R10" s="826"/>
      <c r="S10" s="627"/>
      <c r="T10" s="826"/>
      <c r="U10" s="826"/>
      <c r="V10" s="630"/>
      <c r="W10" s="826"/>
      <c r="X10" s="826"/>
      <c r="Y10" s="628"/>
      <c r="Z10" s="826"/>
      <c r="AA10" s="826"/>
      <c r="AB10" s="628"/>
      <c r="AC10" s="826"/>
      <c r="AD10" s="826"/>
      <c r="AE10" s="628"/>
      <c r="AF10" s="826"/>
      <c r="AG10" s="826"/>
      <c r="AH10" s="628"/>
      <c r="AI10" s="826"/>
      <c r="AJ10" s="826"/>
      <c r="AK10" s="628"/>
      <c r="AL10" s="826"/>
      <c r="AM10" s="826"/>
      <c r="AN10" s="628"/>
      <c r="AO10" s="627"/>
      <c r="AP10" s="627"/>
      <c r="AQ10" s="628"/>
      <c r="AR10" s="627"/>
      <c r="AS10" s="627"/>
      <c r="AT10" s="628"/>
      <c r="AU10" s="618"/>
      <c r="AV10" s="618"/>
      <c r="AW10" s="613"/>
      <c r="AX10" s="613"/>
    </row>
    <row r="11" spans="1:50" ht="18.75" customHeight="1" x14ac:dyDescent="0.35">
      <c r="A11" s="583" t="s">
        <v>386</v>
      </c>
      <c r="B11" s="820"/>
      <c r="C11" s="820"/>
      <c r="D11" s="632"/>
      <c r="E11" s="820"/>
      <c r="F11" s="820"/>
      <c r="G11" s="633"/>
      <c r="H11" s="820"/>
      <c r="I11" s="820"/>
      <c r="J11" s="633"/>
      <c r="K11" s="820"/>
      <c r="L11" s="820"/>
      <c r="M11" s="633"/>
      <c r="N11" s="820"/>
      <c r="O11" s="820"/>
      <c r="P11" s="633"/>
      <c r="Q11" s="820"/>
      <c r="R11" s="820"/>
      <c r="S11" s="632"/>
      <c r="T11" s="820"/>
      <c r="U11" s="820"/>
      <c r="V11" s="633"/>
      <c r="W11" s="820"/>
      <c r="X11" s="820"/>
      <c r="Y11" s="633"/>
      <c r="Z11" s="820"/>
      <c r="AA11" s="820"/>
      <c r="AB11" s="633"/>
      <c r="AC11" s="820"/>
      <c r="AD11" s="820"/>
      <c r="AE11" s="633"/>
      <c r="AF11" s="820"/>
      <c r="AG11" s="820"/>
      <c r="AH11" s="633"/>
      <c r="AI11" s="820"/>
      <c r="AJ11" s="820"/>
      <c r="AK11" s="633"/>
      <c r="AL11" s="820"/>
      <c r="AM11" s="820"/>
      <c r="AN11" s="633"/>
      <c r="AO11" s="632"/>
      <c r="AP11" s="632"/>
      <c r="AQ11" s="633"/>
      <c r="AR11" s="632"/>
      <c r="AS11" s="632"/>
      <c r="AT11" s="633"/>
      <c r="AU11" s="618"/>
      <c r="AV11" s="618"/>
      <c r="AW11" s="613"/>
      <c r="AX11" s="613"/>
    </row>
    <row r="12" spans="1:50" s="636" customFormat="1" ht="18.75" customHeight="1" x14ac:dyDescent="0.35">
      <c r="A12" s="588" t="s">
        <v>366</v>
      </c>
      <c r="B12" s="822">
        <f>1.291+0.544</f>
        <v>1.835</v>
      </c>
      <c r="C12" s="822">
        <f>2.393+2.228</f>
        <v>4.6210000000000004</v>
      </c>
      <c r="D12" s="634">
        <f>IF(B12=0, "    ---- ", IF(ABS(ROUND(100/B12*C12-100,1))&lt;999,ROUND(100/B12*C12-100,1),IF(ROUND(100/B12*C12-100,1)&gt;999,999,-999)))</f>
        <v>151.80000000000001</v>
      </c>
      <c r="E12" s="822">
        <v>7</v>
      </c>
      <c r="F12" s="822"/>
      <c r="G12" s="635">
        <f t="shared" ref="G12:G17" si="0">IF(E12=0, "    ---- ", IF(ABS(ROUND(100/E12*F12-100,1))&lt;999,ROUND(100/E12*F12-100,1),IF(ROUND(100/E12*F12-100,1)&gt;999,999,-999)))</f>
        <v>-100</v>
      </c>
      <c r="H12" s="822">
        <f>133.6-63.3</f>
        <v>70.3</v>
      </c>
      <c r="I12" s="822">
        <v>256.61416722124557</v>
      </c>
      <c r="J12" s="635">
        <f t="shared" ref="J12:J17" si="1">IF(H12=0, "    ---- ", IF(ABS(ROUND(100/H12*I12-100,1))&lt;999,ROUND(100/H12*I12-100,1),IF(ROUND(100/H12*I12-100,1)&gt;999,999,-999)))</f>
        <v>265</v>
      </c>
      <c r="K12" s="822"/>
      <c r="L12" s="822"/>
      <c r="M12" s="635"/>
      <c r="N12" s="822"/>
      <c r="O12" s="822"/>
      <c r="P12" s="635"/>
      <c r="Q12" s="822"/>
      <c r="R12" s="822"/>
      <c r="S12" s="634"/>
      <c r="T12" s="822"/>
      <c r="U12" s="822"/>
      <c r="V12" s="635"/>
      <c r="W12" s="822"/>
      <c r="X12" s="822"/>
      <c r="Y12" s="635"/>
      <c r="Z12" s="822">
        <v>92.59</v>
      </c>
      <c r="AA12" s="822">
        <v>294.18</v>
      </c>
      <c r="AB12" s="635">
        <f>IF(Z12=0, "    ---- ", IF(ABS(ROUND(100/Z12*AA12-100,1))&lt;999,ROUND(100/Z12*AA12-100,1),IF(ROUND(100/Z12*AA12-100,1)&gt;999,999,-999)))</f>
        <v>217.7</v>
      </c>
      <c r="AC12" s="822"/>
      <c r="AD12" s="822"/>
      <c r="AE12" s="635"/>
      <c r="AF12" s="822"/>
      <c r="AG12" s="822"/>
      <c r="AH12" s="635"/>
      <c r="AI12" s="822">
        <v>-11</v>
      </c>
      <c r="AJ12" s="822">
        <v>197</v>
      </c>
      <c r="AK12" s="635">
        <f>IF(AI12=0, "    ---- ", IF(ABS(ROUND(100/AI12*AJ12-100,1))&lt;999,ROUND(100/AI12*AJ12-100,1),IF(ROUND(100/AI12*AJ12-100,1)&gt;999,999,-999)))</f>
        <v>-999</v>
      </c>
      <c r="AL12" s="822">
        <v>448</v>
      </c>
      <c r="AM12" s="822">
        <v>471</v>
      </c>
      <c r="AN12" s="635">
        <f t="shared" ref="AN12:AN22" si="2">IF(AL12=0, "    ---- ", IF(ABS(ROUND(100/AL12*AM12-100,1))&lt;999,ROUND(100/AL12*AM12-100,1),IF(ROUND(100/AL12*AM12-100,1)&gt;999,999,-999)))</f>
        <v>5.0999999999999996</v>
      </c>
      <c r="AO12" s="634">
        <f t="shared" ref="AO12:AO22" si="3">B12+H12+K12+N12+Q12+W12+E12+Z12+AC12+AI12+AL12</f>
        <v>608.72500000000002</v>
      </c>
      <c r="AP12" s="634">
        <f t="shared" ref="AP12:AP22" si="4">C12+I12+L12+O12+R12+X12+F12+AA12+AD12+AJ12+AM12</f>
        <v>1223.4151672212456</v>
      </c>
      <c r="AQ12" s="635">
        <f t="shared" ref="AQ12:AQ43" si="5">IF(AO12=0, "    ---- ", IF(ABS(ROUND(100/AO12*AP12-100,1))&lt;999,ROUND(100/AO12*AP12-100,1),IF(ROUND(100/AO12*AP12-100,1)&gt;999,999,-999)))</f>
        <v>101</v>
      </c>
      <c r="AR12" s="634">
        <f t="shared" ref="AR12:AR43" si="6">+B12+H12+K12+N12+Q12+T12+W12+E12+Z12+AC12+AF12+AI12+AL12</f>
        <v>608.72500000000002</v>
      </c>
      <c r="AS12" s="634">
        <f t="shared" ref="AS12:AS43" si="7">+C12+I12+L12+O12+R12+U12+X12+F12+AA12+AD12+AG12+AJ12+AM12</f>
        <v>1223.4151672212456</v>
      </c>
      <c r="AT12" s="635">
        <f t="shared" ref="AT12:AT43" si="8">IF(AR12=0, "    ---- ", IF(ABS(ROUND(100/AR12*AS12-100,1))&lt;999,ROUND(100/AR12*AS12-100,1),IF(ROUND(100/AR12*AS12-100,1)&gt;999,999,-999)))</f>
        <v>101</v>
      </c>
      <c r="AU12" s="618"/>
      <c r="AV12" s="618"/>
      <c r="AW12" s="613"/>
      <c r="AX12" s="613"/>
    </row>
    <row r="13" spans="1:50" s="636" customFormat="1" ht="18.75" customHeight="1" x14ac:dyDescent="0.35">
      <c r="A13" s="588" t="s">
        <v>367</v>
      </c>
      <c r="B13" s="822"/>
      <c r="C13" s="822"/>
      <c r="D13" s="634"/>
      <c r="E13" s="822"/>
      <c r="F13" s="822"/>
      <c r="G13" s="635"/>
      <c r="H13" s="822">
        <f>1.6+63.7</f>
        <v>65.3</v>
      </c>
      <c r="I13" s="822">
        <v>-32.863366036034002</v>
      </c>
      <c r="J13" s="635">
        <f t="shared" si="1"/>
        <v>-150.30000000000001</v>
      </c>
      <c r="K13" s="822"/>
      <c r="L13" s="822"/>
      <c r="M13" s="635"/>
      <c r="N13" s="822"/>
      <c r="O13" s="822"/>
      <c r="P13" s="635"/>
      <c r="Q13" s="822"/>
      <c r="R13" s="822"/>
      <c r="S13" s="634"/>
      <c r="T13" s="822"/>
      <c r="U13" s="822"/>
      <c r="V13" s="635"/>
      <c r="W13" s="822"/>
      <c r="X13" s="822"/>
      <c r="Y13" s="635"/>
      <c r="Z13" s="822">
        <v>-56.43</v>
      </c>
      <c r="AA13" s="822">
        <v>-171.34</v>
      </c>
      <c r="AB13" s="635">
        <f>IF(Z13=0, "    ---- ", IF(ABS(ROUND(100/Z13*AA13-100,1))&lt;999,ROUND(100/Z13*AA13-100,1),IF(ROUND(100/Z13*AA13-100,1)&gt;999,999,-999)))</f>
        <v>203.6</v>
      </c>
      <c r="AC13" s="822"/>
      <c r="AD13" s="822"/>
      <c r="AE13" s="635"/>
      <c r="AF13" s="822"/>
      <c r="AG13" s="822"/>
      <c r="AH13" s="635"/>
      <c r="AI13" s="822">
        <v>11</v>
      </c>
      <c r="AJ13" s="822">
        <v>-44</v>
      </c>
      <c r="AK13" s="635">
        <f>IF(AI13=0, "    ---- ", IF(ABS(ROUND(100/AI13*AJ13-100,1))&lt;999,ROUND(100/AI13*AJ13-100,1),IF(ROUND(100/AI13*AJ13-100,1)&gt;999,999,-999)))</f>
        <v>-500</v>
      </c>
      <c r="AL13" s="822">
        <v>-293.3</v>
      </c>
      <c r="AM13" s="822">
        <v>-185</v>
      </c>
      <c r="AN13" s="635">
        <f t="shared" si="2"/>
        <v>-36.9</v>
      </c>
      <c r="AO13" s="634">
        <f t="shared" si="3"/>
        <v>-273.43</v>
      </c>
      <c r="AP13" s="634">
        <f t="shared" si="4"/>
        <v>-433.20336603603403</v>
      </c>
      <c r="AQ13" s="635">
        <f t="shared" si="5"/>
        <v>58.4</v>
      </c>
      <c r="AR13" s="634">
        <f t="shared" si="6"/>
        <v>-273.43</v>
      </c>
      <c r="AS13" s="634">
        <f t="shared" si="7"/>
        <v>-433.20336603603403</v>
      </c>
      <c r="AT13" s="635">
        <f t="shared" si="8"/>
        <v>58.4</v>
      </c>
      <c r="AU13" s="618"/>
      <c r="AV13" s="618"/>
      <c r="AW13" s="613"/>
      <c r="AX13" s="613"/>
    </row>
    <row r="14" spans="1:50" s="636" customFormat="1" ht="18.75" customHeight="1" x14ac:dyDescent="0.35">
      <c r="A14" s="588" t="s">
        <v>368</v>
      </c>
      <c r="B14" s="822">
        <f>-2.784-1.035</f>
        <v>-3.819</v>
      </c>
      <c r="C14" s="822">
        <f>-3.393-0.304</f>
        <v>-3.6969999999999996</v>
      </c>
      <c r="D14" s="634">
        <f>IF(B14=0, "    ---- ", IF(ABS(ROUND(100/B14*C14-100,1))&lt;999,ROUND(100/B14*C14-100,1),IF(ROUND(100/B14*C14-100,1)&gt;999,999,-999)))</f>
        <v>-3.2</v>
      </c>
      <c r="E14" s="822">
        <v>-2</v>
      </c>
      <c r="F14" s="822"/>
      <c r="G14" s="635">
        <f t="shared" si="0"/>
        <v>-100</v>
      </c>
      <c r="H14" s="822">
        <f>36+4.7</f>
        <v>40.700000000000003</v>
      </c>
      <c r="I14" s="822">
        <v>-4.6791234727410043</v>
      </c>
      <c r="J14" s="635">
        <f t="shared" si="1"/>
        <v>-111.5</v>
      </c>
      <c r="K14" s="822"/>
      <c r="L14" s="822"/>
      <c r="M14" s="635"/>
      <c r="N14" s="822"/>
      <c r="O14" s="822"/>
      <c r="P14" s="635"/>
      <c r="Q14" s="822"/>
      <c r="R14" s="822"/>
      <c r="S14" s="634"/>
      <c r="T14" s="822"/>
      <c r="U14" s="822"/>
      <c r="V14" s="635"/>
      <c r="W14" s="822"/>
      <c r="X14" s="822"/>
      <c r="Y14" s="635"/>
      <c r="Z14" s="822">
        <v>12.3</v>
      </c>
      <c r="AA14" s="822">
        <v>12.04</v>
      </c>
      <c r="AB14" s="635">
        <f t="shared" ref="AB14:AB21" si="9">IF(Z14=0, "    ---- ", IF(ABS(ROUND(100/Z14*AA14-100,1))&lt;999,ROUND(100/Z14*AA14-100,1),IF(ROUND(100/Z14*AA14-100,1)&gt;999,999,-999)))</f>
        <v>-2.1</v>
      </c>
      <c r="AC14" s="822"/>
      <c r="AD14" s="822"/>
      <c r="AE14" s="635"/>
      <c r="AF14" s="822"/>
      <c r="AG14" s="822"/>
      <c r="AH14" s="635"/>
      <c r="AI14" s="822">
        <v>-11</v>
      </c>
      <c r="AJ14" s="822">
        <v>-25</v>
      </c>
      <c r="AK14" s="635">
        <f>IF(AI14=0, "    ---- ", IF(ABS(ROUND(100/AI14*AJ14-100,1))&lt;999,ROUND(100/AI14*AJ14-100,1),IF(ROUND(100/AI14*AJ14-100,1)&gt;999,999,-999)))</f>
        <v>127.3</v>
      </c>
      <c r="AL14" s="822">
        <v>-38</v>
      </c>
      <c r="AM14" s="822">
        <v>-53</v>
      </c>
      <c r="AN14" s="635">
        <f t="shared" si="2"/>
        <v>39.5</v>
      </c>
      <c r="AO14" s="634">
        <f t="shared" si="3"/>
        <v>-1.8190000000000026</v>
      </c>
      <c r="AP14" s="634">
        <f t="shared" si="4"/>
        <v>-74.336123472741008</v>
      </c>
      <c r="AQ14" s="635">
        <f t="shared" si="5"/>
        <v>999</v>
      </c>
      <c r="AR14" s="634">
        <f t="shared" si="6"/>
        <v>-1.8190000000000026</v>
      </c>
      <c r="AS14" s="634">
        <f t="shared" si="7"/>
        <v>-74.336123472741008</v>
      </c>
      <c r="AT14" s="635">
        <f t="shared" si="8"/>
        <v>999</v>
      </c>
      <c r="AU14" s="618"/>
      <c r="AV14" s="618"/>
      <c r="AW14" s="613"/>
      <c r="AX14" s="613"/>
    </row>
    <row r="15" spans="1:50" s="636" customFormat="1" ht="18.75" customHeight="1" x14ac:dyDescent="0.35">
      <c r="A15" s="588" t="s">
        <v>369</v>
      </c>
      <c r="B15" s="822"/>
      <c r="C15" s="822"/>
      <c r="D15" s="634"/>
      <c r="E15" s="822">
        <v>1</v>
      </c>
      <c r="F15" s="822"/>
      <c r="G15" s="635">
        <f t="shared" si="0"/>
        <v>-100</v>
      </c>
      <c r="H15" s="822">
        <f>21.3</f>
        <v>21.3</v>
      </c>
      <c r="I15" s="822">
        <v>18.675574700000002</v>
      </c>
      <c r="J15" s="635">
        <f t="shared" si="1"/>
        <v>-12.3</v>
      </c>
      <c r="K15" s="822"/>
      <c r="L15" s="822"/>
      <c r="M15" s="635"/>
      <c r="N15" s="822"/>
      <c r="O15" s="822"/>
      <c r="P15" s="635"/>
      <c r="Q15" s="822"/>
      <c r="R15" s="822"/>
      <c r="S15" s="634"/>
      <c r="T15" s="822"/>
      <c r="U15" s="822"/>
      <c r="V15" s="635"/>
      <c r="W15" s="822"/>
      <c r="X15" s="822"/>
      <c r="Y15" s="635"/>
      <c r="Z15" s="822">
        <v>0.62</v>
      </c>
      <c r="AA15" s="822">
        <v>0.56999999999999995</v>
      </c>
      <c r="AB15" s="635">
        <f t="shared" si="9"/>
        <v>-8.1</v>
      </c>
      <c r="AC15" s="822"/>
      <c r="AD15" s="822"/>
      <c r="AE15" s="635"/>
      <c r="AF15" s="822"/>
      <c r="AG15" s="822"/>
      <c r="AH15" s="635"/>
      <c r="AI15" s="822"/>
      <c r="AJ15" s="822"/>
      <c r="AK15" s="635"/>
      <c r="AL15" s="822">
        <v>29</v>
      </c>
      <c r="AM15" s="822">
        <v>28</v>
      </c>
      <c r="AN15" s="635">
        <f t="shared" si="2"/>
        <v>-3.4</v>
      </c>
      <c r="AO15" s="634">
        <f t="shared" si="3"/>
        <v>51.92</v>
      </c>
      <c r="AP15" s="634">
        <f t="shared" si="4"/>
        <v>47.245574700000006</v>
      </c>
      <c r="AQ15" s="635">
        <f t="shared" si="5"/>
        <v>-9</v>
      </c>
      <c r="AR15" s="634">
        <f t="shared" si="6"/>
        <v>51.92</v>
      </c>
      <c r="AS15" s="634">
        <f t="shared" si="7"/>
        <v>47.245574700000006</v>
      </c>
      <c r="AT15" s="635">
        <f t="shared" si="8"/>
        <v>-9</v>
      </c>
      <c r="AU15" s="618"/>
      <c r="AV15" s="618"/>
      <c r="AW15" s="613"/>
      <c r="AX15" s="613"/>
    </row>
    <row r="16" spans="1:50" s="636" customFormat="1" ht="18.75" customHeight="1" x14ac:dyDescent="0.35">
      <c r="A16" s="588" t="s">
        <v>370</v>
      </c>
      <c r="B16" s="822">
        <v>1.552</v>
      </c>
      <c r="C16" s="822">
        <v>1.7450000000000001</v>
      </c>
      <c r="D16" s="634">
        <f>IF(B16=0, "    ---- ", IF(ABS(ROUND(100/B16*C16-100,1))&lt;999,ROUND(100/B16*C16-100,1),IF(ROUND(100/B16*C16-100,1)&gt;999,999,-999)))</f>
        <v>12.4</v>
      </c>
      <c r="E16" s="822">
        <v>2</v>
      </c>
      <c r="F16" s="822"/>
      <c r="G16" s="635">
        <f t="shared" si="0"/>
        <v>-100</v>
      </c>
      <c r="H16" s="822">
        <f>71.2</f>
        <v>71.2</v>
      </c>
      <c r="I16" s="822">
        <v>87.983970589999998</v>
      </c>
      <c r="J16" s="635">
        <f t="shared" si="1"/>
        <v>23.6</v>
      </c>
      <c r="K16" s="822"/>
      <c r="L16" s="822"/>
      <c r="M16" s="635"/>
      <c r="N16" s="822"/>
      <c r="O16" s="822"/>
      <c r="P16" s="635"/>
      <c r="Q16" s="822"/>
      <c r="R16" s="822"/>
      <c r="S16" s="634"/>
      <c r="T16" s="822"/>
      <c r="U16" s="822"/>
      <c r="V16" s="635"/>
      <c r="W16" s="822"/>
      <c r="X16" s="822"/>
      <c r="Y16" s="635"/>
      <c r="Z16" s="822">
        <v>67.56</v>
      </c>
      <c r="AA16" s="822">
        <v>66.7</v>
      </c>
      <c r="AB16" s="635">
        <f t="shared" si="9"/>
        <v>-1.3</v>
      </c>
      <c r="AC16" s="822"/>
      <c r="AD16" s="822"/>
      <c r="AE16" s="635"/>
      <c r="AF16" s="822"/>
      <c r="AG16" s="822"/>
      <c r="AH16" s="635"/>
      <c r="AI16" s="822">
        <v>14</v>
      </c>
      <c r="AJ16" s="822">
        <v>19</v>
      </c>
      <c r="AK16" s="635">
        <f>IF(AI16=0, "    ---- ", IF(ABS(ROUND(100/AI16*AJ16-100,1))&lt;999,ROUND(100/AI16*AJ16-100,1),IF(ROUND(100/AI16*AJ16-100,1)&gt;999,999,-999)))</f>
        <v>35.700000000000003</v>
      </c>
      <c r="AL16" s="822">
        <v>197</v>
      </c>
      <c r="AM16" s="822">
        <v>214</v>
      </c>
      <c r="AN16" s="635">
        <f t="shared" si="2"/>
        <v>8.6</v>
      </c>
      <c r="AO16" s="634">
        <f t="shared" si="3"/>
        <v>353.31200000000001</v>
      </c>
      <c r="AP16" s="634">
        <f t="shared" si="4"/>
        <v>389.42897059000001</v>
      </c>
      <c r="AQ16" s="635">
        <f t="shared" si="5"/>
        <v>10.199999999999999</v>
      </c>
      <c r="AR16" s="634">
        <f t="shared" si="6"/>
        <v>353.31200000000001</v>
      </c>
      <c r="AS16" s="634">
        <f t="shared" si="7"/>
        <v>389.42897059000001</v>
      </c>
      <c r="AT16" s="635">
        <f t="shared" si="8"/>
        <v>10.199999999999999</v>
      </c>
      <c r="AU16" s="618"/>
      <c r="AV16" s="618"/>
      <c r="AW16" s="613"/>
      <c r="AX16" s="613"/>
    </row>
    <row r="17" spans="1:50" s="636" customFormat="1" ht="18.75" customHeight="1" x14ac:dyDescent="0.35">
      <c r="A17" s="588" t="s">
        <v>371</v>
      </c>
      <c r="B17" s="822">
        <f>-4.909+0.348</f>
        <v>-4.5609999999999999</v>
      </c>
      <c r="C17" s="822">
        <f>1.049+3.443</f>
        <v>4.492</v>
      </c>
      <c r="D17" s="634">
        <f>IF(B17=0, "    ---- ", IF(ABS(ROUND(100/B17*C17-100,1))&lt;999,ROUND(100/B17*C17-100,1),IF(ROUND(100/B17*C17-100,1)&gt;999,999,-999)))</f>
        <v>-198.5</v>
      </c>
      <c r="E17" s="822">
        <v>-1</v>
      </c>
      <c r="F17" s="822"/>
      <c r="G17" s="635">
        <f t="shared" si="0"/>
        <v>-100</v>
      </c>
      <c r="H17" s="822">
        <f>3.3+11.3</f>
        <v>14.600000000000001</v>
      </c>
      <c r="I17" s="822">
        <v>-9.7063690418468695</v>
      </c>
      <c r="J17" s="635">
        <f t="shared" si="1"/>
        <v>-166.5</v>
      </c>
      <c r="K17" s="822"/>
      <c r="L17" s="822"/>
      <c r="M17" s="635"/>
      <c r="N17" s="822"/>
      <c r="O17" s="822"/>
      <c r="P17" s="635"/>
      <c r="Q17" s="822"/>
      <c r="R17" s="822"/>
      <c r="S17" s="634"/>
      <c r="T17" s="822"/>
      <c r="U17" s="822"/>
      <c r="V17" s="635"/>
      <c r="W17" s="822"/>
      <c r="X17" s="822"/>
      <c r="Y17" s="635"/>
      <c r="Z17" s="822">
        <v>-0.49</v>
      </c>
      <c r="AA17" s="822">
        <v>12.24</v>
      </c>
      <c r="AB17" s="635">
        <f t="shared" si="9"/>
        <v>-999</v>
      </c>
      <c r="AC17" s="822"/>
      <c r="AD17" s="822"/>
      <c r="AE17" s="635"/>
      <c r="AF17" s="822"/>
      <c r="AG17" s="822"/>
      <c r="AH17" s="635"/>
      <c r="AI17" s="822">
        <v>4</v>
      </c>
      <c r="AJ17" s="822">
        <v>16</v>
      </c>
      <c r="AK17" s="635">
        <f>IF(AI17=0, "    ---- ", IF(ABS(ROUND(100/AI17*AJ17-100,1))&lt;999,ROUND(100/AI17*AJ17-100,1),IF(ROUND(100/AI17*AJ17-100,1)&gt;999,999,-999)))</f>
        <v>300</v>
      </c>
      <c r="AL17" s="822">
        <v>-147</v>
      </c>
      <c r="AM17" s="822">
        <v>-48.4</v>
      </c>
      <c r="AN17" s="635">
        <f t="shared" si="2"/>
        <v>-67.099999999999994</v>
      </c>
      <c r="AO17" s="634">
        <f t="shared" si="3"/>
        <v>-134.45099999999999</v>
      </c>
      <c r="AP17" s="634">
        <f t="shared" si="4"/>
        <v>-25.374369041846869</v>
      </c>
      <c r="AQ17" s="635">
        <f t="shared" si="5"/>
        <v>-81.099999999999994</v>
      </c>
      <c r="AR17" s="634">
        <f t="shared" si="6"/>
        <v>-134.45099999999999</v>
      </c>
      <c r="AS17" s="634">
        <f t="shared" si="7"/>
        <v>-25.374369041846869</v>
      </c>
      <c r="AT17" s="635">
        <f t="shared" si="8"/>
        <v>-81.099999999999994</v>
      </c>
      <c r="AU17" s="618"/>
      <c r="AV17" s="618"/>
      <c r="AW17" s="613"/>
      <c r="AX17" s="613"/>
    </row>
    <row r="18" spans="1:50" s="636" customFormat="1" ht="18.75" customHeight="1" x14ac:dyDescent="0.35">
      <c r="A18" s="588" t="s">
        <v>372</v>
      </c>
      <c r="B18" s="822"/>
      <c r="C18" s="822"/>
      <c r="D18" s="634"/>
      <c r="E18" s="822"/>
      <c r="F18" s="822"/>
      <c r="G18" s="635"/>
      <c r="H18" s="822"/>
      <c r="I18" s="822"/>
      <c r="J18" s="635"/>
      <c r="K18" s="822"/>
      <c r="L18" s="822"/>
      <c r="M18" s="635"/>
      <c r="N18" s="822"/>
      <c r="O18" s="822"/>
      <c r="P18" s="635"/>
      <c r="Q18" s="822"/>
      <c r="R18" s="822"/>
      <c r="S18" s="634"/>
      <c r="T18" s="822"/>
      <c r="U18" s="822"/>
      <c r="V18" s="635"/>
      <c r="W18" s="822"/>
      <c r="X18" s="822"/>
      <c r="Y18" s="635"/>
      <c r="Z18" s="822">
        <v>15.65</v>
      </c>
      <c r="AA18" s="822">
        <v>22.91</v>
      </c>
      <c r="AB18" s="635">
        <f t="shared" si="9"/>
        <v>46.4</v>
      </c>
      <c r="AC18" s="822"/>
      <c r="AD18" s="822"/>
      <c r="AE18" s="635"/>
      <c r="AF18" s="822"/>
      <c r="AG18" s="822"/>
      <c r="AH18" s="635"/>
      <c r="AI18" s="822"/>
      <c r="AJ18" s="822"/>
      <c r="AK18" s="635"/>
      <c r="AL18" s="822">
        <v>-144</v>
      </c>
      <c r="AM18" s="822">
        <v>-48</v>
      </c>
      <c r="AN18" s="635">
        <f t="shared" si="2"/>
        <v>-66.7</v>
      </c>
      <c r="AO18" s="634">
        <f t="shared" si="3"/>
        <v>-128.35</v>
      </c>
      <c r="AP18" s="634">
        <f t="shared" si="4"/>
        <v>-25.09</v>
      </c>
      <c r="AQ18" s="635">
        <f t="shared" si="5"/>
        <v>-80.5</v>
      </c>
      <c r="AR18" s="634">
        <f t="shared" si="6"/>
        <v>-128.35</v>
      </c>
      <c r="AS18" s="634">
        <f t="shared" si="7"/>
        <v>-25.09</v>
      </c>
      <c r="AT18" s="635">
        <f t="shared" si="8"/>
        <v>-80.5</v>
      </c>
      <c r="AU18" s="618"/>
      <c r="AV18" s="618"/>
      <c r="AW18" s="613"/>
      <c r="AX18" s="613"/>
    </row>
    <row r="19" spans="1:50" s="636" customFormat="1" ht="18.75" customHeight="1" x14ac:dyDescent="0.35">
      <c r="A19" s="588" t="s">
        <v>373</v>
      </c>
      <c r="B19" s="822"/>
      <c r="C19" s="822"/>
      <c r="D19" s="634"/>
      <c r="E19" s="822">
        <v>0</v>
      </c>
      <c r="F19" s="822"/>
      <c r="G19" s="635" t="str">
        <f>IF(E19=0, "    ---- ", IF(ABS(ROUND(100/E19*F19-100,1))&lt;999,ROUND(100/E19*F19-100,1),IF(ROUND(100/E19*F19-100,1)&gt;999,999,-999)))</f>
        <v xml:space="preserve">    ---- </v>
      </c>
      <c r="H19" s="822"/>
      <c r="I19" s="822"/>
      <c r="J19" s="635"/>
      <c r="K19" s="822"/>
      <c r="L19" s="822"/>
      <c r="M19" s="635"/>
      <c r="N19" s="822"/>
      <c r="O19" s="822"/>
      <c r="P19" s="635"/>
      <c r="Q19" s="822"/>
      <c r="R19" s="822"/>
      <c r="S19" s="634"/>
      <c r="T19" s="822"/>
      <c r="U19" s="822"/>
      <c r="V19" s="635"/>
      <c r="W19" s="822"/>
      <c r="X19" s="822"/>
      <c r="Y19" s="635"/>
      <c r="Z19" s="822"/>
      <c r="AA19" s="822">
        <v>0</v>
      </c>
      <c r="AB19" s="635" t="str">
        <f t="shared" si="9"/>
        <v xml:space="preserve">    ---- </v>
      </c>
      <c r="AC19" s="822"/>
      <c r="AD19" s="822"/>
      <c r="AE19" s="635"/>
      <c r="AF19" s="822"/>
      <c r="AG19" s="822"/>
      <c r="AH19" s="635"/>
      <c r="AI19" s="822"/>
      <c r="AJ19" s="822"/>
      <c r="AK19" s="635"/>
      <c r="AL19" s="822"/>
      <c r="AM19" s="822"/>
      <c r="AN19" s="635" t="str">
        <f t="shared" si="2"/>
        <v xml:space="preserve">    ---- </v>
      </c>
      <c r="AO19" s="634">
        <f t="shared" si="3"/>
        <v>0</v>
      </c>
      <c r="AP19" s="634">
        <f t="shared" si="4"/>
        <v>0</v>
      </c>
      <c r="AQ19" s="635" t="str">
        <f t="shared" si="5"/>
        <v xml:space="preserve">    ---- </v>
      </c>
      <c r="AR19" s="634">
        <f t="shared" si="6"/>
        <v>0</v>
      </c>
      <c r="AS19" s="634">
        <f t="shared" si="7"/>
        <v>0</v>
      </c>
      <c r="AT19" s="635" t="str">
        <f t="shared" si="8"/>
        <v xml:space="preserve">    ---- </v>
      </c>
      <c r="AU19" s="618"/>
      <c r="AV19" s="618"/>
      <c r="AW19" s="613"/>
      <c r="AX19" s="613"/>
    </row>
    <row r="20" spans="1:50" s="639" customFormat="1" ht="18.75" customHeight="1" x14ac:dyDescent="0.3">
      <c r="A20" s="583" t="s">
        <v>374</v>
      </c>
      <c r="B20" s="820">
        <f>SUM(B12:B17)+B19</f>
        <v>-4.9930000000000003</v>
      </c>
      <c r="C20" s="820">
        <f>SUM(C12:C17)+C19</f>
        <v>7.1610000000000014</v>
      </c>
      <c r="D20" s="632">
        <f>IF(B20=0, "    ---- ", IF(ABS(ROUND(100/B20*C20-100,1))&lt;999,ROUND(100/B20*C20-100,1),IF(ROUND(100/B20*C20-100,1)&gt;999,999,-999)))</f>
        <v>-243.4</v>
      </c>
      <c r="E20" s="820">
        <f>SUM(E12:E17)+E19</f>
        <v>7</v>
      </c>
      <c r="F20" s="820"/>
      <c r="G20" s="633">
        <f>IF(E20=0, "    ---- ", IF(ABS(ROUND(100/E20*F20-100,1))&lt;999,ROUND(100/E20*F20-100,1),IF(ROUND(100/E20*F20-100,1)&gt;999,999,-999)))</f>
        <v>-100</v>
      </c>
      <c r="H20" s="820">
        <f>SUM(H12:H17)+H19</f>
        <v>283.40000000000003</v>
      </c>
      <c r="I20" s="820">
        <f>SUM(I12:I17)+I19</f>
        <v>316.02485396062372</v>
      </c>
      <c r="J20" s="633">
        <f>IF(H20=0, "    ---- ", IF(ABS(ROUND(100/H20*I20-100,1))&lt;999,ROUND(100/H20*I20-100,1),IF(ROUND(100/H20*I20-100,1)&gt;999,999,-999)))</f>
        <v>11.5</v>
      </c>
      <c r="K20" s="820"/>
      <c r="L20" s="820"/>
      <c r="M20" s="633"/>
      <c r="N20" s="820"/>
      <c r="O20" s="820"/>
      <c r="P20" s="633"/>
      <c r="Q20" s="820"/>
      <c r="R20" s="820"/>
      <c r="S20" s="632"/>
      <c r="T20" s="820"/>
      <c r="U20" s="820"/>
      <c r="V20" s="633"/>
      <c r="W20" s="820"/>
      <c r="X20" s="820"/>
      <c r="Y20" s="633"/>
      <c r="Z20" s="820">
        <f>SUM(Z12:Z17)+Z19</f>
        <v>116.15000000000002</v>
      </c>
      <c r="AA20" s="820">
        <f>SUM(AA12:AA17)+AA19</f>
        <v>214.39</v>
      </c>
      <c r="AB20" s="633">
        <f t="shared" si="9"/>
        <v>84.6</v>
      </c>
      <c r="AC20" s="820"/>
      <c r="AD20" s="820"/>
      <c r="AE20" s="633"/>
      <c r="AF20" s="820"/>
      <c r="AG20" s="820"/>
      <c r="AH20" s="633"/>
      <c r="AI20" s="820">
        <f>SUM(AI12:AI17)+AI19</f>
        <v>7</v>
      </c>
      <c r="AJ20" s="820">
        <f>SUM(AJ12:AJ17)+AJ19</f>
        <v>163</v>
      </c>
      <c r="AK20" s="633">
        <f>IF(AI20=0, "    ---- ", IF(ABS(ROUND(100/AI20*AJ20-100,1))&lt;999,ROUND(100/AI20*AJ20-100,1),IF(ROUND(100/AI20*AJ20-100,1)&gt;999,999,-999)))</f>
        <v>999</v>
      </c>
      <c r="AL20" s="820">
        <v>195.7</v>
      </c>
      <c r="AM20" s="820">
        <f>SUM(AM12:AM17)+AM19</f>
        <v>426.6</v>
      </c>
      <c r="AN20" s="633">
        <f t="shared" si="2"/>
        <v>118</v>
      </c>
      <c r="AO20" s="632">
        <f t="shared" si="3"/>
        <v>604.25700000000006</v>
      </c>
      <c r="AP20" s="632">
        <f t="shared" si="4"/>
        <v>1127.1758539606237</v>
      </c>
      <c r="AQ20" s="633">
        <f t="shared" si="5"/>
        <v>86.5</v>
      </c>
      <c r="AR20" s="632">
        <f t="shared" si="6"/>
        <v>604.25700000000006</v>
      </c>
      <c r="AS20" s="632">
        <f t="shared" si="7"/>
        <v>1127.1758539606237</v>
      </c>
      <c r="AT20" s="633">
        <f t="shared" si="8"/>
        <v>86.5</v>
      </c>
      <c r="AU20" s="637"/>
      <c r="AV20" s="616"/>
      <c r="AW20" s="638"/>
      <c r="AX20" s="638"/>
    </row>
    <row r="21" spans="1:50" s="636" customFormat="1" ht="18.75" customHeight="1" x14ac:dyDescent="0.35">
      <c r="A21" s="588" t="s">
        <v>375</v>
      </c>
      <c r="B21" s="822">
        <f>1.291+0.544</f>
        <v>1.835</v>
      </c>
      <c r="C21" s="822">
        <f>1.722+2.228+0.524+2.393</f>
        <v>6.867</v>
      </c>
      <c r="D21" s="634">
        <f>IF(B21=0, "    ---- ", IF(ABS(ROUND(100/B21*C21-100,1))&lt;999,ROUND(100/B21*C21-100,1),IF(ROUND(100/B21*C21-100,1)&gt;999,999,-999)))</f>
        <v>274.2</v>
      </c>
      <c r="E21" s="822">
        <v>6</v>
      </c>
      <c r="F21" s="822"/>
      <c r="G21" s="635">
        <f>IF(E21=0, "    ---- ", IF(ABS(ROUND(100/E21*F21-100,1))&lt;999,ROUND(100/E21*F21-100,1),IF(ROUND(100/E21*F21-100,1)&gt;999,999,-999)))</f>
        <v>-100</v>
      </c>
      <c r="H21" s="822">
        <f>139.4+11.3</f>
        <v>150.70000000000002</v>
      </c>
      <c r="I21" s="822">
        <v>227.52416693970599</v>
      </c>
      <c r="J21" s="635">
        <f>IF(H21=0, "    ---- ", IF(ABS(ROUND(100/H21*I21-100,1))&lt;999,ROUND(100/H21*I21-100,1),IF(ROUND(100/H21*I21-100,1)&gt;999,999,-999)))</f>
        <v>51</v>
      </c>
      <c r="K21" s="822"/>
      <c r="L21" s="822"/>
      <c r="M21" s="635"/>
      <c r="N21" s="822"/>
      <c r="O21" s="822"/>
      <c r="P21" s="635"/>
      <c r="Q21" s="822"/>
      <c r="R21" s="822"/>
      <c r="S21" s="634"/>
      <c r="T21" s="822"/>
      <c r="U21" s="822"/>
      <c r="V21" s="635"/>
      <c r="W21" s="822"/>
      <c r="X21" s="822"/>
      <c r="Y21" s="635"/>
      <c r="Z21" s="822">
        <v>61.09</v>
      </c>
      <c r="AA21" s="822">
        <v>127.82</v>
      </c>
      <c r="AB21" s="635">
        <f t="shared" si="9"/>
        <v>109.2</v>
      </c>
      <c r="AC21" s="822"/>
      <c r="AD21" s="822"/>
      <c r="AE21" s="635"/>
      <c r="AF21" s="822"/>
      <c r="AG21" s="822"/>
      <c r="AH21" s="635"/>
      <c r="AI21" s="822">
        <v>2</v>
      </c>
      <c r="AJ21" s="822">
        <v>159</v>
      </c>
      <c r="AK21" s="635">
        <f>IF(AI21=0, "    ---- ", IF(ABS(ROUND(100/AI21*AJ21-100,1))&lt;999,ROUND(100/AI21*AJ21-100,1),IF(ROUND(100/AI21*AJ21-100,1)&gt;999,999,-999)))</f>
        <v>999</v>
      </c>
      <c r="AL21" s="822">
        <v>152.02000000000001</v>
      </c>
      <c r="AM21" s="822">
        <v>286</v>
      </c>
      <c r="AN21" s="635">
        <f t="shared" si="2"/>
        <v>88.1</v>
      </c>
      <c r="AO21" s="634">
        <f t="shared" si="3"/>
        <v>373.64500000000004</v>
      </c>
      <c r="AP21" s="634">
        <f t="shared" si="4"/>
        <v>807.211166939706</v>
      </c>
      <c r="AQ21" s="635">
        <f t="shared" si="5"/>
        <v>116</v>
      </c>
      <c r="AR21" s="634">
        <f t="shared" si="6"/>
        <v>373.64500000000004</v>
      </c>
      <c r="AS21" s="634">
        <f t="shared" si="7"/>
        <v>807.211166939706</v>
      </c>
      <c r="AT21" s="635">
        <f t="shared" si="8"/>
        <v>116</v>
      </c>
      <c r="AU21" s="618"/>
      <c r="AV21" s="618"/>
      <c r="AW21" s="613"/>
      <c r="AX21" s="613"/>
    </row>
    <row r="22" spans="1:50" s="636" customFormat="1" ht="18.75" customHeight="1" x14ac:dyDescent="0.35">
      <c r="A22" s="588" t="s">
        <v>376</v>
      </c>
      <c r="B22" s="822">
        <f>-6.141-0.667</f>
        <v>-6.8079999999999998</v>
      </c>
      <c r="C22" s="822">
        <f>-1.124+1.418</f>
        <v>0.29399999999999982</v>
      </c>
      <c r="D22" s="634">
        <f>IF(B22=0, "    ---- ", IF(ABS(ROUND(100/B22*C22-100,1))&lt;999,ROUND(100/B22*C22-100,1),IF(ROUND(100/B22*C22-100,1)&gt;999,999,-999)))</f>
        <v>-104.3</v>
      </c>
      <c r="E22" s="822">
        <v>1</v>
      </c>
      <c r="F22" s="822"/>
      <c r="G22" s="635">
        <f>IF(E22=0, "    ---- ", IF(ABS(ROUND(100/E22*F22-100,1))&lt;999,ROUND(100/E22*F22-100,1),IF(ROUND(100/E22*F22-100,1)&gt;999,999,-999)))</f>
        <v>-100</v>
      </c>
      <c r="H22" s="822">
        <f>127.6+5.1</f>
        <v>132.69999999999999</v>
      </c>
      <c r="I22" s="822">
        <v>88.50068702091788</v>
      </c>
      <c r="J22" s="635">
        <f>IF(H22=0, "    ---- ", IF(ABS(ROUND(100/H22*I22-100,1))&lt;999,ROUND(100/H22*I22-100,1),IF(ROUND(100/H22*I22-100,1)&gt;999,999,-999)))</f>
        <v>-33.299999999999997</v>
      </c>
      <c r="K22" s="822"/>
      <c r="L22" s="822"/>
      <c r="M22" s="635"/>
      <c r="N22" s="822"/>
      <c r="O22" s="822"/>
      <c r="P22" s="635"/>
      <c r="Q22" s="822"/>
      <c r="R22" s="822"/>
      <c r="S22" s="634"/>
      <c r="T22" s="822"/>
      <c r="U22" s="822"/>
      <c r="V22" s="635"/>
      <c r="W22" s="822"/>
      <c r="X22" s="822"/>
      <c r="Y22" s="635"/>
      <c r="Z22" s="822">
        <v>55.05</v>
      </c>
      <c r="AA22" s="822">
        <v>86.58</v>
      </c>
      <c r="AB22" s="635">
        <f>IF(Z22=0, "    ---- ", IF(ABS(ROUND(100/Z22*AA22-100,1))&lt;999,ROUND(100/Z22*AA22-100,1),IF(ROUND(100/Z22*AA22-100,1)&gt;999,999,-999)))</f>
        <v>57.3</v>
      </c>
      <c r="AC22" s="822"/>
      <c r="AD22" s="822"/>
      <c r="AE22" s="635"/>
      <c r="AF22" s="822"/>
      <c r="AG22" s="822"/>
      <c r="AH22" s="635"/>
      <c r="AI22" s="822">
        <v>5</v>
      </c>
      <c r="AJ22" s="822">
        <v>4</v>
      </c>
      <c r="AK22" s="635">
        <f>IF(AI22=0, "    ---- ", IF(ABS(ROUND(100/AI22*AJ22-100,1))&lt;999,ROUND(100/AI22*AJ22-100,1),IF(ROUND(100/AI22*AJ22-100,1)&gt;999,999,-999)))</f>
        <v>-20</v>
      </c>
      <c r="AL22" s="822">
        <v>43.49</v>
      </c>
      <c r="AM22" s="822">
        <v>140.6</v>
      </c>
      <c r="AN22" s="635">
        <f t="shared" si="2"/>
        <v>223.3</v>
      </c>
      <c r="AO22" s="634">
        <f t="shared" si="3"/>
        <v>230.43200000000002</v>
      </c>
      <c r="AP22" s="634">
        <f t="shared" si="4"/>
        <v>319.97468702091783</v>
      </c>
      <c r="AQ22" s="635">
        <f t="shared" si="5"/>
        <v>38.9</v>
      </c>
      <c r="AR22" s="634">
        <f t="shared" si="6"/>
        <v>230.43200000000002</v>
      </c>
      <c r="AS22" s="634">
        <f t="shared" si="7"/>
        <v>319.97468702091783</v>
      </c>
      <c r="AT22" s="635">
        <f t="shared" si="8"/>
        <v>38.9</v>
      </c>
      <c r="AU22" s="618"/>
      <c r="AV22" s="618"/>
      <c r="AW22" s="613"/>
      <c r="AX22" s="613"/>
    </row>
    <row r="23" spans="1:50" ht="18.75" customHeight="1" x14ac:dyDescent="0.35">
      <c r="A23" s="583" t="s">
        <v>387</v>
      </c>
      <c r="B23" s="820"/>
      <c r="C23" s="820"/>
      <c r="D23" s="632"/>
      <c r="E23" s="820"/>
      <c r="F23" s="820"/>
      <c r="G23" s="633"/>
      <c r="H23" s="820"/>
      <c r="I23" s="820"/>
      <c r="J23" s="633"/>
      <c r="K23" s="820"/>
      <c r="L23" s="820"/>
      <c r="M23" s="633"/>
      <c r="N23" s="820"/>
      <c r="O23" s="820"/>
      <c r="P23" s="633"/>
      <c r="Q23" s="820"/>
      <c r="R23" s="820"/>
      <c r="S23" s="632"/>
      <c r="T23" s="820"/>
      <c r="U23" s="820"/>
      <c r="V23" s="633"/>
      <c r="W23" s="820"/>
      <c r="X23" s="820"/>
      <c r="Y23" s="633"/>
      <c r="Z23" s="820"/>
      <c r="AA23" s="820"/>
      <c r="AB23" s="633"/>
      <c r="AC23" s="820"/>
      <c r="AD23" s="820"/>
      <c r="AE23" s="633"/>
      <c r="AF23" s="820"/>
      <c r="AG23" s="820"/>
      <c r="AH23" s="633"/>
      <c r="AI23" s="820"/>
      <c r="AJ23" s="820"/>
      <c r="AK23" s="633"/>
      <c r="AL23" s="820"/>
      <c r="AM23" s="820"/>
      <c r="AN23" s="633"/>
      <c r="AO23" s="634"/>
      <c r="AP23" s="634"/>
      <c r="AQ23" s="633"/>
      <c r="AR23" s="634">
        <f t="shared" si="6"/>
        <v>0</v>
      </c>
      <c r="AS23" s="634">
        <f t="shared" si="7"/>
        <v>0</v>
      </c>
      <c r="AT23" s="633"/>
      <c r="AU23" s="618"/>
      <c r="AV23" s="618"/>
      <c r="AW23" s="613"/>
      <c r="AX23" s="613"/>
    </row>
    <row r="24" spans="1:50" s="636" customFormat="1" ht="18.75" customHeight="1" x14ac:dyDescent="0.35">
      <c r="A24" s="588" t="s">
        <v>366</v>
      </c>
      <c r="B24" s="822"/>
      <c r="C24" s="822"/>
      <c r="D24" s="634"/>
      <c r="E24" s="822"/>
      <c r="F24" s="822"/>
      <c r="G24" s="635"/>
      <c r="H24" s="822"/>
      <c r="I24" s="822"/>
      <c r="J24" s="635"/>
      <c r="K24" s="822"/>
      <c r="L24" s="822"/>
      <c r="M24" s="635"/>
      <c r="N24" s="822"/>
      <c r="O24" s="822"/>
      <c r="P24" s="635"/>
      <c r="Q24" s="822"/>
      <c r="R24" s="822"/>
      <c r="S24" s="634"/>
      <c r="T24" s="822"/>
      <c r="U24" s="822"/>
      <c r="V24" s="635"/>
      <c r="W24" s="822"/>
      <c r="X24" s="822"/>
      <c r="Y24" s="635"/>
      <c r="Z24" s="822"/>
      <c r="AA24" s="822"/>
      <c r="AB24" s="635"/>
      <c r="AC24" s="822"/>
      <c r="AD24" s="822"/>
      <c r="AE24" s="635"/>
      <c r="AF24" s="822"/>
      <c r="AG24" s="822"/>
      <c r="AH24" s="635"/>
      <c r="AI24" s="822"/>
      <c r="AJ24" s="822"/>
      <c r="AK24" s="635"/>
      <c r="AL24" s="822"/>
      <c r="AM24" s="822"/>
      <c r="AN24" s="635"/>
      <c r="AO24" s="634">
        <f t="shared" ref="AO24:AO34" si="10">B24+H24+K24+N24+Q24+W24+E24+Z24+AC24+AI24+AL24</f>
        <v>0</v>
      </c>
      <c r="AP24" s="634">
        <f t="shared" ref="AP24:AP34" si="11">C24+I24+L24+O24+R24+X24+F24+AA24+AD24+AJ24+AM24</f>
        <v>0</v>
      </c>
      <c r="AQ24" s="635" t="str">
        <f t="shared" si="5"/>
        <v xml:space="preserve">    ---- </v>
      </c>
      <c r="AR24" s="634">
        <f t="shared" si="6"/>
        <v>0</v>
      </c>
      <c r="AS24" s="634">
        <f t="shared" si="7"/>
        <v>0</v>
      </c>
      <c r="AT24" s="635" t="str">
        <f t="shared" si="8"/>
        <v xml:space="preserve">    ---- </v>
      </c>
      <c r="AU24" s="618"/>
      <c r="AV24" s="618"/>
      <c r="AW24" s="613"/>
      <c r="AX24" s="613"/>
    </row>
    <row r="25" spans="1:50" s="636" customFormat="1" ht="18.75" customHeight="1" x14ac:dyDescent="0.35">
      <c r="A25" s="588" t="s">
        <v>367</v>
      </c>
      <c r="B25" s="822"/>
      <c r="C25" s="822"/>
      <c r="D25" s="634"/>
      <c r="E25" s="822"/>
      <c r="F25" s="822"/>
      <c r="G25" s="635"/>
      <c r="H25" s="822"/>
      <c r="I25" s="822"/>
      <c r="J25" s="635"/>
      <c r="K25" s="822"/>
      <c r="L25" s="822"/>
      <c r="M25" s="635"/>
      <c r="N25" s="822"/>
      <c r="O25" s="822"/>
      <c r="P25" s="635"/>
      <c r="Q25" s="822"/>
      <c r="R25" s="822"/>
      <c r="S25" s="634"/>
      <c r="T25" s="822"/>
      <c r="U25" s="822"/>
      <c r="V25" s="635"/>
      <c r="W25" s="822"/>
      <c r="X25" s="822"/>
      <c r="Y25" s="635"/>
      <c r="Z25" s="822"/>
      <c r="AA25" s="822"/>
      <c r="AB25" s="635"/>
      <c r="AC25" s="822"/>
      <c r="AD25" s="822"/>
      <c r="AE25" s="635"/>
      <c r="AF25" s="822"/>
      <c r="AG25" s="822"/>
      <c r="AH25" s="635"/>
      <c r="AI25" s="822"/>
      <c r="AJ25" s="822"/>
      <c r="AK25" s="635"/>
      <c r="AL25" s="822"/>
      <c r="AM25" s="822"/>
      <c r="AN25" s="635"/>
      <c r="AO25" s="634">
        <f t="shared" si="10"/>
        <v>0</v>
      </c>
      <c r="AP25" s="634">
        <f t="shared" si="11"/>
        <v>0</v>
      </c>
      <c r="AQ25" s="635" t="str">
        <f t="shared" si="5"/>
        <v xml:space="preserve">    ---- </v>
      </c>
      <c r="AR25" s="634">
        <f t="shared" si="6"/>
        <v>0</v>
      </c>
      <c r="AS25" s="634">
        <f t="shared" si="7"/>
        <v>0</v>
      </c>
      <c r="AT25" s="635" t="str">
        <f t="shared" si="8"/>
        <v xml:space="preserve">    ---- </v>
      </c>
      <c r="AU25" s="618"/>
      <c r="AV25" s="618"/>
      <c r="AW25" s="613"/>
      <c r="AX25" s="613"/>
    </row>
    <row r="26" spans="1:50" s="636" customFormat="1" ht="18.75" customHeight="1" x14ac:dyDescent="0.35">
      <c r="A26" s="588" t="s">
        <v>368</v>
      </c>
      <c r="B26" s="822"/>
      <c r="C26" s="822"/>
      <c r="D26" s="634"/>
      <c r="E26" s="822"/>
      <c r="F26" s="822"/>
      <c r="G26" s="635"/>
      <c r="H26" s="822"/>
      <c r="I26" s="822"/>
      <c r="J26" s="635"/>
      <c r="K26" s="822"/>
      <c r="L26" s="822"/>
      <c r="M26" s="635"/>
      <c r="N26" s="822"/>
      <c r="O26" s="822"/>
      <c r="P26" s="635"/>
      <c r="Q26" s="822"/>
      <c r="R26" s="822"/>
      <c r="S26" s="634"/>
      <c r="T26" s="822"/>
      <c r="U26" s="822"/>
      <c r="V26" s="635"/>
      <c r="W26" s="822"/>
      <c r="X26" s="822"/>
      <c r="Y26" s="635"/>
      <c r="Z26" s="822"/>
      <c r="AA26" s="822"/>
      <c r="AB26" s="635"/>
      <c r="AC26" s="822"/>
      <c r="AD26" s="822"/>
      <c r="AE26" s="635"/>
      <c r="AF26" s="822"/>
      <c r="AG26" s="822"/>
      <c r="AH26" s="635"/>
      <c r="AI26" s="822"/>
      <c r="AJ26" s="822"/>
      <c r="AK26" s="635"/>
      <c r="AL26" s="822"/>
      <c r="AM26" s="822"/>
      <c r="AN26" s="635"/>
      <c r="AO26" s="634">
        <f t="shared" si="10"/>
        <v>0</v>
      </c>
      <c r="AP26" s="634">
        <f t="shared" si="11"/>
        <v>0</v>
      </c>
      <c r="AQ26" s="635" t="str">
        <f t="shared" si="5"/>
        <v xml:space="preserve">    ---- </v>
      </c>
      <c r="AR26" s="634">
        <f t="shared" si="6"/>
        <v>0</v>
      </c>
      <c r="AS26" s="634">
        <f t="shared" si="7"/>
        <v>0</v>
      </c>
      <c r="AT26" s="635" t="str">
        <f t="shared" si="8"/>
        <v xml:space="preserve">    ---- </v>
      </c>
      <c r="AU26" s="618"/>
      <c r="AV26" s="618"/>
      <c r="AW26" s="613"/>
      <c r="AX26" s="613"/>
    </row>
    <row r="27" spans="1:50" s="636" customFormat="1" ht="18.75" customHeight="1" x14ac:dyDescent="0.35">
      <c r="A27" s="588" t="s">
        <v>369</v>
      </c>
      <c r="B27" s="822"/>
      <c r="C27" s="822"/>
      <c r="D27" s="634"/>
      <c r="E27" s="822"/>
      <c r="F27" s="822"/>
      <c r="G27" s="635"/>
      <c r="H27" s="822"/>
      <c r="I27" s="822"/>
      <c r="J27" s="635"/>
      <c r="K27" s="822"/>
      <c r="L27" s="822"/>
      <c r="M27" s="635"/>
      <c r="N27" s="822"/>
      <c r="O27" s="822"/>
      <c r="P27" s="635"/>
      <c r="Q27" s="822"/>
      <c r="R27" s="822"/>
      <c r="S27" s="634"/>
      <c r="T27" s="822"/>
      <c r="U27" s="822"/>
      <c r="V27" s="635"/>
      <c r="W27" s="822"/>
      <c r="X27" s="822"/>
      <c r="Y27" s="635"/>
      <c r="Z27" s="822"/>
      <c r="AA27" s="822"/>
      <c r="AB27" s="635"/>
      <c r="AC27" s="822"/>
      <c r="AD27" s="822"/>
      <c r="AE27" s="635"/>
      <c r="AF27" s="822"/>
      <c r="AG27" s="822"/>
      <c r="AH27" s="635"/>
      <c r="AI27" s="822"/>
      <c r="AJ27" s="822"/>
      <c r="AK27" s="635"/>
      <c r="AL27" s="822"/>
      <c r="AM27" s="822"/>
      <c r="AN27" s="635"/>
      <c r="AO27" s="634">
        <f t="shared" si="10"/>
        <v>0</v>
      </c>
      <c r="AP27" s="634">
        <f t="shared" si="11"/>
        <v>0</v>
      </c>
      <c r="AQ27" s="635" t="str">
        <f t="shared" si="5"/>
        <v xml:space="preserve">    ---- </v>
      </c>
      <c r="AR27" s="634">
        <f t="shared" si="6"/>
        <v>0</v>
      </c>
      <c r="AS27" s="634">
        <f t="shared" si="7"/>
        <v>0</v>
      </c>
      <c r="AT27" s="635" t="str">
        <f t="shared" si="8"/>
        <v xml:space="preserve">    ---- </v>
      </c>
      <c r="AU27" s="618"/>
      <c r="AV27" s="618"/>
      <c r="AW27" s="613"/>
      <c r="AX27" s="613"/>
    </row>
    <row r="28" spans="1:50" s="636" customFormat="1" ht="18.75" customHeight="1" x14ac:dyDescent="0.35">
      <c r="A28" s="588" t="s">
        <v>370</v>
      </c>
      <c r="B28" s="822"/>
      <c r="C28" s="822"/>
      <c r="D28" s="634"/>
      <c r="E28" s="822"/>
      <c r="F28" s="822"/>
      <c r="G28" s="635"/>
      <c r="H28" s="822"/>
      <c r="I28" s="822"/>
      <c r="J28" s="635"/>
      <c r="K28" s="822"/>
      <c r="L28" s="822"/>
      <c r="M28" s="635"/>
      <c r="N28" s="822"/>
      <c r="O28" s="822"/>
      <c r="P28" s="635"/>
      <c r="Q28" s="822"/>
      <c r="R28" s="822"/>
      <c r="S28" s="634"/>
      <c r="T28" s="822"/>
      <c r="U28" s="822"/>
      <c r="V28" s="635"/>
      <c r="W28" s="822"/>
      <c r="X28" s="822"/>
      <c r="Y28" s="635"/>
      <c r="Z28" s="822"/>
      <c r="AA28" s="822"/>
      <c r="AB28" s="635"/>
      <c r="AC28" s="822"/>
      <c r="AD28" s="822"/>
      <c r="AE28" s="635"/>
      <c r="AF28" s="822"/>
      <c r="AG28" s="822"/>
      <c r="AH28" s="635"/>
      <c r="AI28" s="822"/>
      <c r="AJ28" s="822"/>
      <c r="AK28" s="635"/>
      <c r="AL28" s="822"/>
      <c r="AM28" s="822"/>
      <c r="AN28" s="635"/>
      <c r="AO28" s="634">
        <f t="shared" si="10"/>
        <v>0</v>
      </c>
      <c r="AP28" s="634">
        <f t="shared" si="11"/>
        <v>0</v>
      </c>
      <c r="AQ28" s="635" t="str">
        <f t="shared" si="5"/>
        <v xml:space="preserve">    ---- </v>
      </c>
      <c r="AR28" s="634">
        <f t="shared" si="6"/>
        <v>0</v>
      </c>
      <c r="AS28" s="634">
        <f t="shared" si="7"/>
        <v>0</v>
      </c>
      <c r="AT28" s="635" t="str">
        <f t="shared" si="8"/>
        <v xml:space="preserve">    ---- </v>
      </c>
      <c r="AU28" s="618"/>
      <c r="AV28" s="618"/>
      <c r="AW28" s="613"/>
      <c r="AX28" s="613"/>
    </row>
    <row r="29" spans="1:50" s="636" customFormat="1" ht="18.75" customHeight="1" x14ac:dyDescent="0.35">
      <c r="A29" s="588" t="s">
        <v>371</v>
      </c>
      <c r="B29" s="822"/>
      <c r="C29" s="822"/>
      <c r="D29" s="634"/>
      <c r="E29" s="822"/>
      <c r="F29" s="822"/>
      <c r="G29" s="635"/>
      <c r="H29" s="822"/>
      <c r="I29" s="822"/>
      <c r="J29" s="635"/>
      <c r="K29" s="822"/>
      <c r="L29" s="822"/>
      <c r="M29" s="635"/>
      <c r="N29" s="822"/>
      <c r="O29" s="822"/>
      <c r="P29" s="635"/>
      <c r="Q29" s="822"/>
      <c r="R29" s="822"/>
      <c r="S29" s="634"/>
      <c r="T29" s="822"/>
      <c r="U29" s="822"/>
      <c r="V29" s="635"/>
      <c r="W29" s="822"/>
      <c r="X29" s="822"/>
      <c r="Y29" s="635"/>
      <c r="Z29" s="822"/>
      <c r="AA29" s="822"/>
      <c r="AB29" s="635"/>
      <c r="AC29" s="822"/>
      <c r="AD29" s="822"/>
      <c r="AE29" s="635"/>
      <c r="AF29" s="822"/>
      <c r="AG29" s="822"/>
      <c r="AH29" s="635"/>
      <c r="AI29" s="822"/>
      <c r="AJ29" s="822"/>
      <c r="AK29" s="635"/>
      <c r="AL29" s="822"/>
      <c r="AM29" s="822"/>
      <c r="AN29" s="635"/>
      <c r="AO29" s="634">
        <f t="shared" si="10"/>
        <v>0</v>
      </c>
      <c r="AP29" s="634">
        <f t="shared" si="11"/>
        <v>0</v>
      </c>
      <c r="AQ29" s="635" t="str">
        <f t="shared" si="5"/>
        <v xml:space="preserve">    ---- </v>
      </c>
      <c r="AR29" s="634">
        <f t="shared" si="6"/>
        <v>0</v>
      </c>
      <c r="AS29" s="634">
        <f t="shared" si="7"/>
        <v>0</v>
      </c>
      <c r="AT29" s="635" t="str">
        <f t="shared" si="8"/>
        <v xml:space="preserve">    ---- </v>
      </c>
      <c r="AU29" s="618"/>
      <c r="AV29" s="618"/>
      <c r="AW29" s="613"/>
      <c r="AX29" s="613"/>
    </row>
    <row r="30" spans="1:50" s="636" customFormat="1" ht="18.75" customHeight="1" x14ac:dyDescent="0.35">
      <c r="A30" s="588" t="s">
        <v>372</v>
      </c>
      <c r="B30" s="822"/>
      <c r="C30" s="822"/>
      <c r="D30" s="634"/>
      <c r="E30" s="822"/>
      <c r="F30" s="822"/>
      <c r="G30" s="635"/>
      <c r="H30" s="822"/>
      <c r="I30" s="822"/>
      <c r="J30" s="635"/>
      <c r="K30" s="822"/>
      <c r="L30" s="822"/>
      <c r="M30" s="635"/>
      <c r="N30" s="822"/>
      <c r="O30" s="822"/>
      <c r="P30" s="635"/>
      <c r="Q30" s="822"/>
      <c r="R30" s="822"/>
      <c r="S30" s="634"/>
      <c r="T30" s="822"/>
      <c r="U30" s="822"/>
      <c r="V30" s="635"/>
      <c r="W30" s="822"/>
      <c r="X30" s="822"/>
      <c r="Y30" s="635"/>
      <c r="Z30" s="822"/>
      <c r="AA30" s="822"/>
      <c r="AB30" s="635"/>
      <c r="AC30" s="822"/>
      <c r="AD30" s="822"/>
      <c r="AE30" s="635"/>
      <c r="AF30" s="822"/>
      <c r="AG30" s="822"/>
      <c r="AH30" s="635"/>
      <c r="AI30" s="822"/>
      <c r="AJ30" s="822"/>
      <c r="AK30" s="635"/>
      <c r="AL30" s="822"/>
      <c r="AM30" s="822"/>
      <c r="AN30" s="635"/>
      <c r="AO30" s="634">
        <f t="shared" si="10"/>
        <v>0</v>
      </c>
      <c r="AP30" s="634">
        <f t="shared" si="11"/>
        <v>0</v>
      </c>
      <c r="AQ30" s="635" t="str">
        <f t="shared" si="5"/>
        <v xml:space="preserve">    ---- </v>
      </c>
      <c r="AR30" s="634">
        <f t="shared" si="6"/>
        <v>0</v>
      </c>
      <c r="AS30" s="634">
        <f t="shared" si="7"/>
        <v>0</v>
      </c>
      <c r="AT30" s="635" t="str">
        <f t="shared" si="8"/>
        <v xml:space="preserve">    ---- </v>
      </c>
      <c r="AU30" s="618"/>
      <c r="AV30" s="618"/>
      <c r="AW30" s="613"/>
      <c r="AX30" s="613"/>
    </row>
    <row r="31" spans="1:50" s="636" customFormat="1" ht="18.75" customHeight="1" x14ac:dyDescent="0.35">
      <c r="A31" s="588" t="s">
        <v>373</v>
      </c>
      <c r="B31" s="822"/>
      <c r="C31" s="822"/>
      <c r="D31" s="634"/>
      <c r="E31" s="822"/>
      <c r="F31" s="822"/>
      <c r="G31" s="635"/>
      <c r="H31" s="822"/>
      <c r="I31" s="822"/>
      <c r="J31" s="635"/>
      <c r="K31" s="822"/>
      <c r="L31" s="822"/>
      <c r="M31" s="635"/>
      <c r="N31" s="822"/>
      <c r="O31" s="822"/>
      <c r="P31" s="635"/>
      <c r="Q31" s="822"/>
      <c r="R31" s="822"/>
      <c r="S31" s="634"/>
      <c r="T31" s="822"/>
      <c r="U31" s="822"/>
      <c r="V31" s="635"/>
      <c r="W31" s="822"/>
      <c r="X31" s="822"/>
      <c r="Y31" s="635"/>
      <c r="Z31" s="822"/>
      <c r="AA31" s="822"/>
      <c r="AB31" s="635"/>
      <c r="AC31" s="822"/>
      <c r="AD31" s="822"/>
      <c r="AE31" s="635"/>
      <c r="AF31" s="822"/>
      <c r="AG31" s="822"/>
      <c r="AH31" s="635"/>
      <c r="AI31" s="822"/>
      <c r="AJ31" s="822"/>
      <c r="AK31" s="635"/>
      <c r="AL31" s="822"/>
      <c r="AM31" s="822"/>
      <c r="AN31" s="635"/>
      <c r="AO31" s="634">
        <f t="shared" si="10"/>
        <v>0</v>
      </c>
      <c r="AP31" s="634">
        <f t="shared" si="11"/>
        <v>0</v>
      </c>
      <c r="AQ31" s="635" t="str">
        <f t="shared" si="5"/>
        <v xml:space="preserve">    ---- </v>
      </c>
      <c r="AR31" s="634">
        <f t="shared" si="6"/>
        <v>0</v>
      </c>
      <c r="AS31" s="634">
        <f t="shared" si="7"/>
        <v>0</v>
      </c>
      <c r="AT31" s="635" t="str">
        <f t="shared" si="8"/>
        <v xml:space="preserve">    ---- </v>
      </c>
      <c r="AU31" s="618"/>
      <c r="AV31" s="618"/>
      <c r="AW31" s="613"/>
      <c r="AX31" s="613"/>
    </row>
    <row r="32" spans="1:50" s="639" customFormat="1" ht="18.75" customHeight="1" x14ac:dyDescent="0.3">
      <c r="A32" s="583" t="s">
        <v>374</v>
      </c>
      <c r="B32" s="820"/>
      <c r="C32" s="820"/>
      <c r="D32" s="632"/>
      <c r="E32" s="820"/>
      <c r="F32" s="820"/>
      <c r="G32" s="633"/>
      <c r="H32" s="820"/>
      <c r="I32" s="820"/>
      <c r="J32" s="633"/>
      <c r="K32" s="820"/>
      <c r="L32" s="820"/>
      <c r="M32" s="633"/>
      <c r="N32" s="820"/>
      <c r="O32" s="820"/>
      <c r="P32" s="633"/>
      <c r="Q32" s="820"/>
      <c r="R32" s="820"/>
      <c r="S32" s="632"/>
      <c r="T32" s="820"/>
      <c r="U32" s="820"/>
      <c r="V32" s="633"/>
      <c r="W32" s="820"/>
      <c r="X32" s="820"/>
      <c r="Y32" s="633"/>
      <c r="Z32" s="820"/>
      <c r="AA32" s="820"/>
      <c r="AB32" s="633"/>
      <c r="AC32" s="820"/>
      <c r="AD32" s="820"/>
      <c r="AE32" s="633"/>
      <c r="AF32" s="820"/>
      <c r="AG32" s="820"/>
      <c r="AH32" s="633"/>
      <c r="AI32" s="820"/>
      <c r="AJ32" s="820"/>
      <c r="AK32" s="633"/>
      <c r="AL32" s="820"/>
      <c r="AM32" s="820"/>
      <c r="AN32" s="633"/>
      <c r="AO32" s="632">
        <f t="shared" si="10"/>
        <v>0</v>
      </c>
      <c r="AP32" s="632">
        <f t="shared" si="11"/>
        <v>0</v>
      </c>
      <c r="AQ32" s="633" t="str">
        <f t="shared" si="5"/>
        <v xml:space="preserve">    ---- </v>
      </c>
      <c r="AR32" s="632">
        <f t="shared" si="6"/>
        <v>0</v>
      </c>
      <c r="AS32" s="632">
        <f t="shared" si="7"/>
        <v>0</v>
      </c>
      <c r="AT32" s="633" t="str">
        <f t="shared" si="8"/>
        <v xml:space="preserve">    ---- </v>
      </c>
      <c r="AU32" s="616"/>
      <c r="AV32" s="616"/>
      <c r="AW32" s="638"/>
      <c r="AX32" s="638"/>
    </row>
    <row r="33" spans="1:50" s="636" customFormat="1" ht="18.75" customHeight="1" x14ac:dyDescent="0.35">
      <c r="A33" s="588" t="s">
        <v>375</v>
      </c>
      <c r="B33" s="822"/>
      <c r="C33" s="822"/>
      <c r="D33" s="634"/>
      <c r="E33" s="822"/>
      <c r="F33" s="822"/>
      <c r="G33" s="635"/>
      <c r="H33" s="822"/>
      <c r="I33" s="822"/>
      <c r="J33" s="635"/>
      <c r="K33" s="822"/>
      <c r="L33" s="822"/>
      <c r="M33" s="635"/>
      <c r="N33" s="822"/>
      <c r="O33" s="822"/>
      <c r="P33" s="635"/>
      <c r="Q33" s="822"/>
      <c r="R33" s="822"/>
      <c r="S33" s="634"/>
      <c r="T33" s="822"/>
      <c r="U33" s="822"/>
      <c r="V33" s="635"/>
      <c r="W33" s="822"/>
      <c r="X33" s="822"/>
      <c r="Y33" s="635"/>
      <c r="Z33" s="822"/>
      <c r="AA33" s="822"/>
      <c r="AB33" s="635"/>
      <c r="AC33" s="822"/>
      <c r="AD33" s="822"/>
      <c r="AE33" s="635"/>
      <c r="AF33" s="822"/>
      <c r="AG33" s="822"/>
      <c r="AH33" s="635"/>
      <c r="AI33" s="822"/>
      <c r="AJ33" s="822"/>
      <c r="AK33" s="635"/>
      <c r="AL33" s="822"/>
      <c r="AM33" s="822"/>
      <c r="AN33" s="635"/>
      <c r="AO33" s="634">
        <f t="shared" si="10"/>
        <v>0</v>
      </c>
      <c r="AP33" s="634">
        <f t="shared" si="11"/>
        <v>0</v>
      </c>
      <c r="AQ33" s="635" t="str">
        <f t="shared" si="5"/>
        <v xml:space="preserve">    ---- </v>
      </c>
      <c r="AR33" s="634">
        <f t="shared" si="6"/>
        <v>0</v>
      </c>
      <c r="AS33" s="634">
        <f t="shared" si="7"/>
        <v>0</v>
      </c>
      <c r="AT33" s="635" t="str">
        <f t="shared" si="8"/>
        <v xml:space="preserve">    ---- </v>
      </c>
      <c r="AU33" s="618"/>
      <c r="AV33" s="618"/>
      <c r="AW33" s="613"/>
      <c r="AX33" s="613"/>
    </row>
    <row r="34" spans="1:50" s="636" customFormat="1" ht="18.75" customHeight="1" x14ac:dyDescent="0.35">
      <c r="A34" s="588" t="s">
        <v>376</v>
      </c>
      <c r="B34" s="822"/>
      <c r="C34" s="822"/>
      <c r="D34" s="634"/>
      <c r="E34" s="822"/>
      <c r="F34" s="822"/>
      <c r="G34" s="635"/>
      <c r="H34" s="822"/>
      <c r="I34" s="822"/>
      <c r="J34" s="635"/>
      <c r="K34" s="822"/>
      <c r="L34" s="822"/>
      <c r="M34" s="635"/>
      <c r="N34" s="822"/>
      <c r="O34" s="822"/>
      <c r="P34" s="635"/>
      <c r="Q34" s="822"/>
      <c r="R34" s="822"/>
      <c r="S34" s="634"/>
      <c r="T34" s="822"/>
      <c r="U34" s="822"/>
      <c r="V34" s="635"/>
      <c r="W34" s="822"/>
      <c r="X34" s="822"/>
      <c r="Y34" s="635"/>
      <c r="Z34" s="822"/>
      <c r="AA34" s="822"/>
      <c r="AB34" s="635"/>
      <c r="AC34" s="822"/>
      <c r="AD34" s="822"/>
      <c r="AE34" s="635"/>
      <c r="AF34" s="822"/>
      <c r="AG34" s="822"/>
      <c r="AH34" s="635"/>
      <c r="AI34" s="822"/>
      <c r="AJ34" s="822"/>
      <c r="AK34" s="635"/>
      <c r="AL34" s="822"/>
      <c r="AM34" s="822"/>
      <c r="AN34" s="635"/>
      <c r="AO34" s="634">
        <f t="shared" si="10"/>
        <v>0</v>
      </c>
      <c r="AP34" s="634">
        <f t="shared" si="11"/>
        <v>0</v>
      </c>
      <c r="AQ34" s="635" t="str">
        <f t="shared" si="5"/>
        <v xml:space="preserve">    ---- </v>
      </c>
      <c r="AR34" s="634">
        <f t="shared" si="6"/>
        <v>0</v>
      </c>
      <c r="AS34" s="634">
        <f t="shared" si="7"/>
        <v>0</v>
      </c>
      <c r="AT34" s="635" t="str">
        <f t="shared" si="8"/>
        <v xml:space="preserve">    ---- </v>
      </c>
      <c r="AU34" s="618"/>
      <c r="AV34" s="618"/>
      <c r="AW34" s="613"/>
      <c r="AX34" s="613"/>
    </row>
    <row r="35" spans="1:50" ht="18.75" customHeight="1" x14ac:dyDescent="0.35">
      <c r="A35" s="583" t="s">
        <v>388</v>
      </c>
      <c r="B35" s="820"/>
      <c r="C35" s="820"/>
      <c r="D35" s="632"/>
      <c r="E35" s="820"/>
      <c r="F35" s="820"/>
      <c r="G35" s="633"/>
      <c r="H35" s="820"/>
      <c r="I35" s="820"/>
      <c r="J35" s="633"/>
      <c r="K35" s="820"/>
      <c r="L35" s="820"/>
      <c r="M35" s="633"/>
      <c r="N35" s="820"/>
      <c r="O35" s="820"/>
      <c r="P35" s="633"/>
      <c r="Q35" s="820"/>
      <c r="R35" s="820"/>
      <c r="S35" s="632"/>
      <c r="T35" s="820"/>
      <c r="U35" s="820"/>
      <c r="V35" s="633"/>
      <c r="W35" s="820"/>
      <c r="X35" s="820"/>
      <c r="Y35" s="633"/>
      <c r="Z35" s="820"/>
      <c r="AA35" s="820"/>
      <c r="AB35" s="633"/>
      <c r="AC35" s="820"/>
      <c r="AD35" s="820"/>
      <c r="AE35" s="633"/>
      <c r="AF35" s="820"/>
      <c r="AG35" s="820"/>
      <c r="AH35" s="633"/>
      <c r="AI35" s="820"/>
      <c r="AJ35" s="820"/>
      <c r="AK35" s="633"/>
      <c r="AL35" s="820"/>
      <c r="AM35" s="820"/>
      <c r="AN35" s="633"/>
      <c r="AO35" s="634"/>
      <c r="AP35" s="634"/>
      <c r="AQ35" s="633"/>
      <c r="AR35" s="634">
        <f t="shared" si="6"/>
        <v>0</v>
      </c>
      <c r="AS35" s="634">
        <f t="shared" si="7"/>
        <v>0</v>
      </c>
      <c r="AT35" s="633"/>
      <c r="AU35" s="618"/>
      <c r="AV35" s="618"/>
      <c r="AW35" s="613"/>
      <c r="AX35" s="613"/>
    </row>
    <row r="36" spans="1:50" s="636" customFormat="1" ht="18.75" customHeight="1" x14ac:dyDescent="0.35">
      <c r="A36" s="588" t="s">
        <v>366</v>
      </c>
      <c r="B36" s="822"/>
      <c r="C36" s="822"/>
      <c r="D36" s="634"/>
      <c r="E36" s="822"/>
      <c r="F36" s="822"/>
      <c r="G36" s="635"/>
      <c r="H36" s="822"/>
      <c r="I36" s="822"/>
      <c r="J36" s="635"/>
      <c r="K36" s="822"/>
      <c r="L36" s="822"/>
      <c r="M36" s="635"/>
      <c r="N36" s="822"/>
      <c r="O36" s="822"/>
      <c r="P36" s="635"/>
      <c r="Q36" s="822"/>
      <c r="R36" s="822"/>
      <c r="S36" s="634"/>
      <c r="T36" s="822"/>
      <c r="U36" s="822"/>
      <c r="V36" s="635"/>
      <c r="W36" s="822"/>
      <c r="X36" s="822"/>
      <c r="Y36" s="635"/>
      <c r="Z36" s="822"/>
      <c r="AA36" s="822"/>
      <c r="AB36" s="635"/>
      <c r="AC36" s="822"/>
      <c r="AD36" s="822"/>
      <c r="AE36" s="635"/>
      <c r="AF36" s="822"/>
      <c r="AG36" s="822"/>
      <c r="AH36" s="635"/>
      <c r="AI36" s="822">
        <v>13</v>
      </c>
      <c r="AJ36" s="822">
        <v>58</v>
      </c>
      <c r="AK36" s="635">
        <f>IF(AI36=0, "    ---- ", IF(ABS(ROUND(100/AI36*AJ36-100,1))&lt;999,ROUND(100/AI36*AJ36-100,1),IF(ROUND(100/AI36*AJ36-100,1)&gt;999,999,-999)))</f>
        <v>346.2</v>
      </c>
      <c r="AL36" s="822">
        <v>6</v>
      </c>
      <c r="AM36" s="822">
        <v>5</v>
      </c>
      <c r="AN36" s="635">
        <f t="shared" ref="AN36:AN37" si="12">IF(AL36=0, "    ---- ", IF(ABS(ROUND(100/AL36*AM36-100,1))&lt;999,ROUND(100/AL36*AM36-100,1),IF(ROUND(100/AL36*AM36-100,1)&gt;999,999,-999)))</f>
        <v>-16.7</v>
      </c>
      <c r="AO36" s="634">
        <f t="shared" ref="AO36:AO46" si="13">B36+H36+K36+N36+Q36+W36+E36+Z36+AC36+AI36+AL36</f>
        <v>19</v>
      </c>
      <c r="AP36" s="634">
        <f t="shared" ref="AP36:AP46" si="14">C36+I36+L36+O36+R36+X36+F36+AA36+AD36+AJ36+AM36</f>
        <v>63</v>
      </c>
      <c r="AQ36" s="635">
        <f t="shared" si="5"/>
        <v>231.6</v>
      </c>
      <c r="AR36" s="634">
        <f t="shared" si="6"/>
        <v>19</v>
      </c>
      <c r="AS36" s="634">
        <f t="shared" si="7"/>
        <v>63</v>
      </c>
      <c r="AT36" s="635">
        <f t="shared" si="8"/>
        <v>231.6</v>
      </c>
      <c r="AU36" s="618"/>
      <c r="AV36" s="618"/>
      <c r="AW36" s="613"/>
      <c r="AX36" s="613"/>
    </row>
    <row r="37" spans="1:50" s="636" customFormat="1" ht="18.75" customHeight="1" x14ac:dyDescent="0.35">
      <c r="A37" s="588" t="s">
        <v>367</v>
      </c>
      <c r="B37" s="822"/>
      <c r="C37" s="822"/>
      <c r="D37" s="634"/>
      <c r="E37" s="822"/>
      <c r="F37" s="822"/>
      <c r="G37" s="635"/>
      <c r="H37" s="822"/>
      <c r="I37" s="822"/>
      <c r="J37" s="635"/>
      <c r="K37" s="822"/>
      <c r="L37" s="822"/>
      <c r="M37" s="635"/>
      <c r="N37" s="822"/>
      <c r="O37" s="822"/>
      <c r="P37" s="635"/>
      <c r="Q37" s="822"/>
      <c r="R37" s="822"/>
      <c r="S37" s="634"/>
      <c r="T37" s="822"/>
      <c r="U37" s="822"/>
      <c r="V37" s="635"/>
      <c r="W37" s="822"/>
      <c r="X37" s="822"/>
      <c r="Y37" s="635"/>
      <c r="Z37" s="822"/>
      <c r="AA37" s="822"/>
      <c r="AB37" s="635"/>
      <c r="AC37" s="822"/>
      <c r="AD37" s="822"/>
      <c r="AE37" s="635"/>
      <c r="AF37" s="822"/>
      <c r="AG37" s="822"/>
      <c r="AH37" s="635"/>
      <c r="AI37" s="822"/>
      <c r="AJ37" s="822">
        <v>-1</v>
      </c>
      <c r="AK37" s="635" t="str">
        <f>IF(AI37=0, "    ---- ", IF(ABS(ROUND(100/AI37*AJ37-100,1))&lt;999,ROUND(100/AI37*AJ37-100,1),IF(ROUND(100/AI37*AJ37-100,1)&gt;999,999,-999)))</f>
        <v xml:space="preserve">    ---- </v>
      </c>
      <c r="AL37" s="822">
        <v>-6</v>
      </c>
      <c r="AM37" s="822">
        <v>-5</v>
      </c>
      <c r="AN37" s="635">
        <f t="shared" si="12"/>
        <v>-16.7</v>
      </c>
      <c r="AO37" s="634">
        <f t="shared" si="13"/>
        <v>-6</v>
      </c>
      <c r="AP37" s="634">
        <f t="shared" si="14"/>
        <v>-6</v>
      </c>
      <c r="AQ37" s="635">
        <f t="shared" si="5"/>
        <v>0</v>
      </c>
      <c r="AR37" s="634">
        <f t="shared" si="6"/>
        <v>-6</v>
      </c>
      <c r="AS37" s="634">
        <f t="shared" si="7"/>
        <v>-6</v>
      </c>
      <c r="AT37" s="635">
        <f t="shared" si="8"/>
        <v>0</v>
      </c>
      <c r="AU37" s="618"/>
      <c r="AV37" s="618"/>
      <c r="AW37" s="613"/>
      <c r="AX37" s="613"/>
    </row>
    <row r="38" spans="1:50" s="636" customFormat="1" ht="18.75" customHeight="1" x14ac:dyDescent="0.35">
      <c r="A38" s="588" t="s">
        <v>368</v>
      </c>
      <c r="B38" s="822"/>
      <c r="C38" s="822"/>
      <c r="D38" s="634"/>
      <c r="E38" s="822"/>
      <c r="F38" s="822"/>
      <c r="G38" s="635"/>
      <c r="H38" s="822"/>
      <c r="I38" s="822"/>
      <c r="J38" s="635"/>
      <c r="K38" s="822"/>
      <c r="L38" s="822"/>
      <c r="M38" s="635"/>
      <c r="N38" s="822"/>
      <c r="O38" s="822"/>
      <c r="P38" s="635"/>
      <c r="Q38" s="822"/>
      <c r="R38" s="822"/>
      <c r="S38" s="634"/>
      <c r="T38" s="822"/>
      <c r="U38" s="822"/>
      <c r="V38" s="635"/>
      <c r="W38" s="822"/>
      <c r="X38" s="822"/>
      <c r="Y38" s="635"/>
      <c r="Z38" s="822"/>
      <c r="AA38" s="822"/>
      <c r="AB38" s="635"/>
      <c r="AC38" s="822"/>
      <c r="AD38" s="822"/>
      <c r="AE38" s="635"/>
      <c r="AF38" s="822"/>
      <c r="AG38" s="822"/>
      <c r="AH38" s="635"/>
      <c r="AI38" s="822">
        <v>-5</v>
      </c>
      <c r="AJ38" s="822">
        <v>-12</v>
      </c>
      <c r="AK38" s="635">
        <f>IF(AI38=0, "    ---- ", IF(ABS(ROUND(100/AI38*AJ38-100,1))&lt;999,ROUND(100/AI38*AJ38-100,1),IF(ROUND(100/AI38*AJ38-100,1)&gt;999,999,-999)))</f>
        <v>140</v>
      </c>
      <c r="AL38" s="822">
        <v>3</v>
      </c>
      <c r="AM38" s="822">
        <v>3</v>
      </c>
      <c r="AN38" s="635">
        <f>IF(AL38=0, "    ---- ", IF(ABS(ROUND(100/AL38*AM38-100,1))&lt;999,ROUND(100/AL38*AM38-100,1),IF(ROUND(100/AL38*AM38-100,1)&gt;999,999,-999)))</f>
        <v>0</v>
      </c>
      <c r="AO38" s="634">
        <f t="shared" si="13"/>
        <v>-2</v>
      </c>
      <c r="AP38" s="634">
        <f t="shared" si="14"/>
        <v>-9</v>
      </c>
      <c r="AQ38" s="635">
        <f t="shared" si="5"/>
        <v>350</v>
      </c>
      <c r="AR38" s="634">
        <f t="shared" si="6"/>
        <v>-2</v>
      </c>
      <c r="AS38" s="634">
        <f t="shared" si="7"/>
        <v>-9</v>
      </c>
      <c r="AT38" s="635">
        <f t="shared" si="8"/>
        <v>350</v>
      </c>
      <c r="AU38" s="618"/>
      <c r="AV38" s="618"/>
      <c r="AW38" s="613"/>
      <c r="AX38" s="613"/>
    </row>
    <row r="39" spans="1:50" s="636" customFormat="1" ht="18.75" customHeight="1" x14ac:dyDescent="0.35">
      <c r="A39" s="588" t="s">
        <v>369</v>
      </c>
      <c r="B39" s="822"/>
      <c r="C39" s="822"/>
      <c r="D39" s="634"/>
      <c r="E39" s="822"/>
      <c r="F39" s="822"/>
      <c r="G39" s="635"/>
      <c r="H39" s="822"/>
      <c r="I39" s="822"/>
      <c r="J39" s="635"/>
      <c r="K39" s="822"/>
      <c r="L39" s="822"/>
      <c r="M39" s="635"/>
      <c r="N39" s="822"/>
      <c r="O39" s="822"/>
      <c r="P39" s="635"/>
      <c r="Q39" s="822"/>
      <c r="R39" s="822"/>
      <c r="S39" s="634"/>
      <c r="T39" s="822"/>
      <c r="U39" s="822"/>
      <c r="V39" s="635"/>
      <c r="W39" s="822"/>
      <c r="X39" s="822"/>
      <c r="Y39" s="635"/>
      <c r="Z39" s="822"/>
      <c r="AA39" s="822"/>
      <c r="AB39" s="635"/>
      <c r="AC39" s="822"/>
      <c r="AD39" s="822"/>
      <c r="AE39" s="635"/>
      <c r="AF39" s="822"/>
      <c r="AG39" s="822"/>
      <c r="AH39" s="635"/>
      <c r="AI39" s="822"/>
      <c r="AJ39" s="822"/>
      <c r="AK39" s="635"/>
      <c r="AL39" s="822"/>
      <c r="AM39" s="822"/>
      <c r="AN39" s="635"/>
      <c r="AO39" s="634">
        <f t="shared" si="13"/>
        <v>0</v>
      </c>
      <c r="AP39" s="634">
        <f t="shared" si="14"/>
        <v>0</v>
      </c>
      <c r="AQ39" s="635" t="str">
        <f t="shared" si="5"/>
        <v xml:space="preserve">    ---- </v>
      </c>
      <c r="AR39" s="634">
        <f t="shared" si="6"/>
        <v>0</v>
      </c>
      <c r="AS39" s="634">
        <f t="shared" si="7"/>
        <v>0</v>
      </c>
      <c r="AT39" s="635" t="str">
        <f t="shared" si="8"/>
        <v xml:space="preserve">    ---- </v>
      </c>
      <c r="AU39" s="618"/>
      <c r="AV39" s="618"/>
      <c r="AW39" s="613"/>
      <c r="AX39" s="613"/>
    </row>
    <row r="40" spans="1:50" s="636" customFormat="1" ht="18.75" customHeight="1" x14ac:dyDescent="0.35">
      <c r="A40" s="588" t="s">
        <v>370</v>
      </c>
      <c r="B40" s="822"/>
      <c r="C40" s="822"/>
      <c r="D40" s="634"/>
      <c r="E40" s="822"/>
      <c r="F40" s="822"/>
      <c r="G40" s="635"/>
      <c r="H40" s="822"/>
      <c r="I40" s="822"/>
      <c r="J40" s="635"/>
      <c r="K40" s="822"/>
      <c r="L40" s="822"/>
      <c r="M40" s="635"/>
      <c r="N40" s="822"/>
      <c r="O40" s="822"/>
      <c r="P40" s="635"/>
      <c r="Q40" s="822"/>
      <c r="R40" s="822"/>
      <c r="S40" s="634"/>
      <c r="T40" s="822"/>
      <c r="U40" s="822"/>
      <c r="V40" s="635"/>
      <c r="W40" s="822"/>
      <c r="X40" s="822"/>
      <c r="Y40" s="635"/>
      <c r="Z40" s="822"/>
      <c r="AA40" s="822"/>
      <c r="AB40" s="635"/>
      <c r="AC40" s="822"/>
      <c r="AD40" s="822"/>
      <c r="AE40" s="635"/>
      <c r="AF40" s="822"/>
      <c r="AG40" s="822"/>
      <c r="AH40" s="635"/>
      <c r="AI40" s="822">
        <v>3</v>
      </c>
      <c r="AJ40" s="822">
        <v>4</v>
      </c>
      <c r="AK40" s="635">
        <f>IF(AI40=0, "    ---- ", IF(ABS(ROUND(100/AI40*AJ40-100,1))&lt;999,ROUND(100/AI40*AJ40-100,1),IF(ROUND(100/AI40*AJ40-100,1)&gt;999,999,-999)))</f>
        <v>33.299999999999997</v>
      </c>
      <c r="AL40" s="822"/>
      <c r="AM40" s="822"/>
      <c r="AN40" s="635"/>
      <c r="AO40" s="634">
        <f t="shared" si="13"/>
        <v>3</v>
      </c>
      <c r="AP40" s="634">
        <f t="shared" si="14"/>
        <v>4</v>
      </c>
      <c r="AQ40" s="635">
        <f t="shared" si="5"/>
        <v>33.299999999999997</v>
      </c>
      <c r="AR40" s="634">
        <f t="shared" si="6"/>
        <v>3</v>
      </c>
      <c r="AS40" s="634">
        <f t="shared" si="7"/>
        <v>4</v>
      </c>
      <c r="AT40" s="635">
        <f t="shared" si="8"/>
        <v>33.299999999999997</v>
      </c>
      <c r="AU40" s="618"/>
      <c r="AV40" s="618"/>
      <c r="AW40" s="613"/>
      <c r="AX40" s="613"/>
    </row>
    <row r="41" spans="1:50" s="636" customFormat="1" ht="18.75" customHeight="1" x14ac:dyDescent="0.35">
      <c r="A41" s="588" t="s">
        <v>371</v>
      </c>
      <c r="B41" s="822"/>
      <c r="C41" s="822"/>
      <c r="D41" s="634"/>
      <c r="E41" s="822"/>
      <c r="F41" s="822"/>
      <c r="G41" s="635"/>
      <c r="H41" s="822"/>
      <c r="I41" s="822"/>
      <c r="J41" s="635"/>
      <c r="K41" s="822"/>
      <c r="L41" s="822"/>
      <c r="M41" s="635"/>
      <c r="N41" s="822"/>
      <c r="O41" s="822"/>
      <c r="P41" s="635"/>
      <c r="Q41" s="822"/>
      <c r="R41" s="822"/>
      <c r="S41" s="634"/>
      <c r="T41" s="822"/>
      <c r="U41" s="822"/>
      <c r="V41" s="635"/>
      <c r="W41" s="822"/>
      <c r="X41" s="822"/>
      <c r="Y41" s="635"/>
      <c r="Z41" s="822"/>
      <c r="AA41" s="822"/>
      <c r="AB41" s="635"/>
      <c r="AC41" s="822"/>
      <c r="AD41" s="822"/>
      <c r="AE41" s="635"/>
      <c r="AF41" s="822"/>
      <c r="AG41" s="822"/>
      <c r="AH41" s="635"/>
      <c r="AI41" s="822">
        <v>1</v>
      </c>
      <c r="AJ41" s="822">
        <v>2</v>
      </c>
      <c r="AK41" s="635">
        <f>IF(AI41=0, "    ---- ", IF(ABS(ROUND(100/AI41*AJ41-100,1))&lt;999,ROUND(100/AI41*AJ41-100,1),IF(ROUND(100/AI41*AJ41-100,1)&gt;999,999,-999)))</f>
        <v>100</v>
      </c>
      <c r="AL41" s="822"/>
      <c r="AM41" s="822">
        <v>0</v>
      </c>
      <c r="AN41" s="635" t="str">
        <f>IF(AL41=0, "    ---- ", IF(ABS(ROUND(100/AL41*AM41-100,1))&lt;999,ROUND(100/AL41*AM41-100,1),IF(ROUND(100/AL41*AM41-100,1)&gt;999,999,-999)))</f>
        <v xml:space="preserve">    ---- </v>
      </c>
      <c r="AO41" s="634">
        <f t="shared" si="13"/>
        <v>1</v>
      </c>
      <c r="AP41" s="634">
        <f t="shared" si="14"/>
        <v>2</v>
      </c>
      <c r="AQ41" s="635">
        <f t="shared" si="5"/>
        <v>100</v>
      </c>
      <c r="AR41" s="634">
        <f t="shared" si="6"/>
        <v>1</v>
      </c>
      <c r="AS41" s="634">
        <f t="shared" si="7"/>
        <v>2</v>
      </c>
      <c r="AT41" s="635">
        <f t="shared" si="8"/>
        <v>100</v>
      </c>
      <c r="AU41" s="618"/>
      <c r="AV41" s="618"/>
      <c r="AW41" s="613"/>
      <c r="AX41" s="613"/>
    </row>
    <row r="42" spans="1:50" s="636" customFormat="1" ht="18.75" customHeight="1" x14ac:dyDescent="0.35">
      <c r="A42" s="588" t="s">
        <v>372</v>
      </c>
      <c r="B42" s="822"/>
      <c r="C42" s="822"/>
      <c r="D42" s="634"/>
      <c r="E42" s="822"/>
      <c r="F42" s="822"/>
      <c r="G42" s="635"/>
      <c r="H42" s="822"/>
      <c r="I42" s="822"/>
      <c r="J42" s="635"/>
      <c r="K42" s="822"/>
      <c r="L42" s="822"/>
      <c r="M42" s="635"/>
      <c r="N42" s="822"/>
      <c r="O42" s="822"/>
      <c r="P42" s="635"/>
      <c r="Q42" s="822"/>
      <c r="R42" s="822"/>
      <c r="S42" s="634"/>
      <c r="T42" s="822"/>
      <c r="U42" s="822"/>
      <c r="V42" s="635"/>
      <c r="W42" s="822"/>
      <c r="X42" s="822"/>
      <c r="Y42" s="635"/>
      <c r="Z42" s="822"/>
      <c r="AA42" s="822"/>
      <c r="AB42" s="635"/>
      <c r="AC42" s="822"/>
      <c r="AD42" s="822"/>
      <c r="AE42" s="635"/>
      <c r="AF42" s="822"/>
      <c r="AG42" s="822"/>
      <c r="AH42" s="635"/>
      <c r="AI42" s="822"/>
      <c r="AJ42" s="822"/>
      <c r="AK42" s="635"/>
      <c r="AL42" s="822"/>
      <c r="AM42" s="822"/>
      <c r="AN42" s="635"/>
      <c r="AO42" s="634">
        <f t="shared" si="13"/>
        <v>0</v>
      </c>
      <c r="AP42" s="634">
        <f t="shared" si="14"/>
        <v>0</v>
      </c>
      <c r="AQ42" s="635" t="str">
        <f t="shared" si="5"/>
        <v xml:space="preserve">    ---- </v>
      </c>
      <c r="AR42" s="634">
        <f t="shared" si="6"/>
        <v>0</v>
      </c>
      <c r="AS42" s="634">
        <f t="shared" si="7"/>
        <v>0</v>
      </c>
      <c r="AT42" s="635" t="str">
        <f t="shared" si="8"/>
        <v xml:space="preserve">    ---- </v>
      </c>
      <c r="AU42" s="618"/>
      <c r="AV42" s="618"/>
      <c r="AW42" s="613"/>
      <c r="AX42" s="613"/>
    </row>
    <row r="43" spans="1:50" s="636" customFormat="1" ht="18.75" customHeight="1" x14ac:dyDescent="0.35">
      <c r="A43" s="588" t="s">
        <v>373</v>
      </c>
      <c r="B43" s="828"/>
      <c r="C43" s="828"/>
      <c r="D43" s="634"/>
      <c r="E43" s="828"/>
      <c r="F43" s="828"/>
      <c r="G43" s="635"/>
      <c r="H43" s="828"/>
      <c r="I43" s="828"/>
      <c r="J43" s="635"/>
      <c r="K43" s="828"/>
      <c r="L43" s="828"/>
      <c r="M43" s="635"/>
      <c r="N43" s="828"/>
      <c r="O43" s="828"/>
      <c r="P43" s="635"/>
      <c r="Q43" s="828"/>
      <c r="R43" s="828"/>
      <c r="S43" s="634"/>
      <c r="T43" s="828"/>
      <c r="U43" s="828"/>
      <c r="V43" s="635"/>
      <c r="W43" s="828"/>
      <c r="X43" s="828"/>
      <c r="Y43" s="635"/>
      <c r="Z43" s="828"/>
      <c r="AA43" s="828"/>
      <c r="AB43" s="635"/>
      <c r="AC43" s="828"/>
      <c r="AD43" s="828"/>
      <c r="AE43" s="635"/>
      <c r="AF43" s="828"/>
      <c r="AG43" s="828"/>
      <c r="AH43" s="635"/>
      <c r="AI43" s="828"/>
      <c r="AJ43" s="828"/>
      <c r="AK43" s="635"/>
      <c r="AL43" s="828"/>
      <c r="AM43" s="828"/>
      <c r="AN43" s="635"/>
      <c r="AO43" s="634">
        <f t="shared" si="13"/>
        <v>0</v>
      </c>
      <c r="AP43" s="634">
        <f t="shared" si="14"/>
        <v>0</v>
      </c>
      <c r="AQ43" s="635" t="str">
        <f t="shared" si="5"/>
        <v xml:space="preserve">    ---- </v>
      </c>
      <c r="AR43" s="634">
        <f t="shared" si="6"/>
        <v>0</v>
      </c>
      <c r="AS43" s="634">
        <f t="shared" si="7"/>
        <v>0</v>
      </c>
      <c r="AT43" s="635" t="str">
        <f t="shared" si="8"/>
        <v xml:space="preserve">    ---- </v>
      </c>
      <c r="AU43" s="618"/>
      <c r="AV43" s="618"/>
      <c r="AW43" s="613"/>
      <c r="AX43" s="613"/>
    </row>
    <row r="44" spans="1:50" s="639" customFormat="1" ht="18.75" customHeight="1" x14ac:dyDescent="0.35">
      <c r="A44" s="583" t="s">
        <v>374</v>
      </c>
      <c r="B44" s="830"/>
      <c r="C44" s="830"/>
      <c r="D44" s="632"/>
      <c r="E44" s="830"/>
      <c r="F44" s="830"/>
      <c r="G44" s="633"/>
      <c r="H44" s="830"/>
      <c r="I44" s="830"/>
      <c r="J44" s="633"/>
      <c r="K44" s="830"/>
      <c r="L44" s="830"/>
      <c r="M44" s="633"/>
      <c r="N44" s="830"/>
      <c r="O44" s="830"/>
      <c r="P44" s="633"/>
      <c r="Q44" s="830"/>
      <c r="R44" s="830"/>
      <c r="S44" s="632"/>
      <c r="T44" s="830"/>
      <c r="U44" s="830"/>
      <c r="V44" s="633"/>
      <c r="W44" s="830"/>
      <c r="X44" s="830"/>
      <c r="Y44" s="633"/>
      <c r="Z44" s="830"/>
      <c r="AA44" s="830"/>
      <c r="AB44" s="635"/>
      <c r="AC44" s="830"/>
      <c r="AD44" s="830"/>
      <c r="AE44" s="633"/>
      <c r="AF44" s="830"/>
      <c r="AG44" s="830"/>
      <c r="AH44" s="635"/>
      <c r="AI44" s="830">
        <f>SUM(AI36:AI41)+AI43</f>
        <v>12</v>
      </c>
      <c r="AJ44" s="830">
        <f>SUM(AJ36:AJ41)+AJ43</f>
        <v>51</v>
      </c>
      <c r="AK44" s="633">
        <f>IF(AI44=0, "    ---- ", IF(ABS(ROUND(100/AI44*AJ44-100,1))&lt;999,ROUND(100/AI44*AJ44-100,1),IF(ROUND(100/AI44*AJ44-100,1)&gt;999,999,-999)))</f>
        <v>325</v>
      </c>
      <c r="AL44" s="830">
        <v>3</v>
      </c>
      <c r="AM44" s="830">
        <f>SUM(AM36:AM41)+AM43</f>
        <v>3</v>
      </c>
      <c r="AN44" s="635">
        <f>IF(AL44=0, "    ---- ", IF(ABS(ROUND(100/AL44*AM44-100,1))&lt;999,ROUND(100/AL44*AM44-100,1),IF(ROUND(100/AL44*AM44-100,1)&gt;999,999,-999)))</f>
        <v>0</v>
      </c>
      <c r="AO44" s="632">
        <f t="shared" si="13"/>
        <v>15</v>
      </c>
      <c r="AP44" s="632">
        <f t="shared" si="14"/>
        <v>54</v>
      </c>
      <c r="AQ44" s="633">
        <f>IF(AO44=0, "    ---- ", IF(ABS(ROUND(100/AO44*AP44-100,1))&lt;999,ROUND(100/AO44*AP44-100,1),IF(ROUND(100/AO44*AP44-100,1)&gt;999,999,-999)))</f>
        <v>260</v>
      </c>
      <c r="AR44" s="632">
        <f t="shared" ref="AR44:AR75" si="15">+B44+H44+K44+N44+Q44+T44+W44+E44+Z44+AC44+AF44+AI44+AL44</f>
        <v>15</v>
      </c>
      <c r="AS44" s="632">
        <f t="shared" ref="AS44:AS75" si="16">+C44+I44+L44+O44+R44+U44+X44+F44+AA44+AD44+AG44+AJ44+AM44</f>
        <v>54</v>
      </c>
      <c r="AT44" s="633">
        <f>IF(AR44=0, "    ---- ", IF(ABS(ROUND(100/AR44*AS44-100,1))&lt;999,ROUND(100/AR44*AS44-100,1),IF(ROUND(100/AR44*AS44-100,1)&gt;999,999,-999)))</f>
        <v>260</v>
      </c>
      <c r="AU44" s="637"/>
      <c r="AV44" s="616"/>
      <c r="AW44" s="638"/>
      <c r="AX44" s="638"/>
    </row>
    <row r="45" spans="1:50" s="636" customFormat="1" ht="18.75" customHeight="1" x14ac:dyDescent="0.35">
      <c r="A45" s="588" t="s">
        <v>375</v>
      </c>
      <c r="B45" s="828"/>
      <c r="C45" s="828"/>
      <c r="D45" s="634"/>
      <c r="E45" s="828"/>
      <c r="F45" s="828"/>
      <c r="G45" s="635"/>
      <c r="H45" s="828"/>
      <c r="I45" s="828"/>
      <c r="J45" s="635"/>
      <c r="K45" s="828"/>
      <c r="L45" s="828"/>
      <c r="M45" s="635"/>
      <c r="N45" s="828"/>
      <c r="O45" s="828"/>
      <c r="P45" s="635"/>
      <c r="Q45" s="828"/>
      <c r="R45" s="828"/>
      <c r="S45" s="634"/>
      <c r="T45" s="828"/>
      <c r="U45" s="828"/>
      <c r="V45" s="635"/>
      <c r="W45" s="828"/>
      <c r="X45" s="828"/>
      <c r="Y45" s="635"/>
      <c r="Z45" s="828"/>
      <c r="AA45" s="828"/>
      <c r="AB45" s="635"/>
      <c r="AC45" s="828"/>
      <c r="AD45" s="828"/>
      <c r="AE45" s="635"/>
      <c r="AF45" s="828"/>
      <c r="AG45" s="828"/>
      <c r="AH45" s="635"/>
      <c r="AI45" s="828">
        <v>13</v>
      </c>
      <c r="AJ45" s="828">
        <v>57</v>
      </c>
      <c r="AK45" s="635">
        <f>IF(AI45=0, "    ---- ", IF(ABS(ROUND(100/AI45*AJ45-100,1))&lt;999,ROUND(100/AI45*AJ45-100,1),IF(ROUND(100/AI45*AJ45-100,1)&gt;999,999,-999)))</f>
        <v>338.5</v>
      </c>
      <c r="AL45" s="828"/>
      <c r="AM45" s="828"/>
      <c r="AN45" s="635"/>
      <c r="AO45" s="634">
        <f t="shared" si="13"/>
        <v>13</v>
      </c>
      <c r="AP45" s="634">
        <f t="shared" si="14"/>
        <v>57</v>
      </c>
      <c r="AQ45" s="635">
        <f t="shared" ref="AQ45:AQ144" si="17">IF(AO45=0, "    ---- ", IF(ABS(ROUND(100/AO45*AP45-100,1))&lt;999,ROUND(100/AO45*AP45-100,1),IF(ROUND(100/AO45*AP45-100,1)&gt;999,999,-999)))</f>
        <v>338.5</v>
      </c>
      <c r="AR45" s="634">
        <f t="shared" si="15"/>
        <v>13</v>
      </c>
      <c r="AS45" s="634">
        <f t="shared" si="16"/>
        <v>57</v>
      </c>
      <c r="AT45" s="635">
        <f t="shared" ref="AT45:AT144" si="18">IF(AR45=0, "    ---- ", IF(ABS(ROUND(100/AR45*AS45-100,1))&lt;999,ROUND(100/AR45*AS45-100,1),IF(ROUND(100/AR45*AS45-100,1)&gt;999,999,-999)))</f>
        <v>338.5</v>
      </c>
      <c r="AU45" s="618"/>
      <c r="AV45" s="618"/>
      <c r="AW45" s="613"/>
      <c r="AX45" s="613"/>
    </row>
    <row r="46" spans="1:50" s="636" customFormat="1" ht="18.75" customHeight="1" x14ac:dyDescent="0.35">
      <c r="A46" s="588" t="s">
        <v>376</v>
      </c>
      <c r="B46" s="828"/>
      <c r="C46" s="828"/>
      <c r="D46" s="634"/>
      <c r="E46" s="828"/>
      <c r="F46" s="828"/>
      <c r="G46" s="635"/>
      <c r="H46" s="828"/>
      <c r="I46" s="828"/>
      <c r="J46" s="635"/>
      <c r="K46" s="828"/>
      <c r="L46" s="828"/>
      <c r="M46" s="635"/>
      <c r="N46" s="828"/>
      <c r="O46" s="828"/>
      <c r="P46" s="635"/>
      <c r="Q46" s="828"/>
      <c r="R46" s="828"/>
      <c r="S46" s="634"/>
      <c r="T46" s="828"/>
      <c r="U46" s="828"/>
      <c r="V46" s="635"/>
      <c r="W46" s="828"/>
      <c r="X46" s="828"/>
      <c r="Y46" s="635"/>
      <c r="Z46" s="828"/>
      <c r="AA46" s="828"/>
      <c r="AB46" s="635"/>
      <c r="AC46" s="828"/>
      <c r="AD46" s="828"/>
      <c r="AE46" s="635"/>
      <c r="AF46" s="828"/>
      <c r="AG46" s="828"/>
      <c r="AH46" s="635"/>
      <c r="AI46" s="828">
        <v>-1</v>
      </c>
      <c r="AJ46" s="828">
        <v>-6</v>
      </c>
      <c r="AK46" s="635">
        <f>IF(AI46=0, "    ---- ", IF(ABS(ROUND(100/AI46*AJ46-100,1))&lt;999,ROUND(100/AI46*AJ46-100,1),IF(ROUND(100/AI46*AJ46-100,1)&gt;999,999,-999)))</f>
        <v>500</v>
      </c>
      <c r="AL46" s="828">
        <v>3</v>
      </c>
      <c r="AM46" s="828">
        <v>3</v>
      </c>
      <c r="AN46" s="635">
        <f>IF(AL46=0, "    ---- ", IF(ABS(ROUND(100/AL46*AM46-100,1))&lt;999,ROUND(100/AL46*AM46-100,1),IF(ROUND(100/AL46*AM46-100,1)&gt;999,999,-999)))</f>
        <v>0</v>
      </c>
      <c r="AO46" s="634">
        <f t="shared" si="13"/>
        <v>2</v>
      </c>
      <c r="AP46" s="634">
        <f t="shared" si="14"/>
        <v>-3</v>
      </c>
      <c r="AQ46" s="635">
        <f t="shared" si="17"/>
        <v>-250</v>
      </c>
      <c r="AR46" s="634">
        <f t="shared" si="15"/>
        <v>2</v>
      </c>
      <c r="AS46" s="634">
        <f t="shared" si="16"/>
        <v>-3</v>
      </c>
      <c r="AT46" s="635">
        <f t="shared" si="18"/>
        <v>-250</v>
      </c>
      <c r="AU46" s="618"/>
      <c r="AV46" s="618"/>
      <c r="AW46" s="613"/>
      <c r="AX46" s="613"/>
    </row>
    <row r="47" spans="1:50" s="636" customFormat="1" ht="18.75" customHeight="1" x14ac:dyDescent="0.35">
      <c r="A47" s="583" t="s">
        <v>389</v>
      </c>
      <c r="B47" s="828"/>
      <c r="C47" s="828"/>
      <c r="D47" s="634"/>
      <c r="E47" s="828"/>
      <c r="F47" s="828"/>
      <c r="G47" s="635"/>
      <c r="H47" s="828"/>
      <c r="I47" s="828"/>
      <c r="J47" s="635"/>
      <c r="K47" s="828"/>
      <c r="L47" s="828"/>
      <c r="M47" s="635"/>
      <c r="N47" s="828"/>
      <c r="O47" s="828"/>
      <c r="P47" s="635"/>
      <c r="Q47" s="828"/>
      <c r="R47" s="828"/>
      <c r="S47" s="634"/>
      <c r="T47" s="828"/>
      <c r="U47" s="828"/>
      <c r="V47" s="635"/>
      <c r="W47" s="828"/>
      <c r="X47" s="828"/>
      <c r="Y47" s="635"/>
      <c r="Z47" s="828"/>
      <c r="AA47" s="828"/>
      <c r="AB47" s="635"/>
      <c r="AC47" s="828"/>
      <c r="AD47" s="828"/>
      <c r="AE47" s="635"/>
      <c r="AF47" s="828"/>
      <c r="AG47" s="828"/>
      <c r="AH47" s="635"/>
      <c r="AI47" s="828"/>
      <c r="AJ47" s="828"/>
      <c r="AK47" s="635"/>
      <c r="AL47" s="828"/>
      <c r="AM47" s="828"/>
      <c r="AN47" s="635"/>
      <c r="AO47" s="634"/>
      <c r="AP47" s="634"/>
      <c r="AQ47" s="635"/>
      <c r="AR47" s="634">
        <f t="shared" si="15"/>
        <v>0</v>
      </c>
      <c r="AS47" s="634">
        <f t="shared" si="16"/>
        <v>0</v>
      </c>
      <c r="AT47" s="635"/>
      <c r="AU47" s="618"/>
      <c r="AV47" s="618"/>
      <c r="AW47" s="613"/>
      <c r="AX47" s="613"/>
    </row>
    <row r="48" spans="1:50" s="636" customFormat="1" ht="18.75" customHeight="1" x14ac:dyDescent="0.35">
      <c r="A48" s="588" t="s">
        <v>366</v>
      </c>
      <c r="B48" s="828"/>
      <c r="C48" s="828"/>
      <c r="D48" s="634"/>
      <c r="E48" s="828"/>
      <c r="F48" s="828"/>
      <c r="G48" s="635"/>
      <c r="H48" s="828">
        <v>6290</v>
      </c>
      <c r="I48" s="828">
        <v>13039.091186</v>
      </c>
      <c r="J48" s="635">
        <f>IF(H48=0, "    ---- ", IF(ABS(ROUND(100/H48*I48-100,1))&lt;999,ROUND(100/H48*I48-100,1),IF(ROUND(100/H48*I48-100,1)&gt;999,999,-999)))</f>
        <v>107.3</v>
      </c>
      <c r="K48" s="828"/>
      <c r="L48" s="828"/>
      <c r="M48" s="635"/>
      <c r="N48" s="828">
        <v>9.8859999999999992</v>
      </c>
      <c r="O48" s="828"/>
      <c r="P48" s="635">
        <f>IF(N48=0, "    ---- ", IF(ABS(ROUND(100/N48*O48-100,1))&lt;999,ROUND(100/N48*O48-100,1),IF(ROUND(100/N48*O48-100,1)&gt;999,999,-999)))</f>
        <v>-100</v>
      </c>
      <c r="Q48" s="828">
        <v>9.1</v>
      </c>
      <c r="R48" s="828">
        <v>8.4</v>
      </c>
      <c r="S48" s="634">
        <f>IF(Q48=0, "    ---- ", IF(ABS(ROUND(100/Q48*R48-100,1))&lt;999,ROUND(100/Q48*R48-100,1),IF(ROUND(100/Q48*R48-100,1)&gt;999,999,-999)))</f>
        <v>-7.7</v>
      </c>
      <c r="T48" s="828"/>
      <c r="U48" s="828"/>
      <c r="V48" s="635"/>
      <c r="W48" s="828"/>
      <c r="X48" s="828"/>
      <c r="Y48" s="635"/>
      <c r="Z48" s="828"/>
      <c r="AA48" s="828"/>
      <c r="AB48" s="635"/>
      <c r="AC48" s="828"/>
      <c r="AD48" s="828"/>
      <c r="AE48" s="635"/>
      <c r="AF48" s="828"/>
      <c r="AG48" s="828">
        <v>8.7359997582555193E-2</v>
      </c>
      <c r="AH48" s="635" t="str">
        <f>IF(AF48=0, "    ---- ", IF(ABS(ROUND(100/AF48*AG48-100,1))&lt;999,ROUND(100/AF48*AG48-100,1),IF(ROUND(100/AF48*AG48-100,1)&gt;999,999,-999)))</f>
        <v xml:space="preserve">    ---- </v>
      </c>
      <c r="AI48" s="828">
        <v>-1</v>
      </c>
      <c r="AJ48" s="828">
        <v>38</v>
      </c>
      <c r="AK48" s="635">
        <f>IF(AI48=0, "    ---- ", IF(ABS(ROUND(100/AI48*AJ48-100,1))&lt;999,ROUND(100/AI48*AJ48-100,1),IF(ROUND(100/AI48*AJ48-100,1)&gt;999,999,-999)))</f>
        <v>-999</v>
      </c>
      <c r="AL48" s="828">
        <v>-29</v>
      </c>
      <c r="AM48" s="828">
        <v>0</v>
      </c>
      <c r="AN48" s="635">
        <f>IF(AL48=0, "    ---- ", IF(ABS(ROUND(100/AL48*AM48-100,1))&lt;999,ROUND(100/AL48*AM48-100,1),IF(ROUND(100/AL48*AM48-100,1)&gt;999,999,-999)))</f>
        <v>-100</v>
      </c>
      <c r="AO48" s="634">
        <f t="shared" ref="AO48:AO94" si="19">B48+H48+K48+N48+Q48+W48+E48+Z48+AC48+AI48+AL48</f>
        <v>6278.9860000000008</v>
      </c>
      <c r="AP48" s="634">
        <f t="shared" ref="AP48:AP94" si="20">C48+I48+L48+O48+R48+X48+F48+AA48+AD48+AJ48+AM48</f>
        <v>13085.491185999999</v>
      </c>
      <c r="AQ48" s="635">
        <f t="shared" si="17"/>
        <v>108.4</v>
      </c>
      <c r="AR48" s="634">
        <f t="shared" si="15"/>
        <v>6278.9860000000008</v>
      </c>
      <c r="AS48" s="634">
        <f t="shared" si="16"/>
        <v>13085.578545997581</v>
      </c>
      <c r="AT48" s="635">
        <f t="shared" si="18"/>
        <v>108.4</v>
      </c>
      <c r="AU48" s="618"/>
      <c r="AV48" s="618"/>
      <c r="AW48" s="613"/>
      <c r="AX48" s="613"/>
    </row>
    <row r="49" spans="1:50" s="636" customFormat="1" ht="18.75" customHeight="1" x14ac:dyDescent="0.35">
      <c r="A49" s="588" t="s">
        <v>367</v>
      </c>
      <c r="B49" s="828"/>
      <c r="C49" s="828"/>
      <c r="D49" s="634"/>
      <c r="E49" s="828"/>
      <c r="F49" s="828"/>
      <c r="G49" s="635"/>
      <c r="H49" s="828"/>
      <c r="I49" s="828"/>
      <c r="J49" s="635"/>
      <c r="K49" s="828"/>
      <c r="L49" s="828"/>
      <c r="M49" s="635"/>
      <c r="N49" s="828"/>
      <c r="O49" s="828"/>
      <c r="P49" s="635"/>
      <c r="Q49" s="828"/>
      <c r="R49" s="828"/>
      <c r="S49" s="634"/>
      <c r="T49" s="828"/>
      <c r="U49" s="828"/>
      <c r="V49" s="635"/>
      <c r="W49" s="828"/>
      <c r="X49" s="828"/>
      <c r="Y49" s="635"/>
      <c r="Z49" s="828"/>
      <c r="AA49" s="828"/>
      <c r="AB49" s="635"/>
      <c r="AC49" s="828"/>
      <c r="AD49" s="828"/>
      <c r="AE49" s="635"/>
      <c r="AF49" s="828"/>
      <c r="AG49" s="828"/>
      <c r="AH49" s="635"/>
      <c r="AI49" s="828"/>
      <c r="AJ49" s="828">
        <v>-38</v>
      </c>
      <c r="AK49" s="635" t="str">
        <f>IF(AI49=0, "    ---- ", IF(ABS(ROUND(100/AI49*AJ49-100,1))&lt;999,ROUND(100/AI49*AJ49-100,1),IF(ROUND(100/AI49*AJ49-100,1)&gt;999,999,-999)))</f>
        <v xml:space="preserve">    ---- </v>
      </c>
      <c r="AL49" s="828"/>
      <c r="AM49" s="828"/>
      <c r="AN49" s="635"/>
      <c r="AO49" s="634">
        <f t="shared" si="19"/>
        <v>0</v>
      </c>
      <c r="AP49" s="634">
        <f t="shared" si="20"/>
        <v>-38</v>
      </c>
      <c r="AQ49" s="635" t="str">
        <f t="shared" si="17"/>
        <v xml:space="preserve">    ---- </v>
      </c>
      <c r="AR49" s="634">
        <f t="shared" si="15"/>
        <v>0</v>
      </c>
      <c r="AS49" s="634">
        <f t="shared" si="16"/>
        <v>-38</v>
      </c>
      <c r="AT49" s="635" t="str">
        <f t="shared" si="18"/>
        <v xml:space="preserve">    ---- </v>
      </c>
      <c r="AU49" s="618"/>
      <c r="AV49" s="618"/>
      <c r="AW49" s="613"/>
      <c r="AX49" s="613"/>
    </row>
    <row r="50" spans="1:50" s="636" customFormat="1" ht="18.75" customHeight="1" x14ac:dyDescent="0.35">
      <c r="A50" s="588" t="s">
        <v>368</v>
      </c>
      <c r="B50" s="828">
        <f>-6.527+0.125+29.932</f>
        <v>23.529999999999998</v>
      </c>
      <c r="C50" s="828">
        <f>15.19+1.124+34.994</f>
        <v>51.308</v>
      </c>
      <c r="D50" s="634">
        <f>IF(B50=0, "    ---- ", IF(ABS(ROUND(100/B50*C50-100,1))&lt;999,ROUND(100/B50*C50-100,1),IF(ROUND(100/B50*C50-100,1)&gt;999,999,-999)))</f>
        <v>118.1</v>
      </c>
      <c r="E50" s="828">
        <v>-38</v>
      </c>
      <c r="F50" s="828"/>
      <c r="G50" s="635">
        <f>IF(E50=0, "    ---- ", IF(ABS(ROUND(100/E50*F50-100,1))&lt;999,ROUND(100/E50*F50-100,1),IF(ROUND(100/E50*F50-100,1)&gt;999,999,-999)))</f>
        <v>-100</v>
      </c>
      <c r="H50" s="828">
        <v>396</v>
      </c>
      <c r="I50" s="828">
        <v>429.154539</v>
      </c>
      <c r="J50" s="635">
        <f>IF(H50=0, "    ---- ", IF(ABS(ROUND(100/H50*I50-100,1))&lt;999,ROUND(100/H50*I50-100,1),IF(ROUND(100/H50*I50-100,1)&gt;999,999,-999)))</f>
        <v>8.4</v>
      </c>
      <c r="K50" s="828"/>
      <c r="L50" s="828"/>
      <c r="M50" s="635"/>
      <c r="N50" s="828">
        <v>219.35900000000001</v>
      </c>
      <c r="O50" s="828"/>
      <c r="P50" s="635">
        <f>IF(N50=0, "    ---- ", IF(ABS(ROUND(100/N50*O50-100,1))&lt;999,ROUND(100/N50*O50-100,1),IF(ROUND(100/N50*O50-100,1)&gt;999,999,-999)))</f>
        <v>-100</v>
      </c>
      <c r="Q50" s="828">
        <v>99.7</v>
      </c>
      <c r="R50" s="828">
        <v>145</v>
      </c>
      <c r="S50" s="634">
        <f>IF(Q50=0, "    ---- ", IF(ABS(ROUND(100/Q50*R50-100,1))&lt;999,ROUND(100/Q50*R50-100,1),IF(ROUND(100/Q50*R50-100,1)&gt;999,999,-999)))</f>
        <v>45.4</v>
      </c>
      <c r="T50" s="828"/>
      <c r="U50" s="828"/>
      <c r="V50" s="635"/>
      <c r="W50" s="828"/>
      <c r="X50" s="828"/>
      <c r="Y50" s="635"/>
      <c r="Z50" s="828">
        <v>231.28</v>
      </c>
      <c r="AA50" s="828">
        <v>235.77</v>
      </c>
      <c r="AB50" s="635">
        <f>IF(Z50=0, "    ---- ", IF(ABS(ROUND(100/Z50*AA50-100,1))&lt;999,ROUND(100/Z50*AA50-100,1),IF(ROUND(100/Z50*AA50-100,1)&gt;999,999,-999)))</f>
        <v>1.9</v>
      </c>
      <c r="AC50" s="828"/>
      <c r="AD50" s="828"/>
      <c r="AE50" s="635"/>
      <c r="AF50" s="828">
        <v>-1.1624508830435101</v>
      </c>
      <c r="AG50" s="828">
        <v>-0.35483523989675803</v>
      </c>
      <c r="AH50" s="635">
        <f>IF(AF50=0, "    ---- ", IF(ABS(ROUND(100/AF50*AG50-100,1))&lt;999,ROUND(100/AF50*AG50-100,1),IF(ROUND(100/AF50*AG50-100,1)&gt;999,999,-999)))</f>
        <v>-69.5</v>
      </c>
      <c r="AI50" s="828">
        <v>78</v>
      </c>
      <c r="AJ50" s="828">
        <v>39</v>
      </c>
      <c r="AK50" s="635">
        <f>IF(AI50=0, "    ---- ", IF(ABS(ROUND(100/AI50*AJ50-100,1))&lt;999,ROUND(100/AI50*AJ50-100,1),IF(ROUND(100/AI50*AJ50-100,1)&gt;999,999,-999)))</f>
        <v>-50</v>
      </c>
      <c r="AL50" s="828">
        <v>342</v>
      </c>
      <c r="AM50" s="828">
        <v>318</v>
      </c>
      <c r="AN50" s="635">
        <f>IF(AL50=0, "    ---- ", IF(ABS(ROUND(100/AL50*AM50-100,1))&lt;999,ROUND(100/AL50*AM50-100,1),IF(ROUND(100/AL50*AM50-100,1)&gt;999,999,-999)))</f>
        <v>-7</v>
      </c>
      <c r="AO50" s="634">
        <f t="shared" si="19"/>
        <v>1351.8690000000001</v>
      </c>
      <c r="AP50" s="634">
        <f t="shared" si="20"/>
        <v>1218.2325390000001</v>
      </c>
      <c r="AQ50" s="635">
        <f t="shared" si="17"/>
        <v>-9.9</v>
      </c>
      <c r="AR50" s="634">
        <f t="shared" si="15"/>
        <v>1350.7065491169565</v>
      </c>
      <c r="AS50" s="634">
        <f t="shared" si="16"/>
        <v>1217.8777037601033</v>
      </c>
      <c r="AT50" s="635">
        <f t="shared" si="18"/>
        <v>-9.8000000000000007</v>
      </c>
      <c r="AU50" s="618"/>
      <c r="AV50" s="618"/>
      <c r="AW50" s="613"/>
      <c r="AX50" s="613"/>
    </row>
    <row r="51" spans="1:50" s="636" customFormat="1" ht="18.75" customHeight="1" x14ac:dyDescent="0.35">
      <c r="A51" s="588" t="s">
        <v>369</v>
      </c>
      <c r="B51" s="828"/>
      <c r="C51" s="828"/>
      <c r="D51" s="634"/>
      <c r="E51" s="828"/>
      <c r="F51" s="828"/>
      <c r="G51" s="635"/>
      <c r="H51" s="828"/>
      <c r="I51" s="828"/>
      <c r="J51" s="635"/>
      <c r="K51" s="828"/>
      <c r="L51" s="828"/>
      <c r="M51" s="635"/>
      <c r="N51" s="828"/>
      <c r="O51" s="828"/>
      <c r="P51" s="635"/>
      <c r="Q51" s="828">
        <v>1.8</v>
      </c>
      <c r="R51" s="828">
        <v>2.4</v>
      </c>
      <c r="S51" s="634">
        <f t="shared" ref="S51:S52" si="21">IF(Q51=0, "    ---- ", IF(ABS(ROUND(100/Q51*R51-100,1))&lt;999,ROUND(100/Q51*R51-100,1),IF(ROUND(100/Q51*R51-100,1)&gt;999,999,-999)))</f>
        <v>33.299999999999997</v>
      </c>
      <c r="T51" s="828"/>
      <c r="U51" s="828"/>
      <c r="V51" s="635"/>
      <c r="W51" s="828"/>
      <c r="X51" s="828"/>
      <c r="Y51" s="635"/>
      <c r="Z51" s="828"/>
      <c r="AA51" s="828"/>
      <c r="AB51" s="635"/>
      <c r="AC51" s="828"/>
      <c r="AD51" s="828"/>
      <c r="AE51" s="635"/>
      <c r="AF51" s="828"/>
      <c r="AG51" s="828"/>
      <c r="AH51" s="635"/>
      <c r="AI51" s="828"/>
      <c r="AJ51" s="828"/>
      <c r="AK51" s="635"/>
      <c r="AL51" s="828"/>
      <c r="AM51" s="828"/>
      <c r="AN51" s="635"/>
      <c r="AO51" s="634">
        <f t="shared" si="19"/>
        <v>1.8</v>
      </c>
      <c r="AP51" s="634">
        <f t="shared" si="20"/>
        <v>2.4</v>
      </c>
      <c r="AQ51" s="635">
        <f t="shared" si="17"/>
        <v>33.299999999999997</v>
      </c>
      <c r="AR51" s="634">
        <f t="shared" si="15"/>
        <v>1.8</v>
      </c>
      <c r="AS51" s="634">
        <f t="shared" si="16"/>
        <v>2.4</v>
      </c>
      <c r="AT51" s="635">
        <f t="shared" si="18"/>
        <v>33.299999999999997</v>
      </c>
      <c r="AU51" s="618"/>
      <c r="AV51" s="618"/>
      <c r="AW51" s="613"/>
      <c r="AX51" s="613"/>
    </row>
    <row r="52" spans="1:50" s="636" customFormat="1" ht="18.75" customHeight="1" x14ac:dyDescent="0.35">
      <c r="A52" s="588" t="s">
        <v>370</v>
      </c>
      <c r="B52" s="828"/>
      <c r="C52" s="828"/>
      <c r="D52" s="634"/>
      <c r="E52" s="828"/>
      <c r="F52" s="828"/>
      <c r="G52" s="635"/>
      <c r="H52" s="828"/>
      <c r="I52" s="828"/>
      <c r="J52" s="635"/>
      <c r="K52" s="828"/>
      <c r="L52" s="828"/>
      <c r="M52" s="635"/>
      <c r="N52" s="828"/>
      <c r="O52" s="828"/>
      <c r="P52" s="635"/>
      <c r="Q52" s="828">
        <v>5.5</v>
      </c>
      <c r="R52" s="828">
        <v>9.1999999999999993</v>
      </c>
      <c r="S52" s="634">
        <f t="shared" si="21"/>
        <v>67.3</v>
      </c>
      <c r="T52" s="828"/>
      <c r="U52" s="828"/>
      <c r="V52" s="635"/>
      <c r="W52" s="828"/>
      <c r="X52" s="828"/>
      <c r="Y52" s="635"/>
      <c r="Z52" s="828"/>
      <c r="AA52" s="828"/>
      <c r="AB52" s="635"/>
      <c r="AC52" s="828"/>
      <c r="AD52" s="828"/>
      <c r="AE52" s="635"/>
      <c r="AF52" s="828"/>
      <c r="AG52" s="828"/>
      <c r="AH52" s="635"/>
      <c r="AI52" s="828"/>
      <c r="AJ52" s="828">
        <v>6</v>
      </c>
      <c r="AK52" s="635" t="str">
        <f>IF(AI52=0, "    ---- ", IF(ABS(ROUND(100/AI52*AJ52-100,1))&lt;999,ROUND(100/AI52*AJ52-100,1),IF(ROUND(100/AI52*AJ52-100,1)&gt;999,999,-999)))</f>
        <v xml:space="preserve">    ---- </v>
      </c>
      <c r="AL52" s="828"/>
      <c r="AM52" s="828"/>
      <c r="AN52" s="635"/>
      <c r="AO52" s="634">
        <f t="shared" si="19"/>
        <v>5.5</v>
      </c>
      <c r="AP52" s="634">
        <f t="shared" si="20"/>
        <v>15.2</v>
      </c>
      <c r="AQ52" s="635">
        <f t="shared" si="17"/>
        <v>176.4</v>
      </c>
      <c r="AR52" s="634">
        <f t="shared" si="15"/>
        <v>5.5</v>
      </c>
      <c r="AS52" s="634">
        <f t="shared" si="16"/>
        <v>15.2</v>
      </c>
      <c r="AT52" s="635">
        <f t="shared" si="18"/>
        <v>176.4</v>
      </c>
      <c r="AU52" s="618"/>
      <c r="AV52" s="618"/>
      <c r="AW52" s="613"/>
      <c r="AX52" s="613"/>
    </row>
    <row r="53" spans="1:50" s="636" customFormat="1" ht="18.75" customHeight="1" x14ac:dyDescent="0.35">
      <c r="A53" s="588" t="s">
        <v>371</v>
      </c>
      <c r="B53" s="828"/>
      <c r="C53" s="828"/>
      <c r="D53" s="634"/>
      <c r="E53" s="828"/>
      <c r="F53" s="828"/>
      <c r="G53" s="635"/>
      <c r="H53" s="828">
        <v>-1</v>
      </c>
      <c r="I53" s="828"/>
      <c r="J53" s="635">
        <f>IF(H53=0, "    ---- ", IF(ABS(ROUND(100/H53*I53-100,1))&lt;999,ROUND(100/H53*I53-100,1),IF(ROUND(100/H53*I53-100,1)&gt;999,999,-999)))</f>
        <v>-100</v>
      </c>
      <c r="K53" s="828"/>
      <c r="L53" s="828"/>
      <c r="M53" s="635"/>
      <c r="N53" s="828">
        <v>22.253</v>
      </c>
      <c r="O53" s="828"/>
      <c r="P53" s="635">
        <f>IF(N53=0, "    ---- ", IF(ABS(ROUND(100/N53*O53-100,1))&lt;999,ROUND(100/N53*O53-100,1),IF(ROUND(100/N53*O53-100,1)&gt;999,999,-999)))</f>
        <v>-100</v>
      </c>
      <c r="Q53" s="828">
        <v>-4.4000000000000004</v>
      </c>
      <c r="R53" s="828">
        <v>-4.4000000000000004</v>
      </c>
      <c r="S53" s="634">
        <f>IF(Q53=0, "    ---- ", IF(ABS(ROUND(100/Q53*R53-100,1))&lt;999,ROUND(100/Q53*R53-100,1),IF(ROUND(100/Q53*R53-100,1)&gt;999,999,-999)))</f>
        <v>0</v>
      </c>
      <c r="T53" s="828"/>
      <c r="U53" s="828"/>
      <c r="V53" s="635"/>
      <c r="W53" s="828"/>
      <c r="X53" s="828"/>
      <c r="Y53" s="635"/>
      <c r="Z53" s="828">
        <v>-2.76</v>
      </c>
      <c r="AA53" s="828">
        <v>-2.4700000000000002</v>
      </c>
      <c r="AB53" s="635">
        <f>IF(Z53=0, "    ---- ", IF(ABS(ROUND(100/Z53*AA53-100,1))&lt;999,ROUND(100/Z53*AA53-100,1),IF(ROUND(100/Z53*AA53-100,1)&gt;999,999,-999)))</f>
        <v>-10.5</v>
      </c>
      <c r="AC53" s="828"/>
      <c r="AD53" s="828"/>
      <c r="AE53" s="635"/>
      <c r="AF53" s="828"/>
      <c r="AG53" s="828"/>
      <c r="AH53" s="635"/>
      <c r="AI53" s="828">
        <v>24</v>
      </c>
      <c r="AJ53" s="828">
        <v>9</v>
      </c>
      <c r="AK53" s="635">
        <f>IF(AI53=0, "    ---- ", IF(ABS(ROUND(100/AI53*AJ53-100,1))&lt;999,ROUND(100/AI53*AJ53-100,1),IF(ROUND(100/AI53*AJ53-100,1)&gt;999,999,-999)))</f>
        <v>-62.5</v>
      </c>
      <c r="AL53" s="828"/>
      <c r="AM53" s="828"/>
      <c r="AN53" s="635"/>
      <c r="AO53" s="634">
        <f t="shared" si="19"/>
        <v>38.093000000000004</v>
      </c>
      <c r="AP53" s="634">
        <f t="shared" si="20"/>
        <v>2.129999999999999</v>
      </c>
      <c r="AQ53" s="635">
        <f t="shared" si="17"/>
        <v>-94.4</v>
      </c>
      <c r="AR53" s="634">
        <f t="shared" si="15"/>
        <v>38.093000000000004</v>
      </c>
      <c r="AS53" s="634">
        <f t="shared" si="16"/>
        <v>2.129999999999999</v>
      </c>
      <c r="AT53" s="635">
        <f t="shared" si="18"/>
        <v>-94.4</v>
      </c>
      <c r="AU53" s="618"/>
      <c r="AV53" s="618"/>
      <c r="AW53" s="613"/>
      <c r="AX53" s="613"/>
    </row>
    <row r="54" spans="1:50" s="636" customFormat="1" ht="18.75" customHeight="1" x14ac:dyDescent="0.35">
      <c r="A54" s="588" t="s">
        <v>372</v>
      </c>
      <c r="B54" s="828"/>
      <c r="C54" s="828"/>
      <c r="D54" s="634"/>
      <c r="E54" s="828"/>
      <c r="F54" s="828"/>
      <c r="G54" s="635"/>
      <c r="H54" s="828"/>
      <c r="I54" s="828"/>
      <c r="J54" s="635"/>
      <c r="K54" s="828"/>
      <c r="L54" s="828"/>
      <c r="M54" s="635"/>
      <c r="N54" s="828"/>
      <c r="O54" s="828"/>
      <c r="P54" s="635"/>
      <c r="Q54" s="828"/>
      <c r="R54" s="828"/>
      <c r="S54" s="634"/>
      <c r="T54" s="828"/>
      <c r="U54" s="828"/>
      <c r="V54" s="635"/>
      <c r="W54" s="828"/>
      <c r="X54" s="828"/>
      <c r="Y54" s="635"/>
      <c r="Z54" s="828"/>
      <c r="AA54" s="828"/>
      <c r="AB54" s="635"/>
      <c r="AC54" s="828"/>
      <c r="AD54" s="828"/>
      <c r="AE54" s="635"/>
      <c r="AF54" s="828"/>
      <c r="AG54" s="828"/>
      <c r="AH54" s="635"/>
      <c r="AI54" s="828"/>
      <c r="AJ54" s="828"/>
      <c r="AK54" s="635"/>
      <c r="AL54" s="828"/>
      <c r="AM54" s="828"/>
      <c r="AN54" s="635"/>
      <c r="AO54" s="634">
        <f t="shared" si="19"/>
        <v>0</v>
      </c>
      <c r="AP54" s="634">
        <f t="shared" si="20"/>
        <v>0</v>
      </c>
      <c r="AQ54" s="635" t="str">
        <f t="shared" si="17"/>
        <v xml:space="preserve">    ---- </v>
      </c>
      <c r="AR54" s="634">
        <f t="shared" si="15"/>
        <v>0</v>
      </c>
      <c r="AS54" s="634">
        <f t="shared" si="16"/>
        <v>0</v>
      </c>
      <c r="AT54" s="635" t="str">
        <f t="shared" si="18"/>
        <v xml:space="preserve">    ---- </v>
      </c>
      <c r="AU54" s="618"/>
      <c r="AV54" s="618"/>
      <c r="AW54" s="613"/>
      <c r="AX54" s="613"/>
    </row>
    <row r="55" spans="1:50" s="636" customFormat="1" ht="18.75" customHeight="1" x14ac:dyDescent="0.35">
      <c r="A55" s="588" t="s">
        <v>373</v>
      </c>
      <c r="B55" s="828"/>
      <c r="C55" s="828"/>
      <c r="D55" s="634"/>
      <c r="E55" s="828">
        <v>-6</v>
      </c>
      <c r="F55" s="828"/>
      <c r="G55" s="635"/>
      <c r="H55" s="828"/>
      <c r="I55" s="828"/>
      <c r="J55" s="635"/>
      <c r="K55" s="828"/>
      <c r="L55" s="828"/>
      <c r="M55" s="635"/>
      <c r="N55" s="828">
        <v>-5.1999999999999998E-2</v>
      </c>
      <c r="O55" s="828"/>
      <c r="P55" s="635">
        <f>IF(N55=0, "    ---- ", IF(ABS(ROUND(100/N55*O55-100,1))&lt;999,ROUND(100/N55*O55-100,1),IF(ROUND(100/N55*O55-100,1)&gt;999,999,-999)))</f>
        <v>-100</v>
      </c>
      <c r="Q55" s="828"/>
      <c r="R55" s="828"/>
      <c r="S55" s="634"/>
      <c r="T55" s="828"/>
      <c r="U55" s="828"/>
      <c r="V55" s="635"/>
      <c r="W55" s="828"/>
      <c r="X55" s="828"/>
      <c r="Y55" s="635"/>
      <c r="Z55" s="828">
        <v>-2.25</v>
      </c>
      <c r="AA55" s="828">
        <v>-13.51</v>
      </c>
      <c r="AB55" s="635">
        <f>IF(Z55=0, "    ---- ", IF(ABS(ROUND(100/Z55*AA55-100,1))&lt;999,ROUND(100/Z55*AA55-100,1),IF(ROUND(100/Z55*AA55-100,1)&gt;999,999,-999)))</f>
        <v>500.4</v>
      </c>
      <c r="AC55" s="828"/>
      <c r="AD55" s="828"/>
      <c r="AE55" s="635"/>
      <c r="AF55" s="828"/>
      <c r="AG55" s="828"/>
      <c r="AH55" s="635"/>
      <c r="AI55" s="828"/>
      <c r="AJ55" s="828"/>
      <c r="AK55" s="635"/>
      <c r="AL55" s="828"/>
      <c r="AM55" s="828"/>
      <c r="AN55" s="635"/>
      <c r="AO55" s="634">
        <f t="shared" si="19"/>
        <v>-8.3019999999999996</v>
      </c>
      <c r="AP55" s="634">
        <f t="shared" si="20"/>
        <v>-13.51</v>
      </c>
      <c r="AQ55" s="635">
        <f t="shared" si="17"/>
        <v>62.7</v>
      </c>
      <c r="AR55" s="634">
        <f t="shared" si="15"/>
        <v>-8.3019999999999996</v>
      </c>
      <c r="AS55" s="634">
        <f t="shared" si="16"/>
        <v>-13.51</v>
      </c>
      <c r="AT55" s="635">
        <f t="shared" si="18"/>
        <v>62.7</v>
      </c>
      <c r="AU55" s="618"/>
      <c r="AV55" s="618"/>
      <c r="AW55" s="613"/>
      <c r="AX55" s="613"/>
    </row>
    <row r="56" spans="1:50" s="639" customFormat="1" ht="18.75" customHeight="1" x14ac:dyDescent="0.35">
      <c r="A56" s="583" t="s">
        <v>374</v>
      </c>
      <c r="B56" s="830">
        <f>SUM(B48:B53)+B55</f>
        <v>23.529999999999998</v>
      </c>
      <c r="C56" s="830">
        <f>SUM(C48:C53)+C55</f>
        <v>51.308</v>
      </c>
      <c r="D56" s="632">
        <f>IF(B56=0, "    ---- ", IF(ABS(ROUND(100/B56*C56-100,1))&lt;999,ROUND(100/B56*C56-100,1),IF(ROUND(100/B56*C56-100,1)&gt;999,999,-999)))</f>
        <v>118.1</v>
      </c>
      <c r="E56" s="830">
        <f>SUM(E48:E53)+E55</f>
        <v>-44</v>
      </c>
      <c r="F56" s="830"/>
      <c r="G56" s="633">
        <f>IF(E56=0, "    ---- ", IF(ABS(ROUND(100/E56*F56-100,1))&lt;999,ROUND(100/E56*F56-100,1),IF(ROUND(100/E56*F56-100,1)&gt;999,999,-999)))</f>
        <v>-100</v>
      </c>
      <c r="H56" s="830">
        <f>SUM(H48:H53)+H55</f>
        <v>6685</v>
      </c>
      <c r="I56" s="830">
        <f>SUM(I48:I53)+I55</f>
        <v>13468.245724999999</v>
      </c>
      <c r="J56" s="633">
        <f>IF(H56=0, "    ---- ", IF(ABS(ROUND(100/H56*I56-100,1))&lt;999,ROUND(100/H56*I56-100,1),IF(ROUND(100/H56*I56-100,1)&gt;999,999,-999)))</f>
        <v>101.5</v>
      </c>
      <c r="K56" s="830"/>
      <c r="L56" s="830"/>
      <c r="M56" s="633"/>
      <c r="N56" s="830">
        <f>SUM(N48:N53)+N55</f>
        <v>251.446</v>
      </c>
      <c r="O56" s="830">
        <f>SUM(O48:O53)+O55</f>
        <v>0</v>
      </c>
      <c r="P56" s="633">
        <f>IF(N56=0, "    ---- ", IF(ABS(ROUND(100/N56*O56-100,1))&lt;999,ROUND(100/N56*O56-100,1),IF(ROUND(100/N56*O56-100,1)&gt;999,999,-999)))</f>
        <v>-100</v>
      </c>
      <c r="Q56" s="830">
        <f>SUM(Q48:Q53)+Q55</f>
        <v>111.69999999999999</v>
      </c>
      <c r="R56" s="830">
        <f>SUM(R48:R53)+R55</f>
        <v>160.6</v>
      </c>
      <c r="S56" s="632">
        <f>IF(Q56=0, "    ---- ", IF(ABS(ROUND(100/Q56*R56-100,1))&lt;999,ROUND(100/Q56*R56-100,1),IF(ROUND(100/Q56*R56-100,1)&gt;999,999,-999)))</f>
        <v>43.8</v>
      </c>
      <c r="T56" s="830"/>
      <c r="U56" s="830"/>
      <c r="V56" s="635"/>
      <c r="W56" s="830"/>
      <c r="X56" s="830"/>
      <c r="Y56" s="633"/>
      <c r="Z56" s="830">
        <f>SUM(Z48:Z53)+Z55</f>
        <v>226.27</v>
      </c>
      <c r="AA56" s="830">
        <f>SUM(AA48:AA53)+AA55</f>
        <v>219.79000000000002</v>
      </c>
      <c r="AB56" s="633">
        <f>IF(Z56=0, "    ---- ", IF(ABS(ROUND(100/Z56*AA56-100,1))&lt;999,ROUND(100/Z56*AA56-100,1),IF(ROUND(100/Z56*AA56-100,1)&gt;999,999,-999)))</f>
        <v>-2.9</v>
      </c>
      <c r="AC56" s="830"/>
      <c r="AD56" s="830"/>
      <c r="AE56" s="633"/>
      <c r="AF56" s="830">
        <f>SUM(AF48:AF53)+AF55</f>
        <v>-1.1624508830435101</v>
      </c>
      <c r="AG56" s="830">
        <f>SUM(AG48:AG53)+AG55</f>
        <v>-0.26747524231420283</v>
      </c>
      <c r="AH56" s="635">
        <f>IF(AF56=0, "    ---- ", IF(ABS(ROUND(100/AF56*AG56-100,1))&lt;999,ROUND(100/AF56*AG56-100,1),IF(ROUND(100/AF56*AG56-100,1)&gt;999,999,-999)))</f>
        <v>-77</v>
      </c>
      <c r="AI56" s="830">
        <f>SUM(AI48:AI53)+AI55</f>
        <v>101</v>
      </c>
      <c r="AJ56" s="830">
        <f>SUM(AJ48:AJ53)+AJ55</f>
        <v>54</v>
      </c>
      <c r="AK56" s="633">
        <f>IF(AI56=0, "    ---- ", IF(ABS(ROUND(100/AI56*AJ56-100,1))&lt;999,ROUND(100/AI56*AJ56-100,1),IF(ROUND(100/AI56*AJ56-100,1)&gt;999,999,-999)))</f>
        <v>-46.5</v>
      </c>
      <c r="AL56" s="830">
        <v>313</v>
      </c>
      <c r="AM56" s="830">
        <f>SUM(AM48:AM53)+AM55</f>
        <v>318</v>
      </c>
      <c r="AN56" s="633">
        <f>IF(AL56=0, "    ---- ", IF(ABS(ROUND(100/AL56*AM56-100,1))&lt;999,ROUND(100/AL56*AM56-100,1),IF(ROUND(100/AL56*AM56-100,1)&gt;999,999,-999)))</f>
        <v>1.6</v>
      </c>
      <c r="AO56" s="632">
        <f t="shared" si="19"/>
        <v>7667.9459999999999</v>
      </c>
      <c r="AP56" s="632">
        <f t="shared" si="20"/>
        <v>14271.943725000001</v>
      </c>
      <c r="AQ56" s="633">
        <f t="shared" si="17"/>
        <v>86.1</v>
      </c>
      <c r="AR56" s="632">
        <f t="shared" si="15"/>
        <v>7666.7835491169562</v>
      </c>
      <c r="AS56" s="632">
        <f t="shared" si="16"/>
        <v>14271.676249757687</v>
      </c>
      <c r="AT56" s="633">
        <f t="shared" si="18"/>
        <v>86.1</v>
      </c>
      <c r="AU56" s="616"/>
      <c r="AV56" s="616"/>
      <c r="AW56" s="638"/>
      <c r="AX56" s="638"/>
    </row>
    <row r="57" spans="1:50" s="636" customFormat="1" ht="18.75" customHeight="1" x14ac:dyDescent="0.35">
      <c r="A57" s="588" t="s">
        <v>375</v>
      </c>
      <c r="B57" s="828"/>
      <c r="C57" s="828"/>
      <c r="D57" s="634"/>
      <c r="E57" s="828"/>
      <c r="F57" s="828"/>
      <c r="G57" s="635"/>
      <c r="H57" s="828">
        <v>6290</v>
      </c>
      <c r="I57" s="828">
        <v>13039.091184000001</v>
      </c>
      <c r="J57" s="634">
        <f>IF(H57=0, "    ---- ", IF(ABS(ROUND(100/H57*I57-100,1))&lt;999,ROUND(100/H57*I57-100,1),IF(ROUND(100/H57*I57-100,1)&gt;999,999,-999)))</f>
        <v>107.3</v>
      </c>
      <c r="K57" s="828"/>
      <c r="L57" s="828"/>
      <c r="M57" s="635"/>
      <c r="N57" s="828"/>
      <c r="O57" s="828"/>
      <c r="P57" s="635"/>
      <c r="Q57" s="828">
        <v>2.2999999999999998</v>
      </c>
      <c r="R57" s="828">
        <v>2.8</v>
      </c>
      <c r="S57" s="634">
        <f>IF(Q57=0, "    ---- ", IF(ABS(ROUND(100/Q57*R57-100,1))&lt;999,ROUND(100/Q57*R57-100,1),IF(ROUND(100/Q57*R57-100,1)&gt;999,999,-999)))</f>
        <v>21.7</v>
      </c>
      <c r="T57" s="828"/>
      <c r="U57" s="828"/>
      <c r="V57" s="635"/>
      <c r="W57" s="828"/>
      <c r="X57" s="828"/>
      <c r="Y57" s="635"/>
      <c r="Z57" s="828"/>
      <c r="AA57" s="828">
        <v>0</v>
      </c>
      <c r="AB57" s="635" t="str">
        <f>IF(Z57=0, "    ---- ", IF(ABS(ROUND(100/Z57*AA57-100,1))&lt;999,ROUND(100/Z57*AA57-100,1),IF(ROUND(100/Z57*AA57-100,1)&gt;999,999,-999)))</f>
        <v xml:space="preserve">    ---- </v>
      </c>
      <c r="AC57" s="828"/>
      <c r="AD57" s="828"/>
      <c r="AE57" s="635"/>
      <c r="AF57" s="828"/>
      <c r="AG57" s="828"/>
      <c r="AH57" s="635"/>
      <c r="AI57" s="828">
        <v>1</v>
      </c>
      <c r="AJ57" s="828">
        <v>4</v>
      </c>
      <c r="AK57" s="635">
        <f>IF(AI57=0, "    ---- ", IF(ABS(ROUND(100/AI57*AJ57-100,1))&lt;999,ROUND(100/AI57*AJ57-100,1),IF(ROUND(100/AI57*AJ57-100,1)&gt;999,999,-999)))</f>
        <v>300</v>
      </c>
      <c r="AL57" s="828"/>
      <c r="AM57" s="828"/>
      <c r="AN57" s="635"/>
      <c r="AO57" s="634">
        <f t="shared" si="19"/>
        <v>6293.3</v>
      </c>
      <c r="AP57" s="634">
        <f t="shared" si="20"/>
        <v>13045.891184</v>
      </c>
      <c r="AQ57" s="635">
        <f t="shared" si="17"/>
        <v>107.3</v>
      </c>
      <c r="AR57" s="634">
        <f t="shared" si="15"/>
        <v>6293.3</v>
      </c>
      <c r="AS57" s="634">
        <f t="shared" si="16"/>
        <v>13045.891184</v>
      </c>
      <c r="AT57" s="635">
        <f t="shared" si="18"/>
        <v>107.3</v>
      </c>
      <c r="AU57" s="618"/>
      <c r="AV57" s="618"/>
      <c r="AW57" s="613"/>
      <c r="AX57" s="613"/>
    </row>
    <row r="58" spans="1:50" s="636" customFormat="1" ht="18.75" customHeight="1" x14ac:dyDescent="0.35">
      <c r="A58" s="588" t="s">
        <v>376</v>
      </c>
      <c r="B58" s="828">
        <f>-6.527+0.125+29.932</f>
        <v>23.529999999999998</v>
      </c>
      <c r="C58" s="828">
        <f>15.19+1.124+34.994</f>
        <v>51.308</v>
      </c>
      <c r="D58" s="634">
        <f>IF(B58=0, "    ---- ", IF(ABS(ROUND(100/B58*C58-100,1))&lt;999,ROUND(100/B58*C58-100,1),IF(ROUND(100/B58*C58-100,1)&gt;999,999,-999)))</f>
        <v>118.1</v>
      </c>
      <c r="E58" s="828">
        <v>-44</v>
      </c>
      <c r="F58" s="828"/>
      <c r="G58" s="635">
        <f>IF(E58=0, "    ---- ", IF(ABS(ROUND(100/E58*F58-100,1))&lt;999,ROUND(100/E58*F58-100,1),IF(ROUND(100/E58*F58-100,1)&gt;999,999,-999)))</f>
        <v>-100</v>
      </c>
      <c r="H58" s="828">
        <v>395</v>
      </c>
      <c r="I58" s="828">
        <v>429.0822130000015</v>
      </c>
      <c r="J58" s="635">
        <f>IF(H58=0, "    ---- ", IF(ABS(ROUND(100/H58*I58-100,1))&lt;999,ROUND(100/H58*I58-100,1),IF(ROUND(100/H58*I58-100,1)&gt;999,999,-999)))</f>
        <v>8.6</v>
      </c>
      <c r="K58" s="828"/>
      <c r="L58" s="828"/>
      <c r="M58" s="635"/>
      <c r="N58" s="828">
        <v>251.44499999999999</v>
      </c>
      <c r="O58" s="828"/>
      <c r="P58" s="635">
        <f>IF(N58=0, "    ---- ", IF(ABS(ROUND(100/N58*O58-100,1))&lt;999,ROUND(100/N58*O58-100,1),IF(ROUND(100/N58*O58-100,1)&gt;999,999,-999)))</f>
        <v>-100</v>
      </c>
      <c r="Q58" s="828">
        <v>109.5</v>
      </c>
      <c r="R58" s="828">
        <v>157.80000000000001</v>
      </c>
      <c r="S58" s="634">
        <f>IF(Q58=0, "    ---- ", IF(ABS(ROUND(100/Q58*R58-100,1))&lt;999,ROUND(100/Q58*R58-100,1),IF(ROUND(100/Q58*R58-100,1)&gt;999,999,-999)))</f>
        <v>44.1</v>
      </c>
      <c r="T58" s="828"/>
      <c r="U58" s="828"/>
      <c r="V58" s="635"/>
      <c r="W58" s="828"/>
      <c r="X58" s="828"/>
      <c r="Y58" s="635"/>
      <c r="Z58" s="828">
        <v>226.27</v>
      </c>
      <c r="AA58" s="828">
        <v>219.79</v>
      </c>
      <c r="AB58" s="635">
        <f>IF(Z58=0, "    ---- ", IF(ABS(ROUND(100/Z58*AA58-100,1))&lt;999,ROUND(100/Z58*AA58-100,1),IF(ROUND(100/Z58*AA58-100,1)&gt;999,999,-999)))</f>
        <v>-2.9</v>
      </c>
      <c r="AC58" s="828"/>
      <c r="AD58" s="828"/>
      <c r="AE58" s="635"/>
      <c r="AF58" s="828">
        <v>-1</v>
      </c>
      <c r="AG58" s="828">
        <v>-0.26747524231420283</v>
      </c>
      <c r="AH58" s="635">
        <f>IF(AF58=0, "    ---- ", IF(ABS(ROUND(100/AF58*AG58-100,1))&lt;999,ROUND(100/AF58*AG58-100,1),IF(ROUND(100/AF58*AG58-100,1)&gt;999,999,-999)))</f>
        <v>-73.3</v>
      </c>
      <c r="AI58" s="828">
        <v>100</v>
      </c>
      <c r="AJ58" s="828">
        <v>50</v>
      </c>
      <c r="AK58" s="635">
        <f>IF(AI58=0, "    ---- ", IF(ABS(ROUND(100/AI58*AJ58-100,1))&lt;999,ROUND(100/AI58*AJ58-100,1),IF(ROUND(100/AI58*AJ58-100,1)&gt;999,999,-999)))</f>
        <v>-50</v>
      </c>
      <c r="AL58" s="828">
        <v>313</v>
      </c>
      <c r="AM58" s="828">
        <v>318</v>
      </c>
      <c r="AN58" s="635">
        <f>IF(AL58=0, "    ---- ", IF(ABS(ROUND(100/AL58*AM58-100,1))&lt;999,ROUND(100/AL58*AM58-100,1),IF(ROUND(100/AL58*AM58-100,1)&gt;999,999,-999)))</f>
        <v>1.6</v>
      </c>
      <c r="AO58" s="634">
        <f t="shared" si="19"/>
        <v>1374.7449999999999</v>
      </c>
      <c r="AP58" s="634">
        <f t="shared" si="20"/>
        <v>1225.9802130000014</v>
      </c>
      <c r="AQ58" s="635">
        <f t="shared" si="17"/>
        <v>-10.8</v>
      </c>
      <c r="AR58" s="634">
        <f t="shared" si="15"/>
        <v>1373.7449999999999</v>
      </c>
      <c r="AS58" s="634">
        <f t="shared" si="16"/>
        <v>1225.7127377576871</v>
      </c>
      <c r="AT58" s="635">
        <f t="shared" si="18"/>
        <v>-10.8</v>
      </c>
      <c r="AU58" s="618"/>
      <c r="AV58" s="618"/>
      <c r="AW58" s="613"/>
      <c r="AX58" s="613"/>
    </row>
    <row r="59" spans="1:50" s="636" customFormat="1" ht="18.75" customHeight="1" x14ac:dyDescent="0.35">
      <c r="A59" s="640" t="s">
        <v>390</v>
      </c>
      <c r="B59" s="828"/>
      <c r="C59" s="828"/>
      <c r="D59" s="634"/>
      <c r="E59" s="828"/>
      <c r="F59" s="828"/>
      <c r="G59" s="635"/>
      <c r="H59" s="828"/>
      <c r="I59" s="828"/>
      <c r="J59" s="635"/>
      <c r="K59" s="828"/>
      <c r="L59" s="828"/>
      <c r="M59" s="635"/>
      <c r="N59" s="828"/>
      <c r="O59" s="828"/>
      <c r="P59" s="635"/>
      <c r="Q59" s="828"/>
      <c r="R59" s="828"/>
      <c r="S59" s="634"/>
      <c r="T59" s="828"/>
      <c r="U59" s="828"/>
      <c r="V59" s="635"/>
      <c r="W59" s="828"/>
      <c r="X59" s="828"/>
      <c r="Y59" s="635"/>
      <c r="Z59" s="828"/>
      <c r="AA59" s="828"/>
      <c r="AB59" s="635"/>
      <c r="AC59" s="828"/>
      <c r="AD59" s="828"/>
      <c r="AE59" s="635"/>
      <c r="AF59" s="828"/>
      <c r="AG59" s="828"/>
      <c r="AH59" s="635"/>
      <c r="AI59" s="828"/>
      <c r="AJ59" s="828"/>
      <c r="AK59" s="635"/>
      <c r="AL59" s="828"/>
      <c r="AM59" s="828"/>
      <c r="AN59" s="635"/>
      <c r="AO59" s="634">
        <f t="shared" si="19"/>
        <v>0</v>
      </c>
      <c r="AP59" s="634">
        <f t="shared" si="20"/>
        <v>0</v>
      </c>
      <c r="AQ59" s="635" t="str">
        <f t="shared" si="17"/>
        <v xml:space="preserve">    ---- </v>
      </c>
      <c r="AR59" s="634">
        <f t="shared" si="15"/>
        <v>0</v>
      </c>
      <c r="AS59" s="634">
        <f t="shared" si="16"/>
        <v>0</v>
      </c>
      <c r="AT59" s="635" t="str">
        <f t="shared" si="18"/>
        <v xml:space="preserve">    ---- </v>
      </c>
      <c r="AU59" s="618"/>
      <c r="AV59" s="618"/>
      <c r="AW59" s="613"/>
      <c r="AX59" s="613"/>
    </row>
    <row r="60" spans="1:50" s="636" customFormat="1" ht="18.75" customHeight="1" x14ac:dyDescent="0.35">
      <c r="A60" s="641" t="s">
        <v>366</v>
      </c>
      <c r="B60" s="828"/>
      <c r="C60" s="828"/>
      <c r="D60" s="634"/>
      <c r="E60" s="828"/>
      <c r="F60" s="828"/>
      <c r="G60" s="635"/>
      <c r="H60" s="828"/>
      <c r="I60" s="828"/>
      <c r="J60" s="635"/>
      <c r="K60" s="828"/>
      <c r="L60" s="828"/>
      <c r="M60" s="635"/>
      <c r="N60" s="828"/>
      <c r="O60" s="828"/>
      <c r="P60" s="635"/>
      <c r="Q60" s="828"/>
      <c r="R60" s="828"/>
      <c r="S60" s="634"/>
      <c r="T60" s="828"/>
      <c r="U60" s="828"/>
      <c r="V60" s="635"/>
      <c r="W60" s="828"/>
      <c r="X60" s="828"/>
      <c r="Y60" s="635"/>
      <c r="Z60" s="828"/>
      <c r="AA60" s="828"/>
      <c r="AB60" s="635"/>
      <c r="AC60" s="828"/>
      <c r="AD60" s="828"/>
      <c r="AE60" s="635"/>
      <c r="AF60" s="828"/>
      <c r="AG60" s="828"/>
      <c r="AH60" s="635"/>
      <c r="AI60" s="828">
        <v>25</v>
      </c>
      <c r="AJ60" s="828">
        <v>185</v>
      </c>
      <c r="AK60" s="635">
        <f t="shared" ref="AK60:AK70" si="22">IF(AI60=0, "    ---- ", IF(ABS(ROUND(100/AI60*AJ60-100,1))&lt;999,ROUND(100/AI60*AJ60-100,1),IF(ROUND(100/AI60*AJ60-100,1)&gt;999,999,-999)))</f>
        <v>640</v>
      </c>
      <c r="AL60" s="828">
        <v>67</v>
      </c>
      <c r="AM60" s="828">
        <v>104</v>
      </c>
      <c r="AN60" s="635">
        <f t="shared" ref="AN60:AN62" si="23">IF(AL60=0, "    ---- ", IF(ABS(ROUND(100/AL60*AM60-100,1))&lt;999,ROUND(100/AL60*AM60-100,1),IF(ROUND(100/AL60*AM60-100,1)&gt;999,999,-999)))</f>
        <v>55.2</v>
      </c>
      <c r="AO60" s="634">
        <f t="shared" si="19"/>
        <v>92</v>
      </c>
      <c r="AP60" s="634">
        <f t="shared" si="20"/>
        <v>289</v>
      </c>
      <c r="AQ60" s="635">
        <f t="shared" si="17"/>
        <v>214.1</v>
      </c>
      <c r="AR60" s="634">
        <f t="shared" si="15"/>
        <v>92</v>
      </c>
      <c r="AS60" s="634">
        <f t="shared" si="16"/>
        <v>289</v>
      </c>
      <c r="AT60" s="635">
        <f t="shared" si="18"/>
        <v>214.1</v>
      </c>
      <c r="AU60" s="618"/>
      <c r="AV60" s="618"/>
      <c r="AW60" s="613"/>
      <c r="AX60" s="613"/>
    </row>
    <row r="61" spans="1:50" s="636" customFormat="1" ht="18.75" customHeight="1" x14ac:dyDescent="0.35">
      <c r="A61" s="641" t="s">
        <v>367</v>
      </c>
      <c r="B61" s="828"/>
      <c r="C61" s="828"/>
      <c r="D61" s="634"/>
      <c r="E61" s="828"/>
      <c r="F61" s="828"/>
      <c r="G61" s="635"/>
      <c r="H61" s="828"/>
      <c r="I61" s="828"/>
      <c r="J61" s="635"/>
      <c r="K61" s="828"/>
      <c r="L61" s="828"/>
      <c r="M61" s="635"/>
      <c r="N61" s="828"/>
      <c r="O61" s="828"/>
      <c r="P61" s="635"/>
      <c r="Q61" s="828"/>
      <c r="R61" s="828"/>
      <c r="S61" s="634"/>
      <c r="T61" s="828"/>
      <c r="U61" s="828"/>
      <c r="V61" s="635"/>
      <c r="W61" s="828"/>
      <c r="X61" s="828"/>
      <c r="Y61" s="635"/>
      <c r="Z61" s="828"/>
      <c r="AA61" s="828"/>
      <c r="AB61" s="635"/>
      <c r="AC61" s="828"/>
      <c r="AD61" s="828"/>
      <c r="AE61" s="635"/>
      <c r="AF61" s="828"/>
      <c r="AG61" s="828"/>
      <c r="AH61" s="635"/>
      <c r="AI61" s="828"/>
      <c r="AJ61" s="828">
        <v>-32</v>
      </c>
      <c r="AK61" s="635" t="str">
        <f t="shared" si="22"/>
        <v xml:space="preserve">    ---- </v>
      </c>
      <c r="AL61" s="828">
        <v>-59</v>
      </c>
      <c r="AM61" s="828">
        <v>-40</v>
      </c>
      <c r="AN61" s="635">
        <f t="shared" si="23"/>
        <v>-32.200000000000003</v>
      </c>
      <c r="AO61" s="634">
        <f t="shared" si="19"/>
        <v>-59</v>
      </c>
      <c r="AP61" s="634">
        <f t="shared" si="20"/>
        <v>-72</v>
      </c>
      <c r="AQ61" s="635">
        <f t="shared" si="17"/>
        <v>22</v>
      </c>
      <c r="AR61" s="634">
        <f t="shared" si="15"/>
        <v>-59</v>
      </c>
      <c r="AS61" s="634">
        <f t="shared" si="16"/>
        <v>-72</v>
      </c>
      <c r="AT61" s="635">
        <f t="shared" si="18"/>
        <v>22</v>
      </c>
      <c r="AU61" s="618"/>
      <c r="AV61" s="618"/>
      <c r="AW61" s="613"/>
      <c r="AX61" s="613"/>
    </row>
    <row r="62" spans="1:50" s="636" customFormat="1" ht="18.75" customHeight="1" x14ac:dyDescent="0.35">
      <c r="A62" s="641" t="s">
        <v>368</v>
      </c>
      <c r="B62" s="828"/>
      <c r="C62" s="828"/>
      <c r="D62" s="634"/>
      <c r="E62" s="828"/>
      <c r="F62" s="828"/>
      <c r="G62" s="635"/>
      <c r="H62" s="828"/>
      <c r="I62" s="828"/>
      <c r="J62" s="635"/>
      <c r="K62" s="828"/>
      <c r="L62" s="828"/>
      <c r="M62" s="635"/>
      <c r="N62" s="828"/>
      <c r="O62" s="828"/>
      <c r="P62" s="635"/>
      <c r="Q62" s="828"/>
      <c r="R62" s="828"/>
      <c r="S62" s="634"/>
      <c r="T62" s="828"/>
      <c r="U62" s="828"/>
      <c r="V62" s="635"/>
      <c r="W62" s="828"/>
      <c r="X62" s="828"/>
      <c r="Y62" s="635"/>
      <c r="Z62" s="828"/>
      <c r="AA62" s="828"/>
      <c r="AB62" s="635"/>
      <c r="AC62" s="828"/>
      <c r="AD62" s="828"/>
      <c r="AE62" s="635"/>
      <c r="AF62" s="828"/>
      <c r="AG62" s="828"/>
      <c r="AH62" s="635"/>
      <c r="AI62" s="828">
        <v>-42</v>
      </c>
      <c r="AJ62" s="828">
        <v>-46</v>
      </c>
      <c r="AK62" s="635">
        <f t="shared" si="22"/>
        <v>9.5</v>
      </c>
      <c r="AL62" s="828"/>
      <c r="AM62" s="828">
        <v>5</v>
      </c>
      <c r="AN62" s="635" t="str">
        <f t="shared" si="23"/>
        <v xml:space="preserve">    ---- </v>
      </c>
      <c r="AO62" s="634">
        <f t="shared" si="19"/>
        <v>-42</v>
      </c>
      <c r="AP62" s="634">
        <f t="shared" si="20"/>
        <v>-41</v>
      </c>
      <c r="AQ62" s="635">
        <f t="shared" si="17"/>
        <v>-2.4</v>
      </c>
      <c r="AR62" s="634">
        <f t="shared" si="15"/>
        <v>-42</v>
      </c>
      <c r="AS62" s="634">
        <f t="shared" si="16"/>
        <v>-41</v>
      </c>
      <c r="AT62" s="635">
        <f t="shared" si="18"/>
        <v>-2.4</v>
      </c>
      <c r="AU62" s="618"/>
      <c r="AV62" s="618"/>
      <c r="AW62" s="613"/>
      <c r="AX62" s="613"/>
    </row>
    <row r="63" spans="1:50" s="636" customFormat="1" ht="18.75" customHeight="1" x14ac:dyDescent="0.35">
      <c r="A63" s="641" t="s">
        <v>369</v>
      </c>
      <c r="B63" s="828"/>
      <c r="C63" s="828"/>
      <c r="D63" s="634"/>
      <c r="E63" s="828"/>
      <c r="F63" s="828"/>
      <c r="G63" s="635"/>
      <c r="H63" s="828"/>
      <c r="I63" s="828"/>
      <c r="J63" s="635"/>
      <c r="K63" s="828"/>
      <c r="L63" s="828"/>
      <c r="M63" s="635"/>
      <c r="N63" s="828"/>
      <c r="O63" s="828"/>
      <c r="P63" s="635"/>
      <c r="Q63" s="828"/>
      <c r="R63" s="828"/>
      <c r="S63" s="634"/>
      <c r="T63" s="828"/>
      <c r="U63" s="828"/>
      <c r="V63" s="635"/>
      <c r="W63" s="828"/>
      <c r="X63" s="828"/>
      <c r="Y63" s="635"/>
      <c r="Z63" s="828"/>
      <c r="AA63" s="828"/>
      <c r="AB63" s="635"/>
      <c r="AC63" s="828"/>
      <c r="AD63" s="828"/>
      <c r="AE63" s="635"/>
      <c r="AF63" s="828"/>
      <c r="AG63" s="828"/>
      <c r="AH63" s="635"/>
      <c r="AI63" s="828"/>
      <c r="AJ63" s="828"/>
      <c r="AK63" s="635"/>
      <c r="AL63" s="828"/>
      <c r="AM63" s="828"/>
      <c r="AN63" s="635"/>
      <c r="AO63" s="634">
        <f t="shared" si="19"/>
        <v>0</v>
      </c>
      <c r="AP63" s="634">
        <f t="shared" si="20"/>
        <v>0</v>
      </c>
      <c r="AQ63" s="635" t="str">
        <f t="shared" si="17"/>
        <v xml:space="preserve">    ---- </v>
      </c>
      <c r="AR63" s="634">
        <f t="shared" si="15"/>
        <v>0</v>
      </c>
      <c r="AS63" s="634">
        <f t="shared" si="16"/>
        <v>0</v>
      </c>
      <c r="AT63" s="635" t="str">
        <f t="shared" si="18"/>
        <v xml:space="preserve">    ---- </v>
      </c>
      <c r="AU63" s="618"/>
      <c r="AV63" s="618"/>
      <c r="AW63" s="613"/>
      <c r="AX63" s="613"/>
    </row>
    <row r="64" spans="1:50" s="636" customFormat="1" ht="18.75" customHeight="1" x14ac:dyDescent="0.35">
      <c r="A64" s="641" t="s">
        <v>370</v>
      </c>
      <c r="B64" s="828"/>
      <c r="C64" s="828"/>
      <c r="D64" s="634"/>
      <c r="E64" s="828"/>
      <c r="F64" s="828"/>
      <c r="G64" s="635"/>
      <c r="H64" s="828"/>
      <c r="I64" s="828"/>
      <c r="J64" s="635"/>
      <c r="K64" s="828"/>
      <c r="L64" s="828"/>
      <c r="M64" s="635"/>
      <c r="N64" s="828"/>
      <c r="O64" s="828"/>
      <c r="P64" s="635"/>
      <c r="Q64" s="828"/>
      <c r="R64" s="828"/>
      <c r="S64" s="634"/>
      <c r="T64" s="828"/>
      <c r="U64" s="828"/>
      <c r="V64" s="635"/>
      <c r="W64" s="828"/>
      <c r="X64" s="828"/>
      <c r="Y64" s="635"/>
      <c r="Z64" s="828"/>
      <c r="AA64" s="828"/>
      <c r="AB64" s="635"/>
      <c r="AC64" s="828"/>
      <c r="AD64" s="828"/>
      <c r="AE64" s="635"/>
      <c r="AF64" s="828"/>
      <c r="AG64" s="828"/>
      <c r="AH64" s="635"/>
      <c r="AI64" s="828">
        <v>5</v>
      </c>
      <c r="AJ64" s="828">
        <v>14</v>
      </c>
      <c r="AK64" s="635">
        <f t="shared" si="22"/>
        <v>180</v>
      </c>
      <c r="AL64" s="828">
        <v>12.7</v>
      </c>
      <c r="AM64" s="828">
        <v>24</v>
      </c>
      <c r="AN64" s="635">
        <f t="shared" ref="AN64:AN65" si="24">IF(AL64=0, "    ---- ", IF(ABS(ROUND(100/AL64*AM64-100,1))&lt;999,ROUND(100/AL64*AM64-100,1),IF(ROUND(100/AL64*AM64-100,1)&gt;999,999,-999)))</f>
        <v>89</v>
      </c>
      <c r="AO64" s="634">
        <f t="shared" si="19"/>
        <v>17.7</v>
      </c>
      <c r="AP64" s="634">
        <f t="shared" si="20"/>
        <v>38</v>
      </c>
      <c r="AQ64" s="635">
        <f t="shared" si="17"/>
        <v>114.7</v>
      </c>
      <c r="AR64" s="634">
        <f t="shared" si="15"/>
        <v>17.7</v>
      </c>
      <c r="AS64" s="634">
        <f t="shared" si="16"/>
        <v>38</v>
      </c>
      <c r="AT64" s="635">
        <f t="shared" si="18"/>
        <v>114.7</v>
      </c>
      <c r="AU64" s="618"/>
      <c r="AV64" s="618"/>
      <c r="AW64" s="613"/>
      <c r="AX64" s="613"/>
    </row>
    <row r="65" spans="1:50" s="636" customFormat="1" ht="18.75" customHeight="1" x14ac:dyDescent="0.35">
      <c r="A65" s="641" t="s">
        <v>371</v>
      </c>
      <c r="B65" s="828"/>
      <c r="C65" s="828"/>
      <c r="D65" s="634"/>
      <c r="E65" s="828"/>
      <c r="F65" s="828"/>
      <c r="G65" s="635"/>
      <c r="H65" s="828"/>
      <c r="I65" s="828"/>
      <c r="J65" s="635"/>
      <c r="K65" s="828"/>
      <c r="L65" s="828"/>
      <c r="M65" s="635"/>
      <c r="N65" s="828"/>
      <c r="O65" s="828"/>
      <c r="P65" s="635"/>
      <c r="Q65" s="828"/>
      <c r="R65" s="828"/>
      <c r="S65" s="634"/>
      <c r="T65" s="828"/>
      <c r="U65" s="828"/>
      <c r="V65" s="635"/>
      <c r="W65" s="828"/>
      <c r="X65" s="828"/>
      <c r="Y65" s="635"/>
      <c r="Z65" s="828"/>
      <c r="AA65" s="828"/>
      <c r="AB65" s="635"/>
      <c r="AC65" s="828"/>
      <c r="AD65" s="828"/>
      <c r="AE65" s="635"/>
      <c r="AF65" s="828"/>
      <c r="AG65" s="828"/>
      <c r="AH65" s="635"/>
      <c r="AI65" s="828">
        <v>-26</v>
      </c>
      <c r="AJ65" s="828">
        <v>-40</v>
      </c>
      <c r="AK65" s="635">
        <f t="shared" si="22"/>
        <v>53.8</v>
      </c>
      <c r="AL65" s="828">
        <v>-42.3</v>
      </c>
      <c r="AM65" s="828">
        <v>12.6</v>
      </c>
      <c r="AN65" s="635">
        <f t="shared" si="24"/>
        <v>-129.80000000000001</v>
      </c>
      <c r="AO65" s="634">
        <f t="shared" si="19"/>
        <v>-68.3</v>
      </c>
      <c r="AP65" s="634">
        <f t="shared" si="20"/>
        <v>-27.4</v>
      </c>
      <c r="AQ65" s="635">
        <f t="shared" si="17"/>
        <v>-59.9</v>
      </c>
      <c r="AR65" s="634">
        <f t="shared" si="15"/>
        <v>-68.3</v>
      </c>
      <c r="AS65" s="634">
        <f t="shared" si="16"/>
        <v>-27.4</v>
      </c>
      <c r="AT65" s="635">
        <f t="shared" si="18"/>
        <v>-59.9</v>
      </c>
      <c r="AU65" s="618"/>
      <c r="AV65" s="618"/>
      <c r="AW65" s="613"/>
      <c r="AX65" s="613"/>
    </row>
    <row r="66" spans="1:50" s="636" customFormat="1" ht="18.75" customHeight="1" x14ac:dyDescent="0.35">
      <c r="A66" s="641" t="s">
        <v>372</v>
      </c>
      <c r="B66" s="828"/>
      <c r="C66" s="828"/>
      <c r="D66" s="634"/>
      <c r="E66" s="828"/>
      <c r="F66" s="828"/>
      <c r="G66" s="635"/>
      <c r="H66" s="828"/>
      <c r="I66" s="828"/>
      <c r="J66" s="635"/>
      <c r="K66" s="828"/>
      <c r="L66" s="828"/>
      <c r="M66" s="635"/>
      <c r="N66" s="828"/>
      <c r="O66" s="828"/>
      <c r="P66" s="635"/>
      <c r="Q66" s="828"/>
      <c r="R66" s="828"/>
      <c r="S66" s="634"/>
      <c r="T66" s="828"/>
      <c r="U66" s="828"/>
      <c r="V66" s="635"/>
      <c r="W66" s="828"/>
      <c r="X66" s="828"/>
      <c r="Y66" s="635"/>
      <c r="Z66" s="828"/>
      <c r="AA66" s="828"/>
      <c r="AB66" s="635"/>
      <c r="AC66" s="828"/>
      <c r="AD66" s="828"/>
      <c r="AE66" s="635"/>
      <c r="AF66" s="828"/>
      <c r="AG66" s="828"/>
      <c r="AH66" s="635"/>
      <c r="AI66" s="828"/>
      <c r="AJ66" s="828"/>
      <c r="AK66" s="635"/>
      <c r="AL66" s="828">
        <v>-42</v>
      </c>
      <c r="AM66" s="828">
        <v>6</v>
      </c>
      <c r="AN66" s="635">
        <f t="shared" ref="AN66" si="25">IF(AL66=0, "    ---- ", IF(ABS(ROUND(100/AL66*AM66-100,1))&lt;999,ROUND(100/AL66*AM66-100,1),IF(ROUND(100/AL66*AM66-100,1)&gt;999,999,-999)))</f>
        <v>-114.3</v>
      </c>
      <c r="AO66" s="634">
        <f t="shared" si="19"/>
        <v>-42</v>
      </c>
      <c r="AP66" s="634">
        <f t="shared" si="20"/>
        <v>6</v>
      </c>
      <c r="AQ66" s="635">
        <f t="shared" si="17"/>
        <v>-114.3</v>
      </c>
      <c r="AR66" s="634">
        <f t="shared" si="15"/>
        <v>-42</v>
      </c>
      <c r="AS66" s="634">
        <f t="shared" si="16"/>
        <v>6</v>
      </c>
      <c r="AT66" s="635">
        <f t="shared" si="18"/>
        <v>-114.3</v>
      </c>
      <c r="AU66" s="618"/>
      <c r="AV66" s="618"/>
      <c r="AW66" s="613"/>
      <c r="AX66" s="613"/>
    </row>
    <row r="67" spans="1:50" s="636" customFormat="1" ht="18.75" customHeight="1" x14ac:dyDescent="0.35">
      <c r="A67" s="641" t="s">
        <v>373</v>
      </c>
      <c r="B67" s="828"/>
      <c r="C67" s="828"/>
      <c r="D67" s="634"/>
      <c r="E67" s="828"/>
      <c r="F67" s="828"/>
      <c r="G67" s="635"/>
      <c r="H67" s="828"/>
      <c r="I67" s="828"/>
      <c r="J67" s="635"/>
      <c r="K67" s="828"/>
      <c r="L67" s="828"/>
      <c r="M67" s="635"/>
      <c r="N67" s="828"/>
      <c r="O67" s="828"/>
      <c r="P67" s="635"/>
      <c r="Q67" s="828"/>
      <c r="R67" s="828"/>
      <c r="S67" s="634"/>
      <c r="T67" s="828"/>
      <c r="U67" s="828"/>
      <c r="V67" s="635"/>
      <c r="W67" s="828"/>
      <c r="X67" s="828"/>
      <c r="Y67" s="635"/>
      <c r="Z67" s="828"/>
      <c r="AA67" s="828"/>
      <c r="AB67" s="635"/>
      <c r="AC67" s="828"/>
      <c r="AD67" s="828"/>
      <c r="AE67" s="635"/>
      <c r="AF67" s="828"/>
      <c r="AG67" s="828"/>
      <c r="AH67" s="635"/>
      <c r="AI67" s="828"/>
      <c r="AJ67" s="828"/>
      <c r="AK67" s="635"/>
      <c r="AL67" s="828"/>
      <c r="AM67" s="828"/>
      <c r="AN67" s="635"/>
      <c r="AO67" s="634">
        <f t="shared" si="19"/>
        <v>0</v>
      </c>
      <c r="AP67" s="634">
        <f t="shared" si="20"/>
        <v>0</v>
      </c>
      <c r="AQ67" s="635" t="str">
        <f t="shared" si="17"/>
        <v xml:space="preserve">    ---- </v>
      </c>
      <c r="AR67" s="634">
        <f t="shared" si="15"/>
        <v>0</v>
      </c>
      <c r="AS67" s="634">
        <f t="shared" si="16"/>
        <v>0</v>
      </c>
      <c r="AT67" s="635" t="str">
        <f t="shared" si="18"/>
        <v xml:space="preserve">    ---- </v>
      </c>
      <c r="AU67" s="618"/>
      <c r="AV67" s="618"/>
      <c r="AW67" s="613"/>
      <c r="AX67" s="613"/>
    </row>
    <row r="68" spans="1:50" s="639" customFormat="1" ht="18.75" customHeight="1" x14ac:dyDescent="0.35">
      <c r="A68" s="640" t="s">
        <v>374</v>
      </c>
      <c r="B68" s="830"/>
      <c r="C68" s="830"/>
      <c r="D68" s="632"/>
      <c r="E68" s="830"/>
      <c r="F68" s="830"/>
      <c r="G68" s="633"/>
      <c r="H68" s="830"/>
      <c r="I68" s="830"/>
      <c r="J68" s="633"/>
      <c r="K68" s="830"/>
      <c r="L68" s="830"/>
      <c r="M68" s="633"/>
      <c r="N68" s="830"/>
      <c r="O68" s="830"/>
      <c r="P68" s="633"/>
      <c r="Q68" s="830"/>
      <c r="R68" s="830"/>
      <c r="S68" s="632"/>
      <c r="T68" s="830"/>
      <c r="U68" s="830"/>
      <c r="V68" s="633"/>
      <c r="W68" s="830"/>
      <c r="X68" s="830"/>
      <c r="Y68" s="633"/>
      <c r="Z68" s="830"/>
      <c r="AA68" s="830"/>
      <c r="AB68" s="633"/>
      <c r="AC68" s="830"/>
      <c r="AD68" s="830"/>
      <c r="AE68" s="633"/>
      <c r="AF68" s="830"/>
      <c r="AG68" s="830"/>
      <c r="AH68" s="633"/>
      <c r="AI68" s="830">
        <f>SUM(AI60:AI65)+AI67</f>
        <v>-38</v>
      </c>
      <c r="AJ68" s="830">
        <f>SUM(AJ60:AJ65)+AJ67</f>
        <v>81</v>
      </c>
      <c r="AK68" s="633">
        <f t="shared" si="22"/>
        <v>-313.2</v>
      </c>
      <c r="AL68" s="830">
        <v>-21.599999999999998</v>
      </c>
      <c r="AM68" s="830">
        <f>SUM(AM60:AM65)+AM67</f>
        <v>105.6</v>
      </c>
      <c r="AN68" s="635">
        <f t="shared" ref="AN68:AN69" si="26">IF(AL68=0, "    ---- ", IF(ABS(ROUND(100/AL68*AM68-100,1))&lt;999,ROUND(100/AL68*AM68-100,1),IF(ROUND(100/AL68*AM68-100,1)&gt;999,999,-999)))</f>
        <v>-588.9</v>
      </c>
      <c r="AO68" s="634">
        <f t="shared" si="19"/>
        <v>-59.599999999999994</v>
      </c>
      <c r="AP68" s="634">
        <f t="shared" si="20"/>
        <v>186.6</v>
      </c>
      <c r="AQ68" s="633">
        <f>IF(AO68=0, "    ---- ", IF(ABS(ROUND(100/AO68*AP68-100,1))&lt;999,ROUND(100/AO68*AP68-100,1),IF(ROUND(100/AO68*AP68-100,1)&gt;999,999,-999)))</f>
        <v>-413.1</v>
      </c>
      <c r="AR68" s="634">
        <f t="shared" si="15"/>
        <v>-59.599999999999994</v>
      </c>
      <c r="AS68" s="634">
        <f t="shared" si="16"/>
        <v>186.6</v>
      </c>
      <c r="AT68" s="633">
        <f t="shared" si="18"/>
        <v>-413.1</v>
      </c>
      <c r="AU68" s="637" t="e">
        <f>B68,C68,H68,I68,N68,O68,Q68,R68,T68,U68,W68,X68,E68,F68,Z68,AA68,AC68,AD68,AF68,AG68,#REF!,#REF!,AI68,AJ68,AL68,AM68,AO68,AP68,AR68,AS68</f>
        <v>#REF!</v>
      </c>
      <c r="AV68" s="616"/>
      <c r="AW68" s="638"/>
      <c r="AX68" s="638"/>
    </row>
    <row r="69" spans="1:50" s="636" customFormat="1" ht="18.75" customHeight="1" x14ac:dyDescent="0.35">
      <c r="A69" s="641" t="s">
        <v>375</v>
      </c>
      <c r="B69" s="828"/>
      <c r="C69" s="828"/>
      <c r="D69" s="634"/>
      <c r="E69" s="828"/>
      <c r="F69" s="828"/>
      <c r="G69" s="635"/>
      <c r="H69" s="828"/>
      <c r="I69" s="828"/>
      <c r="J69" s="635"/>
      <c r="K69" s="828"/>
      <c r="L69" s="828"/>
      <c r="M69" s="635"/>
      <c r="N69" s="828"/>
      <c r="O69" s="828"/>
      <c r="P69" s="635"/>
      <c r="Q69" s="828"/>
      <c r="R69" s="828"/>
      <c r="S69" s="634"/>
      <c r="T69" s="828"/>
      <c r="U69" s="828"/>
      <c r="V69" s="635"/>
      <c r="W69" s="828"/>
      <c r="X69" s="828"/>
      <c r="Y69" s="635"/>
      <c r="Z69" s="828"/>
      <c r="AA69" s="828"/>
      <c r="AB69" s="635"/>
      <c r="AC69" s="828"/>
      <c r="AD69" s="828"/>
      <c r="AE69" s="635"/>
      <c r="AF69" s="828"/>
      <c r="AG69" s="828"/>
      <c r="AH69" s="635"/>
      <c r="AI69" s="828">
        <v>26</v>
      </c>
      <c r="AJ69" s="828">
        <v>160</v>
      </c>
      <c r="AK69" s="635">
        <f t="shared" si="22"/>
        <v>515.4</v>
      </c>
      <c r="AL69" s="828">
        <v>8</v>
      </c>
      <c r="AM69" s="828">
        <v>70</v>
      </c>
      <c r="AN69" s="635">
        <f t="shared" si="26"/>
        <v>775</v>
      </c>
      <c r="AO69" s="634">
        <f t="shared" si="19"/>
        <v>34</v>
      </c>
      <c r="AP69" s="634">
        <f t="shared" si="20"/>
        <v>230</v>
      </c>
      <c r="AQ69" s="635">
        <f t="shared" ref="AQ69:AQ79" si="27">IF(AO69=0, "    ---- ", IF(ABS(ROUND(100/AO69*AP69-100,1))&lt;999,ROUND(100/AO69*AP69-100,1),IF(ROUND(100/AO69*AP69-100,1)&gt;999,999,-999)))</f>
        <v>576.5</v>
      </c>
      <c r="AR69" s="634">
        <f t="shared" si="15"/>
        <v>34</v>
      </c>
      <c r="AS69" s="634">
        <f t="shared" si="16"/>
        <v>230</v>
      </c>
      <c r="AT69" s="635">
        <f t="shared" si="18"/>
        <v>576.5</v>
      </c>
      <c r="AU69" s="618"/>
      <c r="AV69" s="618"/>
      <c r="AW69" s="613"/>
      <c r="AX69" s="613"/>
    </row>
    <row r="70" spans="1:50" s="636" customFormat="1" ht="18.75" customHeight="1" x14ac:dyDescent="0.35">
      <c r="A70" s="641" t="s">
        <v>376</v>
      </c>
      <c r="B70" s="828"/>
      <c r="C70" s="828"/>
      <c r="D70" s="634"/>
      <c r="E70" s="828"/>
      <c r="F70" s="828"/>
      <c r="G70" s="635"/>
      <c r="H70" s="828"/>
      <c r="I70" s="828"/>
      <c r="J70" s="635"/>
      <c r="K70" s="828"/>
      <c r="L70" s="828"/>
      <c r="M70" s="635"/>
      <c r="N70" s="828"/>
      <c r="O70" s="828"/>
      <c r="P70" s="635"/>
      <c r="Q70" s="828"/>
      <c r="R70" s="828"/>
      <c r="S70" s="634"/>
      <c r="T70" s="828"/>
      <c r="U70" s="828"/>
      <c r="V70" s="635"/>
      <c r="W70" s="828"/>
      <c r="X70" s="828"/>
      <c r="Y70" s="635"/>
      <c r="Z70" s="828"/>
      <c r="AA70" s="828"/>
      <c r="AB70" s="635"/>
      <c r="AC70" s="828"/>
      <c r="AD70" s="828"/>
      <c r="AE70" s="635"/>
      <c r="AF70" s="828"/>
      <c r="AG70" s="828"/>
      <c r="AH70" s="635"/>
      <c r="AI70" s="828">
        <v>-64</v>
      </c>
      <c r="AJ70" s="828">
        <v>-79</v>
      </c>
      <c r="AK70" s="635">
        <f t="shared" si="22"/>
        <v>23.4</v>
      </c>
      <c r="AL70" s="828">
        <v>-30</v>
      </c>
      <c r="AM70" s="828">
        <v>35.6</v>
      </c>
      <c r="AN70" s="635">
        <f t="shared" ref="AN70" si="28">IF(AL70=0, "    ---- ", IF(ABS(ROUND(100/AL70*AM70-100,1))&lt;999,ROUND(100/AL70*AM70-100,1),IF(ROUND(100/AL70*AM70-100,1)&gt;999,999,-999)))</f>
        <v>-218.7</v>
      </c>
      <c r="AO70" s="634">
        <f t="shared" si="19"/>
        <v>-94</v>
      </c>
      <c r="AP70" s="634">
        <f t="shared" si="20"/>
        <v>-43.4</v>
      </c>
      <c r="AQ70" s="635">
        <f t="shared" si="27"/>
        <v>-53.8</v>
      </c>
      <c r="AR70" s="634">
        <f t="shared" si="15"/>
        <v>-94</v>
      </c>
      <c r="AS70" s="634">
        <f t="shared" si="16"/>
        <v>-43.4</v>
      </c>
      <c r="AT70" s="635">
        <f t="shared" si="18"/>
        <v>-53.8</v>
      </c>
      <c r="AU70" s="618"/>
      <c r="AV70" s="618"/>
      <c r="AW70" s="613"/>
      <c r="AX70" s="613"/>
    </row>
    <row r="71" spans="1:50" s="636" customFormat="1" ht="18.75" customHeight="1" x14ac:dyDescent="0.35">
      <c r="A71" s="640" t="s">
        <v>391</v>
      </c>
      <c r="B71" s="828"/>
      <c r="C71" s="828"/>
      <c r="D71" s="634"/>
      <c r="E71" s="828"/>
      <c r="F71" s="828"/>
      <c r="G71" s="635"/>
      <c r="H71" s="828"/>
      <c r="I71" s="828"/>
      <c r="J71" s="635"/>
      <c r="K71" s="828"/>
      <c r="L71" s="828"/>
      <c r="M71" s="635"/>
      <c r="N71" s="828"/>
      <c r="O71" s="828"/>
      <c r="P71" s="635"/>
      <c r="Q71" s="828"/>
      <c r="R71" s="828"/>
      <c r="S71" s="634"/>
      <c r="T71" s="828"/>
      <c r="U71" s="828"/>
      <c r="V71" s="635"/>
      <c r="W71" s="828"/>
      <c r="X71" s="828"/>
      <c r="Y71" s="635"/>
      <c r="Z71" s="828"/>
      <c r="AA71" s="828"/>
      <c r="AB71" s="635"/>
      <c r="AC71" s="828"/>
      <c r="AD71" s="828"/>
      <c r="AE71" s="635"/>
      <c r="AF71" s="828"/>
      <c r="AG71" s="828"/>
      <c r="AH71" s="635"/>
      <c r="AI71" s="828"/>
      <c r="AJ71" s="828"/>
      <c r="AK71" s="635"/>
      <c r="AL71" s="828"/>
      <c r="AM71" s="828"/>
      <c r="AN71" s="635"/>
      <c r="AO71" s="634">
        <f t="shared" si="19"/>
        <v>0</v>
      </c>
      <c r="AP71" s="634">
        <f t="shared" si="20"/>
        <v>0</v>
      </c>
      <c r="AQ71" s="635" t="str">
        <f t="shared" si="27"/>
        <v xml:space="preserve">    ---- </v>
      </c>
      <c r="AR71" s="634">
        <f t="shared" si="15"/>
        <v>0</v>
      </c>
      <c r="AS71" s="634">
        <f t="shared" si="16"/>
        <v>0</v>
      </c>
      <c r="AT71" s="635"/>
      <c r="AU71" s="618"/>
      <c r="AV71" s="618"/>
      <c r="AW71" s="613"/>
      <c r="AX71" s="613"/>
    </row>
    <row r="72" spans="1:50" s="636" customFormat="1" ht="18.75" customHeight="1" x14ac:dyDescent="0.35">
      <c r="A72" s="641" t="s">
        <v>366</v>
      </c>
      <c r="B72" s="828"/>
      <c r="C72" s="828"/>
      <c r="D72" s="634"/>
      <c r="E72" s="828"/>
      <c r="F72" s="828"/>
      <c r="G72" s="635"/>
      <c r="H72" s="828"/>
      <c r="I72" s="828"/>
      <c r="J72" s="635"/>
      <c r="K72" s="828"/>
      <c r="L72" s="828"/>
      <c r="M72" s="635"/>
      <c r="N72" s="828"/>
      <c r="O72" s="828"/>
      <c r="P72" s="635"/>
      <c r="Q72" s="828"/>
      <c r="R72" s="828"/>
      <c r="S72" s="634"/>
      <c r="T72" s="828"/>
      <c r="U72" s="828"/>
      <c r="V72" s="635"/>
      <c r="W72" s="828"/>
      <c r="X72" s="828"/>
      <c r="Y72" s="635"/>
      <c r="Z72" s="828"/>
      <c r="AA72" s="828"/>
      <c r="AB72" s="635"/>
      <c r="AC72" s="828"/>
      <c r="AD72" s="828"/>
      <c r="AE72" s="635"/>
      <c r="AF72" s="828"/>
      <c r="AG72" s="828"/>
      <c r="AH72" s="635"/>
      <c r="AI72" s="828"/>
      <c r="AJ72" s="828">
        <v>2</v>
      </c>
      <c r="AK72" s="635" t="str">
        <f t="shared" ref="AK72:AK82" si="29">IF(AI72=0, "    ---- ", IF(ABS(ROUND(100/AI72*AJ72-100,1))&lt;999,ROUND(100/AI72*AJ72-100,1),IF(ROUND(100/AI72*AJ72-100,1)&gt;999,999,-999)))</f>
        <v xml:space="preserve">    ---- </v>
      </c>
      <c r="AL72" s="828"/>
      <c r="AM72" s="828">
        <v>0</v>
      </c>
      <c r="AN72" s="635" t="str">
        <f t="shared" ref="AN72" si="30">IF(AL72=0, "    ---- ", IF(ABS(ROUND(100/AL72*AM72-100,1))&lt;999,ROUND(100/AL72*AM72-100,1),IF(ROUND(100/AL72*AM72-100,1)&gt;999,999,-999)))</f>
        <v xml:space="preserve">    ---- </v>
      </c>
      <c r="AO72" s="634">
        <f t="shared" si="19"/>
        <v>0</v>
      </c>
      <c r="AP72" s="634">
        <f t="shared" si="20"/>
        <v>2</v>
      </c>
      <c r="AQ72" s="635" t="str">
        <f t="shared" si="27"/>
        <v xml:space="preserve">    ---- </v>
      </c>
      <c r="AR72" s="634">
        <f t="shared" si="15"/>
        <v>0</v>
      </c>
      <c r="AS72" s="634">
        <f t="shared" si="16"/>
        <v>2</v>
      </c>
      <c r="AT72" s="635" t="str">
        <f t="shared" si="18"/>
        <v xml:space="preserve">    ---- </v>
      </c>
      <c r="AU72" s="618"/>
      <c r="AV72" s="618"/>
      <c r="AW72" s="613"/>
      <c r="AX72" s="613"/>
    </row>
    <row r="73" spans="1:50" s="636" customFormat="1" ht="18.75" customHeight="1" x14ac:dyDescent="0.35">
      <c r="A73" s="641" t="s">
        <v>367</v>
      </c>
      <c r="B73" s="828"/>
      <c r="C73" s="828"/>
      <c r="D73" s="634"/>
      <c r="E73" s="828"/>
      <c r="F73" s="828"/>
      <c r="G73" s="635"/>
      <c r="H73" s="828"/>
      <c r="I73" s="828"/>
      <c r="J73" s="635"/>
      <c r="K73" s="828"/>
      <c r="L73" s="828"/>
      <c r="M73" s="635"/>
      <c r="N73" s="828"/>
      <c r="O73" s="828"/>
      <c r="P73" s="635"/>
      <c r="Q73" s="828"/>
      <c r="R73" s="828"/>
      <c r="S73" s="634"/>
      <c r="T73" s="828"/>
      <c r="U73" s="828"/>
      <c r="V73" s="635"/>
      <c r="W73" s="828"/>
      <c r="X73" s="828"/>
      <c r="Y73" s="635"/>
      <c r="Z73" s="828"/>
      <c r="AA73" s="828"/>
      <c r="AB73" s="635"/>
      <c r="AC73" s="828"/>
      <c r="AD73" s="828"/>
      <c r="AE73" s="635"/>
      <c r="AF73" s="828"/>
      <c r="AG73" s="828"/>
      <c r="AH73" s="635"/>
      <c r="AI73" s="828"/>
      <c r="AJ73" s="828">
        <v>-2</v>
      </c>
      <c r="AK73" s="635" t="str">
        <f>IF(AI73=0, "    ---- ", IF(ABS(ROUND(100/AI73*AJ73-100,1))&lt;999,ROUND(100/AI73*AJ73-100,1),IF(ROUND(100/AI73*AJ73-100,1)&gt;999,999,-999)))</f>
        <v xml:space="preserve">    ---- </v>
      </c>
      <c r="AL73" s="828"/>
      <c r="AM73" s="828"/>
      <c r="AN73" s="635"/>
      <c r="AO73" s="634">
        <f t="shared" si="19"/>
        <v>0</v>
      </c>
      <c r="AP73" s="634">
        <f t="shared" si="20"/>
        <v>-2</v>
      </c>
      <c r="AQ73" s="635" t="str">
        <f t="shared" si="27"/>
        <v xml:space="preserve">    ---- </v>
      </c>
      <c r="AR73" s="634">
        <f t="shared" si="15"/>
        <v>0</v>
      </c>
      <c r="AS73" s="634">
        <f t="shared" si="16"/>
        <v>-2</v>
      </c>
      <c r="AT73" s="635" t="str">
        <f t="shared" si="18"/>
        <v xml:space="preserve">    ---- </v>
      </c>
      <c r="AU73" s="618"/>
      <c r="AV73" s="618"/>
      <c r="AW73" s="613"/>
      <c r="AX73" s="613"/>
    </row>
    <row r="74" spans="1:50" s="636" customFormat="1" ht="18.75" customHeight="1" x14ac:dyDescent="0.35">
      <c r="A74" s="641" t="s">
        <v>368</v>
      </c>
      <c r="B74" s="828"/>
      <c r="C74" s="828"/>
      <c r="D74" s="634"/>
      <c r="E74" s="828"/>
      <c r="F74" s="828"/>
      <c r="G74" s="635"/>
      <c r="H74" s="828"/>
      <c r="I74" s="828"/>
      <c r="J74" s="635"/>
      <c r="K74" s="828"/>
      <c r="L74" s="828"/>
      <c r="M74" s="635"/>
      <c r="N74" s="828"/>
      <c r="O74" s="828"/>
      <c r="P74" s="635"/>
      <c r="Q74" s="828"/>
      <c r="R74" s="828"/>
      <c r="S74" s="634"/>
      <c r="T74" s="828"/>
      <c r="U74" s="828"/>
      <c r="V74" s="635"/>
      <c r="W74" s="828"/>
      <c r="X74" s="828"/>
      <c r="Y74" s="635"/>
      <c r="Z74" s="828"/>
      <c r="AA74" s="828"/>
      <c r="AB74" s="635"/>
      <c r="AC74" s="828"/>
      <c r="AD74" s="828"/>
      <c r="AE74" s="635"/>
      <c r="AF74" s="828"/>
      <c r="AG74" s="828"/>
      <c r="AH74" s="635"/>
      <c r="AI74" s="828">
        <v>6</v>
      </c>
      <c r="AJ74" s="828">
        <v>-1</v>
      </c>
      <c r="AK74" s="635">
        <f t="shared" si="29"/>
        <v>-116.7</v>
      </c>
      <c r="AL74" s="828">
        <v>-7</v>
      </c>
      <c r="AM74" s="828">
        <v>0</v>
      </c>
      <c r="AN74" s="635">
        <f t="shared" ref="AN74" si="31">IF(AL74=0, "    ---- ", IF(ABS(ROUND(100/AL74*AM74-100,1))&lt;999,ROUND(100/AL74*AM74-100,1),IF(ROUND(100/AL74*AM74-100,1)&gt;999,999,-999)))</f>
        <v>-100</v>
      </c>
      <c r="AO74" s="634">
        <f t="shared" si="19"/>
        <v>-1</v>
      </c>
      <c r="AP74" s="634">
        <f t="shared" si="20"/>
        <v>-1</v>
      </c>
      <c r="AQ74" s="635">
        <f t="shared" si="27"/>
        <v>0</v>
      </c>
      <c r="AR74" s="634">
        <f t="shared" si="15"/>
        <v>-1</v>
      </c>
      <c r="AS74" s="634">
        <f t="shared" si="16"/>
        <v>-1</v>
      </c>
      <c r="AT74" s="635">
        <f t="shared" si="18"/>
        <v>0</v>
      </c>
      <c r="AU74" s="618"/>
      <c r="AV74" s="618"/>
      <c r="AW74" s="613"/>
      <c r="AX74" s="613"/>
    </row>
    <row r="75" spans="1:50" s="636" customFormat="1" ht="18.75" customHeight="1" x14ac:dyDescent="0.35">
      <c r="A75" s="641" t="s">
        <v>369</v>
      </c>
      <c r="B75" s="828"/>
      <c r="C75" s="828"/>
      <c r="D75" s="634"/>
      <c r="E75" s="828"/>
      <c r="F75" s="828"/>
      <c r="G75" s="635"/>
      <c r="H75" s="828"/>
      <c r="I75" s="828"/>
      <c r="J75" s="635"/>
      <c r="K75" s="828"/>
      <c r="L75" s="828"/>
      <c r="M75" s="635"/>
      <c r="N75" s="828"/>
      <c r="O75" s="828"/>
      <c r="P75" s="635"/>
      <c r="Q75" s="828"/>
      <c r="R75" s="828"/>
      <c r="S75" s="634"/>
      <c r="T75" s="828"/>
      <c r="U75" s="828"/>
      <c r="V75" s="635"/>
      <c r="W75" s="828"/>
      <c r="X75" s="828"/>
      <c r="Y75" s="635"/>
      <c r="Z75" s="828"/>
      <c r="AA75" s="828"/>
      <c r="AB75" s="635"/>
      <c r="AC75" s="828"/>
      <c r="AD75" s="828"/>
      <c r="AE75" s="635"/>
      <c r="AF75" s="828"/>
      <c r="AG75" s="828"/>
      <c r="AH75" s="635"/>
      <c r="AI75" s="828"/>
      <c r="AJ75" s="828"/>
      <c r="AK75" s="635"/>
      <c r="AL75" s="828"/>
      <c r="AM75" s="828"/>
      <c r="AN75" s="635"/>
      <c r="AO75" s="634">
        <f t="shared" si="19"/>
        <v>0</v>
      </c>
      <c r="AP75" s="634">
        <f t="shared" si="20"/>
        <v>0</v>
      </c>
      <c r="AQ75" s="635" t="str">
        <f t="shared" si="27"/>
        <v xml:space="preserve">    ---- </v>
      </c>
      <c r="AR75" s="634">
        <f t="shared" si="15"/>
        <v>0</v>
      </c>
      <c r="AS75" s="634">
        <f t="shared" si="16"/>
        <v>0</v>
      </c>
      <c r="AT75" s="635" t="str">
        <f t="shared" si="18"/>
        <v xml:space="preserve">    ---- </v>
      </c>
      <c r="AU75" s="618"/>
      <c r="AV75" s="618"/>
      <c r="AW75" s="613"/>
      <c r="AX75" s="613"/>
    </row>
    <row r="76" spans="1:50" s="636" customFormat="1" ht="18.75" customHeight="1" x14ac:dyDescent="0.35">
      <c r="A76" s="641" t="s">
        <v>370</v>
      </c>
      <c r="B76" s="828"/>
      <c r="C76" s="828"/>
      <c r="D76" s="634"/>
      <c r="E76" s="828"/>
      <c r="F76" s="828"/>
      <c r="G76" s="635"/>
      <c r="H76" s="828"/>
      <c r="I76" s="828"/>
      <c r="J76" s="635"/>
      <c r="K76" s="828"/>
      <c r="L76" s="828"/>
      <c r="M76" s="635"/>
      <c r="N76" s="828"/>
      <c r="O76" s="828"/>
      <c r="P76" s="635"/>
      <c r="Q76" s="828"/>
      <c r="R76" s="828"/>
      <c r="S76" s="634"/>
      <c r="T76" s="828"/>
      <c r="U76" s="828"/>
      <c r="V76" s="635"/>
      <c r="W76" s="828"/>
      <c r="X76" s="828"/>
      <c r="Y76" s="635"/>
      <c r="Z76" s="828"/>
      <c r="AA76" s="828"/>
      <c r="AB76" s="635"/>
      <c r="AC76" s="828"/>
      <c r="AD76" s="828"/>
      <c r="AE76" s="635"/>
      <c r="AF76" s="828"/>
      <c r="AG76" s="828"/>
      <c r="AH76" s="635"/>
      <c r="AI76" s="828"/>
      <c r="AJ76" s="828"/>
      <c r="AK76" s="635"/>
      <c r="AL76" s="828"/>
      <c r="AM76" s="828"/>
      <c r="AN76" s="635"/>
      <c r="AO76" s="634">
        <f t="shared" si="19"/>
        <v>0</v>
      </c>
      <c r="AP76" s="634">
        <f t="shared" si="20"/>
        <v>0</v>
      </c>
      <c r="AQ76" s="635" t="str">
        <f t="shared" si="27"/>
        <v xml:space="preserve">    ---- </v>
      </c>
      <c r="AR76" s="634">
        <f t="shared" ref="AR76:AR107" si="32">+B76+H76+K76+N76+Q76+T76+W76+E76+Z76+AC76+AF76+AI76+AL76</f>
        <v>0</v>
      </c>
      <c r="AS76" s="634">
        <f t="shared" ref="AS76:AS107" si="33">+C76+I76+L76+O76+R76+U76+X76+F76+AA76+AD76+AG76+AJ76+AM76</f>
        <v>0</v>
      </c>
      <c r="AT76" s="635" t="str">
        <f t="shared" si="18"/>
        <v xml:space="preserve">    ---- </v>
      </c>
      <c r="AU76" s="618"/>
      <c r="AV76" s="618"/>
      <c r="AW76" s="613"/>
      <c r="AX76" s="613"/>
    </row>
    <row r="77" spans="1:50" s="636" customFormat="1" ht="18.75" customHeight="1" x14ac:dyDescent="0.35">
      <c r="A77" s="641" t="s">
        <v>371</v>
      </c>
      <c r="B77" s="828"/>
      <c r="C77" s="828"/>
      <c r="D77" s="634"/>
      <c r="E77" s="828"/>
      <c r="F77" s="828"/>
      <c r="G77" s="635"/>
      <c r="H77" s="828"/>
      <c r="I77" s="828"/>
      <c r="J77" s="635"/>
      <c r="K77" s="828"/>
      <c r="L77" s="828"/>
      <c r="M77" s="635"/>
      <c r="N77" s="828"/>
      <c r="O77" s="828"/>
      <c r="P77" s="635"/>
      <c r="Q77" s="828"/>
      <c r="R77" s="828"/>
      <c r="S77" s="634"/>
      <c r="T77" s="828"/>
      <c r="U77" s="828"/>
      <c r="V77" s="635"/>
      <c r="W77" s="828"/>
      <c r="X77" s="828"/>
      <c r="Y77" s="635"/>
      <c r="Z77" s="828"/>
      <c r="AA77" s="828"/>
      <c r="AB77" s="635"/>
      <c r="AC77" s="828"/>
      <c r="AD77" s="828"/>
      <c r="AE77" s="635"/>
      <c r="AF77" s="828"/>
      <c r="AG77" s="828"/>
      <c r="AH77" s="635"/>
      <c r="AI77" s="828">
        <v>-9</v>
      </c>
      <c r="AJ77" s="828">
        <v>8</v>
      </c>
      <c r="AK77" s="635">
        <f t="shared" si="29"/>
        <v>-188.9</v>
      </c>
      <c r="AL77" s="828"/>
      <c r="AM77" s="828">
        <v>0</v>
      </c>
      <c r="AN77" s="635" t="str">
        <f t="shared" ref="AN77" si="34">IF(AL77=0, "    ---- ", IF(ABS(ROUND(100/AL77*AM77-100,1))&lt;999,ROUND(100/AL77*AM77-100,1),IF(ROUND(100/AL77*AM77-100,1)&gt;999,999,-999)))</f>
        <v xml:space="preserve">    ---- </v>
      </c>
      <c r="AO77" s="634">
        <f t="shared" si="19"/>
        <v>-9</v>
      </c>
      <c r="AP77" s="634">
        <f t="shared" si="20"/>
        <v>8</v>
      </c>
      <c r="AQ77" s="635">
        <f t="shared" si="27"/>
        <v>-188.9</v>
      </c>
      <c r="AR77" s="634">
        <f t="shared" si="32"/>
        <v>-9</v>
      </c>
      <c r="AS77" s="634">
        <f t="shared" si="33"/>
        <v>8</v>
      </c>
      <c r="AT77" s="635">
        <f t="shared" si="18"/>
        <v>-188.9</v>
      </c>
      <c r="AU77" s="618"/>
      <c r="AV77" s="618"/>
      <c r="AW77" s="613"/>
      <c r="AX77" s="613"/>
    </row>
    <row r="78" spans="1:50" s="636" customFormat="1" ht="18.75" customHeight="1" x14ac:dyDescent="0.35">
      <c r="A78" s="641" t="s">
        <v>372</v>
      </c>
      <c r="B78" s="828"/>
      <c r="C78" s="828"/>
      <c r="D78" s="634"/>
      <c r="E78" s="828"/>
      <c r="F78" s="828"/>
      <c r="G78" s="635"/>
      <c r="H78" s="828"/>
      <c r="I78" s="828"/>
      <c r="J78" s="635"/>
      <c r="K78" s="828"/>
      <c r="L78" s="828"/>
      <c r="M78" s="635"/>
      <c r="N78" s="828"/>
      <c r="O78" s="828"/>
      <c r="P78" s="635"/>
      <c r="Q78" s="828"/>
      <c r="R78" s="828"/>
      <c r="S78" s="634"/>
      <c r="T78" s="828"/>
      <c r="U78" s="828"/>
      <c r="V78" s="635"/>
      <c r="W78" s="828"/>
      <c r="X78" s="828"/>
      <c r="Y78" s="635"/>
      <c r="Z78" s="828"/>
      <c r="AA78" s="828"/>
      <c r="AB78" s="635"/>
      <c r="AC78" s="828"/>
      <c r="AD78" s="828"/>
      <c r="AE78" s="635"/>
      <c r="AF78" s="828"/>
      <c r="AG78" s="828"/>
      <c r="AH78" s="635"/>
      <c r="AI78" s="828"/>
      <c r="AJ78" s="828"/>
      <c r="AK78" s="635"/>
      <c r="AL78" s="828"/>
      <c r="AM78" s="828"/>
      <c r="AN78" s="635"/>
      <c r="AO78" s="634">
        <f t="shared" si="19"/>
        <v>0</v>
      </c>
      <c r="AP78" s="634">
        <f t="shared" si="20"/>
        <v>0</v>
      </c>
      <c r="AQ78" s="635" t="str">
        <f t="shared" si="27"/>
        <v xml:space="preserve">    ---- </v>
      </c>
      <c r="AR78" s="634">
        <f t="shared" si="32"/>
        <v>0</v>
      </c>
      <c r="AS78" s="634">
        <f t="shared" si="33"/>
        <v>0</v>
      </c>
      <c r="AT78" s="635" t="str">
        <f t="shared" si="18"/>
        <v xml:space="preserve">    ---- </v>
      </c>
      <c r="AU78" s="618"/>
      <c r="AV78" s="618"/>
      <c r="AW78" s="613"/>
      <c r="AX78" s="613"/>
    </row>
    <row r="79" spans="1:50" s="636" customFormat="1" ht="18.75" customHeight="1" x14ac:dyDescent="0.35">
      <c r="A79" s="641" t="s">
        <v>373</v>
      </c>
      <c r="B79" s="828"/>
      <c r="C79" s="828"/>
      <c r="D79" s="634"/>
      <c r="E79" s="828"/>
      <c r="F79" s="828"/>
      <c r="G79" s="635"/>
      <c r="H79" s="828"/>
      <c r="I79" s="828"/>
      <c r="J79" s="635"/>
      <c r="K79" s="828"/>
      <c r="L79" s="828"/>
      <c r="M79" s="635"/>
      <c r="N79" s="828"/>
      <c r="O79" s="828"/>
      <c r="P79" s="635"/>
      <c r="Q79" s="828"/>
      <c r="R79" s="828"/>
      <c r="S79" s="634"/>
      <c r="T79" s="828"/>
      <c r="U79" s="828"/>
      <c r="V79" s="635"/>
      <c r="W79" s="828"/>
      <c r="X79" s="828"/>
      <c r="Y79" s="635"/>
      <c r="Z79" s="828"/>
      <c r="AA79" s="828"/>
      <c r="AB79" s="635"/>
      <c r="AC79" s="828"/>
      <c r="AD79" s="828"/>
      <c r="AE79" s="635"/>
      <c r="AF79" s="828"/>
      <c r="AG79" s="828"/>
      <c r="AH79" s="635"/>
      <c r="AI79" s="828"/>
      <c r="AJ79" s="828"/>
      <c r="AK79" s="635"/>
      <c r="AL79" s="828"/>
      <c r="AM79" s="828"/>
      <c r="AN79" s="635"/>
      <c r="AO79" s="634">
        <f t="shared" si="19"/>
        <v>0</v>
      </c>
      <c r="AP79" s="634">
        <f t="shared" si="20"/>
        <v>0</v>
      </c>
      <c r="AQ79" s="635" t="str">
        <f t="shared" si="27"/>
        <v xml:space="preserve">    ---- </v>
      </c>
      <c r="AR79" s="634">
        <f t="shared" si="32"/>
        <v>0</v>
      </c>
      <c r="AS79" s="634">
        <f t="shared" si="33"/>
        <v>0</v>
      </c>
      <c r="AT79" s="635" t="str">
        <f t="shared" si="18"/>
        <v xml:space="preserve">    ---- </v>
      </c>
      <c r="AU79" s="618"/>
      <c r="AV79" s="618"/>
      <c r="AW79" s="613"/>
      <c r="AX79" s="613"/>
    </row>
    <row r="80" spans="1:50" s="636" customFormat="1" ht="18.75" customHeight="1" x14ac:dyDescent="0.35">
      <c r="A80" s="640" t="s">
        <v>374</v>
      </c>
      <c r="B80" s="830"/>
      <c r="C80" s="830"/>
      <c r="D80" s="632"/>
      <c r="E80" s="830"/>
      <c r="F80" s="830"/>
      <c r="G80" s="633"/>
      <c r="H80" s="830"/>
      <c r="I80" s="830"/>
      <c r="J80" s="633"/>
      <c r="K80" s="830"/>
      <c r="L80" s="830"/>
      <c r="M80" s="633"/>
      <c r="N80" s="830"/>
      <c r="O80" s="830"/>
      <c r="P80" s="633"/>
      <c r="Q80" s="830"/>
      <c r="R80" s="830"/>
      <c r="S80" s="632"/>
      <c r="T80" s="830"/>
      <c r="U80" s="830"/>
      <c r="V80" s="633"/>
      <c r="W80" s="830"/>
      <c r="X80" s="830"/>
      <c r="Y80" s="633"/>
      <c r="Z80" s="830"/>
      <c r="AA80" s="830"/>
      <c r="AB80" s="633"/>
      <c r="AC80" s="830"/>
      <c r="AD80" s="830"/>
      <c r="AE80" s="633"/>
      <c r="AF80" s="830"/>
      <c r="AG80" s="830"/>
      <c r="AH80" s="633"/>
      <c r="AI80" s="830">
        <f>SUM(AI72:AI77)+AI79</f>
        <v>-3</v>
      </c>
      <c r="AJ80" s="830">
        <f>SUM(AJ72:AJ77)+AJ79</f>
        <v>7</v>
      </c>
      <c r="AK80" s="633">
        <f t="shared" si="29"/>
        <v>-333.3</v>
      </c>
      <c r="AL80" s="830">
        <v>-7</v>
      </c>
      <c r="AM80" s="830">
        <f>SUM(AM72:AM77)+AM79</f>
        <v>0</v>
      </c>
      <c r="AN80" s="635">
        <f t="shared" ref="AN80" si="35">IF(AL80=0, "    ---- ", IF(ABS(ROUND(100/AL80*AM80-100,1))&lt;999,ROUND(100/AL80*AM80-100,1),IF(ROUND(100/AL80*AM80-100,1)&gt;999,999,-999)))</f>
        <v>-100</v>
      </c>
      <c r="AO80" s="632">
        <f t="shared" si="19"/>
        <v>-10</v>
      </c>
      <c r="AP80" s="632">
        <f t="shared" si="20"/>
        <v>7</v>
      </c>
      <c r="AQ80" s="633">
        <f>IF(AO80=0, "    ---- ", IF(ABS(ROUND(100/AO80*AP80-100,1))&lt;999,ROUND(100/AO80*AP80-100,1),IF(ROUND(100/AO80*AP80-100,1)&gt;999,999,-999)))</f>
        <v>-170</v>
      </c>
      <c r="AR80" s="632">
        <f t="shared" si="32"/>
        <v>-10</v>
      </c>
      <c r="AS80" s="632">
        <f t="shared" si="33"/>
        <v>7</v>
      </c>
      <c r="AT80" s="633">
        <f t="shared" si="18"/>
        <v>-170</v>
      </c>
      <c r="AU80" s="637" t="e">
        <f>B80,C80,H80,I80,N80,O80,Q80,R80,T80,U80,W80,X80,E80,F80,Z80,AA80,AC80,AD80,AF80,AG80,#REF!,#REF!,AI80,AJ80,AL80,AM80,AO80,AP80,AR80,AS80</f>
        <v>#REF!</v>
      </c>
      <c r="AV80" s="618"/>
      <c r="AW80" s="613"/>
      <c r="AX80" s="613"/>
    </row>
    <row r="81" spans="1:50" s="636" customFormat="1" ht="18.75" customHeight="1" x14ac:dyDescent="0.35">
      <c r="A81" s="641" t="s">
        <v>375</v>
      </c>
      <c r="B81" s="828"/>
      <c r="C81" s="828"/>
      <c r="D81" s="634"/>
      <c r="E81" s="828"/>
      <c r="F81" s="828"/>
      <c r="G81" s="635"/>
      <c r="H81" s="828"/>
      <c r="I81" s="828"/>
      <c r="J81" s="635"/>
      <c r="K81" s="828"/>
      <c r="L81" s="828"/>
      <c r="M81" s="635"/>
      <c r="N81" s="828"/>
      <c r="O81" s="828"/>
      <c r="P81" s="635"/>
      <c r="Q81" s="828"/>
      <c r="R81" s="828"/>
      <c r="S81" s="634"/>
      <c r="T81" s="828"/>
      <c r="U81" s="828"/>
      <c r="V81" s="635"/>
      <c r="W81" s="828"/>
      <c r="X81" s="828"/>
      <c r="Y81" s="635"/>
      <c r="Z81" s="828"/>
      <c r="AA81" s="828"/>
      <c r="AB81" s="635"/>
      <c r="AC81" s="828"/>
      <c r="AD81" s="828"/>
      <c r="AE81" s="635"/>
      <c r="AF81" s="828"/>
      <c r="AG81" s="828"/>
      <c r="AH81" s="635"/>
      <c r="AI81" s="828"/>
      <c r="AJ81" s="828"/>
      <c r="AK81" s="635"/>
      <c r="AL81" s="828"/>
      <c r="AM81" s="828"/>
      <c r="AN81" s="635"/>
      <c r="AO81" s="634">
        <f t="shared" si="19"/>
        <v>0</v>
      </c>
      <c r="AP81" s="634">
        <f t="shared" si="20"/>
        <v>0</v>
      </c>
      <c r="AQ81" s="635" t="str">
        <f>IF(AO81=0, "    ---- ", IF(ABS(ROUND(100/AO81*AP81-100,1))&lt;999,ROUND(100/AO81*AP81-100,1),IF(ROUND(100/AO81*AP81-100,1)&gt;999,999,-999)))</f>
        <v xml:space="preserve">    ---- </v>
      </c>
      <c r="AR81" s="634">
        <f t="shared" si="32"/>
        <v>0</v>
      </c>
      <c r="AS81" s="634">
        <f t="shared" si="33"/>
        <v>0</v>
      </c>
      <c r="AT81" s="635" t="str">
        <f t="shared" si="18"/>
        <v xml:space="preserve">    ---- </v>
      </c>
      <c r="AU81" s="618"/>
      <c r="AV81" s="618"/>
      <c r="AW81" s="613"/>
      <c r="AX81" s="613"/>
    </row>
    <row r="82" spans="1:50" s="636" customFormat="1" ht="18.75" customHeight="1" x14ac:dyDescent="0.35">
      <c r="A82" s="641" t="s">
        <v>376</v>
      </c>
      <c r="B82" s="828"/>
      <c r="C82" s="828"/>
      <c r="D82" s="634"/>
      <c r="E82" s="828"/>
      <c r="F82" s="828"/>
      <c r="G82" s="635"/>
      <c r="H82" s="828"/>
      <c r="I82" s="828"/>
      <c r="J82" s="635"/>
      <c r="K82" s="828"/>
      <c r="L82" s="828"/>
      <c r="M82" s="635"/>
      <c r="N82" s="828"/>
      <c r="O82" s="828"/>
      <c r="P82" s="635"/>
      <c r="Q82" s="828"/>
      <c r="R82" s="828"/>
      <c r="S82" s="634"/>
      <c r="T82" s="828"/>
      <c r="U82" s="828"/>
      <c r="V82" s="635"/>
      <c r="W82" s="828"/>
      <c r="X82" s="828"/>
      <c r="Y82" s="635"/>
      <c r="Z82" s="828"/>
      <c r="AA82" s="828"/>
      <c r="AB82" s="635"/>
      <c r="AC82" s="828"/>
      <c r="AD82" s="828"/>
      <c r="AE82" s="635"/>
      <c r="AF82" s="828"/>
      <c r="AG82" s="828"/>
      <c r="AH82" s="635"/>
      <c r="AI82" s="828">
        <v>-3</v>
      </c>
      <c r="AJ82" s="828">
        <v>7</v>
      </c>
      <c r="AK82" s="635">
        <f t="shared" si="29"/>
        <v>-333.3</v>
      </c>
      <c r="AL82" s="828">
        <v>-7</v>
      </c>
      <c r="AM82" s="828">
        <v>0</v>
      </c>
      <c r="AN82" s="635">
        <f t="shared" ref="AN82" si="36">IF(AL82=0, "    ---- ", IF(ABS(ROUND(100/AL82*AM82-100,1))&lt;999,ROUND(100/AL82*AM82-100,1),IF(ROUND(100/AL82*AM82-100,1)&gt;999,999,-999)))</f>
        <v>-100</v>
      </c>
      <c r="AO82" s="634">
        <f t="shared" si="19"/>
        <v>-10</v>
      </c>
      <c r="AP82" s="634">
        <f t="shared" si="20"/>
        <v>7</v>
      </c>
      <c r="AQ82" s="635">
        <f>IF(AO82=0, "    ---- ", IF(ABS(ROUND(100/AO82*AP82-100,1))&lt;999,ROUND(100/AO82*AP82-100,1),IF(ROUND(100/AO82*AP82-100,1)&gt;999,999,-999)))</f>
        <v>-170</v>
      </c>
      <c r="AR82" s="634">
        <f t="shared" si="32"/>
        <v>-10</v>
      </c>
      <c r="AS82" s="634">
        <f t="shared" si="33"/>
        <v>7</v>
      </c>
      <c r="AT82" s="635">
        <f t="shared" si="18"/>
        <v>-170</v>
      </c>
      <c r="AU82" s="618"/>
      <c r="AV82" s="618"/>
      <c r="AW82" s="613"/>
      <c r="AX82" s="613"/>
    </row>
    <row r="83" spans="1:50" s="636" customFormat="1" ht="18.75" customHeight="1" x14ac:dyDescent="0.35">
      <c r="A83" s="583" t="s">
        <v>392</v>
      </c>
      <c r="B83" s="828"/>
      <c r="C83" s="828"/>
      <c r="D83" s="634"/>
      <c r="E83" s="828"/>
      <c r="F83" s="828"/>
      <c r="G83" s="635"/>
      <c r="H83" s="828"/>
      <c r="I83" s="828"/>
      <c r="J83" s="635"/>
      <c r="K83" s="828"/>
      <c r="L83" s="828"/>
      <c r="M83" s="635"/>
      <c r="N83" s="828"/>
      <c r="O83" s="828"/>
      <c r="P83" s="635"/>
      <c r="Q83" s="828"/>
      <c r="R83" s="828"/>
      <c r="S83" s="634"/>
      <c r="T83" s="828"/>
      <c r="U83" s="828"/>
      <c r="V83" s="635"/>
      <c r="W83" s="828"/>
      <c r="X83" s="828"/>
      <c r="Y83" s="635"/>
      <c r="Z83" s="828"/>
      <c r="AA83" s="828"/>
      <c r="AB83" s="635"/>
      <c r="AC83" s="828"/>
      <c r="AD83" s="828"/>
      <c r="AE83" s="635"/>
      <c r="AF83" s="828"/>
      <c r="AG83" s="828"/>
      <c r="AH83" s="635"/>
      <c r="AI83" s="828"/>
      <c r="AJ83" s="828"/>
      <c r="AK83" s="635"/>
      <c r="AL83" s="828"/>
      <c r="AM83" s="828"/>
      <c r="AN83" s="635"/>
      <c r="AO83" s="634">
        <f t="shared" si="19"/>
        <v>0</v>
      </c>
      <c r="AP83" s="634">
        <f t="shared" si="20"/>
        <v>0</v>
      </c>
      <c r="AQ83" s="635" t="str">
        <f>IF(AO83=0, "    ---- ", IF(ABS(ROUND(100/AO83*AP83-100,1))&lt;999,ROUND(100/AO83*AP83-100,1),IF(ROUND(100/AO83*AP83-100,1)&gt;999,999,-999)))</f>
        <v xml:space="preserve">    ---- </v>
      </c>
      <c r="AR83" s="634">
        <f t="shared" si="32"/>
        <v>0</v>
      </c>
      <c r="AS83" s="634">
        <f t="shared" si="33"/>
        <v>0</v>
      </c>
      <c r="AT83" s="635"/>
      <c r="AU83" s="618"/>
      <c r="AV83" s="618"/>
      <c r="AW83" s="613"/>
      <c r="AX83" s="613"/>
    </row>
    <row r="84" spans="1:50" s="636" customFormat="1" ht="18.75" customHeight="1" x14ac:dyDescent="0.35">
      <c r="A84" s="588" t="s">
        <v>366</v>
      </c>
      <c r="B84" s="828"/>
      <c r="C84" s="828"/>
      <c r="D84" s="634"/>
      <c r="E84" s="828">
        <v>9</v>
      </c>
      <c r="F84" s="828"/>
      <c r="G84" s="635"/>
      <c r="H84" s="828">
        <v>-21</v>
      </c>
      <c r="I84" s="828">
        <v>1521.2915679136777</v>
      </c>
      <c r="J84" s="635">
        <f>IF(H84=0, "    ---- ", IF(ABS(ROUND(100/H84*I84-100,1))&lt;999,ROUND(100/H84*I84-100,1),IF(ROUND(100/H84*I84-100,1)&gt;999,999,-999)))</f>
        <v>-999</v>
      </c>
      <c r="K84" s="828"/>
      <c r="L84" s="828"/>
      <c r="M84" s="635"/>
      <c r="N84" s="828"/>
      <c r="O84" s="828"/>
      <c r="P84" s="635"/>
      <c r="Q84" s="828">
        <v>16</v>
      </c>
      <c r="R84" s="828">
        <v>55.6</v>
      </c>
      <c r="S84" s="634">
        <f>IF(Q84=0, "    ---- ", IF(ABS(ROUND(100/Q84*R84-100,1))&lt;999,ROUND(100/Q84*R84-100,1),IF(ROUND(100/Q84*R84-100,1)&gt;999,999,-999)))</f>
        <v>247.5</v>
      </c>
      <c r="T84" s="828"/>
      <c r="U84" s="828"/>
      <c r="V84" s="635"/>
      <c r="W84" s="828"/>
      <c r="X84" s="828"/>
      <c r="Y84" s="635"/>
      <c r="Z84" s="828">
        <v>157.43</v>
      </c>
      <c r="AA84" s="828">
        <v>1306.49</v>
      </c>
      <c r="AB84" s="635">
        <f>IF(Z84=0, "    ---- ", IF(ABS(ROUND(100/Z84*AA84-100,1))&lt;999,ROUND(100/Z84*AA84-100,1),IF(ROUND(100/Z84*AA84-100,1)&gt;999,999,-999)))</f>
        <v>729.9</v>
      </c>
      <c r="AC84" s="828"/>
      <c r="AD84" s="828"/>
      <c r="AE84" s="635"/>
      <c r="AF84" s="828"/>
      <c r="AG84" s="828"/>
      <c r="AH84" s="635"/>
      <c r="AI84" s="828">
        <v>-75</v>
      </c>
      <c r="AJ84" s="828">
        <v>796</v>
      </c>
      <c r="AK84" s="635">
        <f>IF(AI84=0, "    ---- ", IF(ABS(ROUND(100/AI84*AJ84-100,1))&lt;999,ROUND(100/AI84*AJ84-100,1),IF(ROUND(100/AI84*AJ84-100,1)&gt;999,999,-999)))</f>
        <v>-999</v>
      </c>
      <c r="AL84" s="828">
        <v>2447</v>
      </c>
      <c r="AM84" s="828">
        <v>2003</v>
      </c>
      <c r="AN84" s="635">
        <f>IF(AL84=0, "    ---- ", IF(ABS(ROUND(100/AL84*AM84-100,1))&lt;999,ROUND(100/AL84*AM84-100,1),IF(ROUND(100/AL84*AM84-100,1)&gt;999,999,-999)))</f>
        <v>-18.100000000000001</v>
      </c>
      <c r="AO84" s="634">
        <f t="shared" si="19"/>
        <v>2533.4299999999998</v>
      </c>
      <c r="AP84" s="634">
        <f t="shared" si="20"/>
        <v>5682.3815679136778</v>
      </c>
      <c r="AQ84" s="635">
        <f t="shared" si="17"/>
        <v>124.3</v>
      </c>
      <c r="AR84" s="634">
        <f t="shared" si="32"/>
        <v>2533.4299999999998</v>
      </c>
      <c r="AS84" s="634">
        <f t="shared" si="33"/>
        <v>5682.3815679136778</v>
      </c>
      <c r="AT84" s="635">
        <f t="shared" si="18"/>
        <v>124.3</v>
      </c>
      <c r="AU84" s="618"/>
      <c r="AV84" s="618"/>
      <c r="AW84" s="613"/>
      <c r="AX84" s="613"/>
    </row>
    <row r="85" spans="1:50" s="636" customFormat="1" ht="18.75" customHeight="1" x14ac:dyDescent="0.35">
      <c r="A85" s="588" t="s">
        <v>367</v>
      </c>
      <c r="B85" s="828"/>
      <c r="C85" s="828"/>
      <c r="D85" s="634"/>
      <c r="E85" s="828">
        <v>0</v>
      </c>
      <c r="F85" s="828"/>
      <c r="G85" s="635"/>
      <c r="H85" s="828">
        <v>260.39999999999998</v>
      </c>
      <c r="I85" s="828">
        <v>-970.259161558605</v>
      </c>
      <c r="J85" s="635">
        <f>IF(H85=0, "    ---- ", IF(ABS(ROUND(100/H85*I85-100,1))&lt;999,ROUND(100/H85*I85-100,1),IF(ROUND(100/H85*I85-100,1)&gt;999,999,-999)))</f>
        <v>-472.6</v>
      </c>
      <c r="K85" s="828"/>
      <c r="L85" s="828"/>
      <c r="M85" s="635"/>
      <c r="N85" s="828"/>
      <c r="O85" s="828"/>
      <c r="P85" s="635"/>
      <c r="Q85" s="828"/>
      <c r="R85" s="828"/>
      <c r="S85" s="634"/>
      <c r="T85" s="828"/>
      <c r="U85" s="828"/>
      <c r="V85" s="635"/>
      <c r="W85" s="828"/>
      <c r="X85" s="828"/>
      <c r="Y85" s="635"/>
      <c r="Z85" s="828">
        <v>-121.69</v>
      </c>
      <c r="AA85" s="828">
        <v>-1052.3900000000001</v>
      </c>
      <c r="AB85" s="635">
        <f>IF(Z85=0, "    ---- ", IF(ABS(ROUND(100/Z85*AA85-100,1))&lt;999,ROUND(100/Z85*AA85-100,1),IF(ROUND(100/Z85*AA85-100,1)&gt;999,999,-999)))</f>
        <v>764.8</v>
      </c>
      <c r="AC85" s="828"/>
      <c r="AD85" s="828"/>
      <c r="AE85" s="635"/>
      <c r="AF85" s="828"/>
      <c r="AG85" s="828"/>
      <c r="AH85" s="635"/>
      <c r="AI85" s="828">
        <v>75</v>
      </c>
      <c r="AJ85" s="828">
        <v>-182</v>
      </c>
      <c r="AK85" s="635">
        <f>IF(AI85=0, "    ---- ", IF(ABS(ROUND(100/AI85*AJ85-100,1))&lt;999,ROUND(100/AI85*AJ85-100,1),IF(ROUND(100/AI85*AJ85-100,1)&gt;999,999,-999)))</f>
        <v>-342.7</v>
      </c>
      <c r="AL85" s="828">
        <v>-2151</v>
      </c>
      <c r="AM85" s="828">
        <v>-1383</v>
      </c>
      <c r="AN85" s="635">
        <f>IF(AL85=0, "    ---- ", IF(ABS(ROUND(100/AL85*AM85-100,1))&lt;999,ROUND(100/AL85*AM85-100,1),IF(ROUND(100/AL85*AM85-100,1)&gt;999,999,-999)))</f>
        <v>-35.700000000000003</v>
      </c>
      <c r="AO85" s="634">
        <f t="shared" si="19"/>
        <v>-1937.29</v>
      </c>
      <c r="AP85" s="634">
        <f t="shared" si="20"/>
        <v>-3587.6491615586051</v>
      </c>
      <c r="AQ85" s="635">
        <f t="shared" si="17"/>
        <v>85.2</v>
      </c>
      <c r="AR85" s="634">
        <f t="shared" si="32"/>
        <v>-1937.29</v>
      </c>
      <c r="AS85" s="634">
        <f t="shared" si="33"/>
        <v>-3587.6491615586051</v>
      </c>
      <c r="AT85" s="635">
        <f t="shared" si="18"/>
        <v>85.2</v>
      </c>
      <c r="AU85" s="618"/>
      <c r="AV85" s="618"/>
      <c r="AW85" s="613"/>
      <c r="AX85" s="613"/>
    </row>
    <row r="86" spans="1:50" s="636" customFormat="1" ht="18.75" customHeight="1" x14ac:dyDescent="0.35">
      <c r="A86" s="588" t="s">
        <v>368</v>
      </c>
      <c r="B86" s="828"/>
      <c r="C86" s="828"/>
      <c r="D86" s="634"/>
      <c r="E86" s="828">
        <v>-9</v>
      </c>
      <c r="F86" s="828"/>
      <c r="G86" s="635"/>
      <c r="H86" s="828">
        <v>168.4</v>
      </c>
      <c r="I86" s="828">
        <v>114.73989486582298</v>
      </c>
      <c r="J86" s="635">
        <f>IF(H86=0, "    ---- ", IF(ABS(ROUND(100/H86*I86-100,1))&lt;999,ROUND(100/H86*I86-100,1),IF(ROUND(100/H86*I86-100,1)&gt;999,999,-999)))</f>
        <v>-31.9</v>
      </c>
      <c r="K86" s="828"/>
      <c r="L86" s="828"/>
      <c r="M86" s="635"/>
      <c r="N86" s="828"/>
      <c r="O86" s="828"/>
      <c r="P86" s="635"/>
      <c r="Q86" s="828">
        <v>-11.1</v>
      </c>
      <c r="R86" s="828">
        <v>-6.4</v>
      </c>
      <c r="S86" s="634">
        <f>IF(Q86=0, "    ---- ", IF(ABS(ROUND(100/Q86*R86-100,1))&lt;999,ROUND(100/Q86*R86-100,1),IF(ROUND(100/Q86*R86-100,1)&gt;999,999,-999)))</f>
        <v>-42.3</v>
      </c>
      <c r="T86" s="828"/>
      <c r="U86" s="828"/>
      <c r="V86" s="635"/>
      <c r="W86" s="828"/>
      <c r="X86" s="828"/>
      <c r="Y86" s="635"/>
      <c r="Z86" s="828">
        <v>51.39</v>
      </c>
      <c r="AA86" s="828">
        <v>57.31</v>
      </c>
      <c r="AB86" s="635">
        <f>IF(Z86=0, "    ---- ", IF(ABS(ROUND(100/Z86*AA86-100,1))&lt;999,ROUND(100/Z86*AA86-100,1),IF(ROUND(100/Z86*AA86-100,1)&gt;999,999,-999)))</f>
        <v>11.5</v>
      </c>
      <c r="AC86" s="828"/>
      <c r="AD86" s="828"/>
      <c r="AE86" s="635"/>
      <c r="AF86" s="828"/>
      <c r="AG86" s="828"/>
      <c r="AH86" s="635"/>
      <c r="AI86" s="828">
        <v>1</v>
      </c>
      <c r="AJ86" s="828">
        <v>248</v>
      </c>
      <c r="AK86" s="635">
        <f>IF(AI86=0, "    ---- ", IF(ABS(ROUND(100/AI86*AJ86-100,1))&lt;999,ROUND(100/AI86*AJ86-100,1),IF(ROUND(100/AI86*AJ86-100,1)&gt;999,999,-999)))</f>
        <v>999</v>
      </c>
      <c r="AL86" s="828">
        <v>295</v>
      </c>
      <c r="AM86" s="828">
        <v>363</v>
      </c>
      <c r="AN86" s="635">
        <f>IF(AL86=0, "    ---- ", IF(ABS(ROUND(100/AL86*AM86-100,1))&lt;999,ROUND(100/AL86*AM86-100,1),IF(ROUND(100/AL86*AM86-100,1)&gt;999,999,-999)))</f>
        <v>23.1</v>
      </c>
      <c r="AO86" s="634">
        <f t="shared" si="19"/>
        <v>495.69</v>
      </c>
      <c r="AP86" s="634">
        <f t="shared" si="20"/>
        <v>776.64989486582294</v>
      </c>
      <c r="AQ86" s="635">
        <f t="shared" si="17"/>
        <v>56.7</v>
      </c>
      <c r="AR86" s="634">
        <f t="shared" si="32"/>
        <v>495.69</v>
      </c>
      <c r="AS86" s="634">
        <f t="shared" si="33"/>
        <v>776.64989486582294</v>
      </c>
      <c r="AT86" s="635">
        <f t="shared" si="18"/>
        <v>56.7</v>
      </c>
      <c r="AU86" s="618"/>
      <c r="AV86" s="618"/>
      <c r="AW86" s="613"/>
      <c r="AX86" s="613"/>
    </row>
    <row r="87" spans="1:50" s="636" customFormat="1" ht="18.75" customHeight="1" x14ac:dyDescent="0.35">
      <c r="A87" s="588" t="s">
        <v>369</v>
      </c>
      <c r="B87" s="828"/>
      <c r="C87" s="828"/>
      <c r="D87" s="634"/>
      <c r="E87" s="828"/>
      <c r="F87" s="828"/>
      <c r="G87" s="635"/>
      <c r="H87" s="828"/>
      <c r="I87" s="828"/>
      <c r="J87" s="635"/>
      <c r="K87" s="828"/>
      <c r="L87" s="828"/>
      <c r="M87" s="635"/>
      <c r="N87" s="828"/>
      <c r="O87" s="828"/>
      <c r="P87" s="635"/>
      <c r="Q87" s="828"/>
      <c r="R87" s="828"/>
      <c r="S87" s="634"/>
      <c r="T87" s="828"/>
      <c r="U87" s="828"/>
      <c r="V87" s="635"/>
      <c r="W87" s="828"/>
      <c r="X87" s="828"/>
      <c r="Y87" s="635"/>
      <c r="Z87" s="828"/>
      <c r="AA87" s="828">
        <v>0</v>
      </c>
      <c r="AB87" s="635" t="str">
        <f t="shared" ref="AB87" si="37">IF(Z87=0, "    ---- ", IF(ABS(ROUND(100/Z87*AA87-100,1))&lt;999,ROUND(100/Z87*AA87-100,1),IF(ROUND(100/Z87*AA87-100,1)&gt;999,999,-999)))</f>
        <v xml:space="preserve">    ---- </v>
      </c>
      <c r="AC87" s="828"/>
      <c r="AD87" s="828"/>
      <c r="AE87" s="635"/>
      <c r="AF87" s="828"/>
      <c r="AG87" s="828"/>
      <c r="AH87" s="635"/>
      <c r="AI87" s="828"/>
      <c r="AJ87" s="828"/>
      <c r="AK87" s="635"/>
      <c r="AL87" s="828"/>
      <c r="AM87" s="828"/>
      <c r="AN87" s="635"/>
      <c r="AO87" s="634">
        <f t="shared" si="19"/>
        <v>0</v>
      </c>
      <c r="AP87" s="634">
        <f t="shared" si="20"/>
        <v>0</v>
      </c>
      <c r="AQ87" s="635" t="str">
        <f t="shared" si="17"/>
        <v xml:space="preserve">    ---- </v>
      </c>
      <c r="AR87" s="634">
        <f t="shared" si="32"/>
        <v>0</v>
      </c>
      <c r="AS87" s="634">
        <f t="shared" si="33"/>
        <v>0</v>
      </c>
      <c r="AT87" s="635" t="str">
        <f t="shared" si="18"/>
        <v xml:space="preserve">    ---- </v>
      </c>
      <c r="AU87" s="618"/>
      <c r="AV87" s="618"/>
      <c r="AW87" s="613"/>
      <c r="AX87" s="613"/>
    </row>
    <row r="88" spans="1:50" s="636" customFormat="1" ht="18.75" customHeight="1" x14ac:dyDescent="0.35">
      <c r="A88" s="588" t="s">
        <v>370</v>
      </c>
      <c r="B88" s="828"/>
      <c r="C88" s="828"/>
      <c r="D88" s="634"/>
      <c r="E88" s="828"/>
      <c r="F88" s="828"/>
      <c r="G88" s="635"/>
      <c r="H88" s="828"/>
      <c r="I88" s="828"/>
      <c r="J88" s="635"/>
      <c r="K88" s="828"/>
      <c r="L88" s="828"/>
      <c r="M88" s="635"/>
      <c r="N88" s="828"/>
      <c r="O88" s="828"/>
      <c r="P88" s="635"/>
      <c r="Q88" s="828"/>
      <c r="R88" s="828"/>
      <c r="S88" s="634"/>
      <c r="T88" s="828"/>
      <c r="U88" s="828"/>
      <c r="V88" s="635"/>
      <c r="W88" s="828"/>
      <c r="X88" s="828"/>
      <c r="Y88" s="635"/>
      <c r="Z88" s="828"/>
      <c r="AA88" s="828"/>
      <c r="AB88" s="635"/>
      <c r="AC88" s="828"/>
      <c r="AD88" s="828"/>
      <c r="AE88" s="635"/>
      <c r="AF88" s="828"/>
      <c r="AG88" s="828"/>
      <c r="AH88" s="635"/>
      <c r="AI88" s="828"/>
      <c r="AJ88" s="828"/>
      <c r="AK88" s="635"/>
      <c r="AL88" s="828"/>
      <c r="AM88" s="828"/>
      <c r="AN88" s="635"/>
      <c r="AO88" s="634">
        <f t="shared" si="19"/>
        <v>0</v>
      </c>
      <c r="AP88" s="634">
        <f t="shared" si="20"/>
        <v>0</v>
      </c>
      <c r="AQ88" s="635" t="str">
        <f t="shared" si="17"/>
        <v xml:space="preserve">    ---- </v>
      </c>
      <c r="AR88" s="634">
        <f t="shared" si="32"/>
        <v>0</v>
      </c>
      <c r="AS88" s="634">
        <f t="shared" si="33"/>
        <v>0</v>
      </c>
      <c r="AT88" s="635" t="str">
        <f t="shared" si="18"/>
        <v xml:space="preserve">    ---- </v>
      </c>
      <c r="AU88" s="618"/>
      <c r="AV88" s="618"/>
      <c r="AW88" s="613"/>
      <c r="AX88" s="613"/>
    </row>
    <row r="89" spans="1:50" s="636" customFormat="1" ht="18.75" customHeight="1" x14ac:dyDescent="0.35">
      <c r="A89" s="588" t="s">
        <v>371</v>
      </c>
      <c r="B89" s="828"/>
      <c r="C89" s="828"/>
      <c r="D89" s="634"/>
      <c r="E89" s="828"/>
      <c r="F89" s="828"/>
      <c r="G89" s="635"/>
      <c r="H89" s="828">
        <v>171.4</v>
      </c>
      <c r="I89" s="828">
        <v>279.75603807065727</v>
      </c>
      <c r="J89" s="635">
        <f t="shared" ref="J89:J94" si="38">IF(H89=0, "    ---- ", IF(ABS(ROUND(100/H89*I89-100,1))&lt;999,ROUND(100/H89*I89-100,1),IF(ROUND(100/H89*I89-100,1)&gt;999,999,-999)))</f>
        <v>63.2</v>
      </c>
      <c r="K89" s="828"/>
      <c r="L89" s="828"/>
      <c r="M89" s="635"/>
      <c r="N89" s="828"/>
      <c r="O89" s="828"/>
      <c r="P89" s="635"/>
      <c r="Q89" s="828">
        <v>-4</v>
      </c>
      <c r="R89" s="828">
        <v>5.5</v>
      </c>
      <c r="S89" s="634">
        <f>IF(Q89=0, "    ---- ", IF(ABS(ROUND(100/Q89*R89-100,1))&lt;999,ROUND(100/Q89*R89-100,1),IF(ROUND(100/Q89*R89-100,1)&gt;999,999,-999)))</f>
        <v>-237.5</v>
      </c>
      <c r="T89" s="828"/>
      <c r="U89" s="828"/>
      <c r="V89" s="635"/>
      <c r="W89" s="828"/>
      <c r="X89" s="828"/>
      <c r="Y89" s="635"/>
      <c r="Z89" s="828">
        <v>44.94</v>
      </c>
      <c r="AA89" s="828">
        <v>84.42</v>
      </c>
      <c r="AB89" s="635">
        <f t="shared" ref="AB89:AB94" si="39">IF(Z89=0, "    ---- ", IF(ABS(ROUND(100/Z89*AA89-100,1))&lt;999,ROUND(100/Z89*AA89-100,1),IF(ROUND(100/Z89*AA89-100,1)&gt;999,999,-999)))</f>
        <v>87.9</v>
      </c>
      <c r="AC89" s="828"/>
      <c r="AD89" s="828"/>
      <c r="AE89" s="635"/>
      <c r="AF89" s="828"/>
      <c r="AG89" s="828"/>
      <c r="AH89" s="635"/>
      <c r="AI89" s="828">
        <v>59</v>
      </c>
      <c r="AJ89" s="828">
        <v>65</v>
      </c>
      <c r="AK89" s="635">
        <f>IF(AI89=0, "    ---- ", IF(ABS(ROUND(100/AI89*AJ89-100,1))&lt;999,ROUND(100/AI89*AJ89-100,1),IF(ROUND(100/AI89*AJ89-100,1)&gt;999,999,-999)))</f>
        <v>10.199999999999999</v>
      </c>
      <c r="AL89" s="828">
        <v>241</v>
      </c>
      <c r="AM89" s="828">
        <v>231.6</v>
      </c>
      <c r="AN89" s="635">
        <f t="shared" ref="AN89:AN94" si="40">IF(AL89=0, "    ---- ", IF(ABS(ROUND(100/AL89*AM89-100,1))&lt;999,ROUND(100/AL89*AM89-100,1),IF(ROUND(100/AL89*AM89-100,1)&gt;999,999,-999)))</f>
        <v>-3.9</v>
      </c>
      <c r="AO89" s="634">
        <f t="shared" si="19"/>
        <v>512.34</v>
      </c>
      <c r="AP89" s="634">
        <f t="shared" si="20"/>
        <v>666.27603807065725</v>
      </c>
      <c r="AQ89" s="635">
        <f t="shared" si="17"/>
        <v>30</v>
      </c>
      <c r="AR89" s="634">
        <f t="shared" si="32"/>
        <v>512.34</v>
      </c>
      <c r="AS89" s="634">
        <f t="shared" si="33"/>
        <v>666.27603807065725</v>
      </c>
      <c r="AT89" s="635">
        <f t="shared" si="18"/>
        <v>30</v>
      </c>
      <c r="AU89" s="618"/>
      <c r="AV89" s="618"/>
      <c r="AW89" s="613"/>
      <c r="AX89" s="613"/>
    </row>
    <row r="90" spans="1:50" s="636" customFormat="1" ht="18.75" customHeight="1" x14ac:dyDescent="0.35">
      <c r="A90" s="588" t="s">
        <v>372</v>
      </c>
      <c r="B90" s="828"/>
      <c r="C90" s="828"/>
      <c r="D90" s="634"/>
      <c r="E90" s="828"/>
      <c r="F90" s="828"/>
      <c r="G90" s="635"/>
      <c r="H90" s="828"/>
      <c r="I90" s="828"/>
      <c r="J90" s="635"/>
      <c r="K90" s="828"/>
      <c r="L90" s="828"/>
      <c r="M90" s="635"/>
      <c r="N90" s="828"/>
      <c r="O90" s="828"/>
      <c r="P90" s="635"/>
      <c r="Q90" s="828">
        <v>-2</v>
      </c>
      <c r="R90" s="828">
        <v>2.7</v>
      </c>
      <c r="S90" s="634">
        <f>IF(Q90=0, "    ---- ", IF(ABS(ROUND(100/Q90*R90-100,1))&lt;999,ROUND(100/Q90*R90-100,1),IF(ROUND(100/Q90*R90-100,1)&gt;999,999,-999)))</f>
        <v>-235</v>
      </c>
      <c r="T90" s="828"/>
      <c r="U90" s="828"/>
      <c r="V90" s="635"/>
      <c r="W90" s="828"/>
      <c r="X90" s="828"/>
      <c r="Y90" s="635"/>
      <c r="Z90" s="828">
        <v>32.869999999999997</v>
      </c>
      <c r="AA90" s="828">
        <v>78.349999999999994</v>
      </c>
      <c r="AB90" s="635">
        <f t="shared" si="39"/>
        <v>138.4</v>
      </c>
      <c r="AC90" s="828"/>
      <c r="AD90" s="828"/>
      <c r="AE90" s="635"/>
      <c r="AF90" s="828"/>
      <c r="AG90" s="828"/>
      <c r="AH90" s="635"/>
      <c r="AI90" s="828"/>
      <c r="AJ90" s="828"/>
      <c r="AK90" s="635"/>
      <c r="AL90" s="828">
        <v>155</v>
      </c>
      <c r="AM90" s="828">
        <v>156.19999999999999</v>
      </c>
      <c r="AN90" s="635">
        <f t="shared" si="40"/>
        <v>0.8</v>
      </c>
      <c r="AO90" s="634">
        <f t="shared" si="19"/>
        <v>185.87</v>
      </c>
      <c r="AP90" s="634">
        <f t="shared" si="20"/>
        <v>237.25</v>
      </c>
      <c r="AQ90" s="635">
        <f t="shared" si="17"/>
        <v>27.6</v>
      </c>
      <c r="AR90" s="634">
        <f t="shared" si="32"/>
        <v>185.87</v>
      </c>
      <c r="AS90" s="634">
        <f t="shared" si="33"/>
        <v>237.25</v>
      </c>
      <c r="AT90" s="635">
        <f t="shared" si="18"/>
        <v>27.6</v>
      </c>
      <c r="AU90" s="618"/>
      <c r="AV90" s="618"/>
      <c r="AW90" s="613"/>
      <c r="AX90" s="613"/>
    </row>
    <row r="91" spans="1:50" s="636" customFormat="1" ht="18.75" customHeight="1" x14ac:dyDescent="0.35">
      <c r="A91" s="588" t="s">
        <v>373</v>
      </c>
      <c r="B91" s="828"/>
      <c r="C91" s="828"/>
      <c r="D91" s="634"/>
      <c r="E91" s="828">
        <v>0</v>
      </c>
      <c r="F91" s="828"/>
      <c r="G91" s="635"/>
      <c r="H91" s="828"/>
      <c r="I91" s="828"/>
      <c r="J91" s="635"/>
      <c r="K91" s="828"/>
      <c r="L91" s="828"/>
      <c r="M91" s="635"/>
      <c r="N91" s="828"/>
      <c r="O91" s="828"/>
      <c r="P91" s="635"/>
      <c r="Q91" s="828"/>
      <c r="R91" s="828"/>
      <c r="S91" s="634"/>
      <c r="T91" s="828"/>
      <c r="U91" s="828"/>
      <c r="V91" s="635"/>
      <c r="W91" s="828"/>
      <c r="X91" s="828"/>
      <c r="Y91" s="635"/>
      <c r="Z91" s="828">
        <v>0</v>
      </c>
      <c r="AA91" s="828">
        <v>0</v>
      </c>
      <c r="AB91" s="635" t="str">
        <f t="shared" si="39"/>
        <v xml:space="preserve">    ---- </v>
      </c>
      <c r="AC91" s="828"/>
      <c r="AD91" s="828"/>
      <c r="AE91" s="635"/>
      <c r="AF91" s="828"/>
      <c r="AG91" s="828"/>
      <c r="AH91" s="635"/>
      <c r="AI91" s="828"/>
      <c r="AJ91" s="828"/>
      <c r="AK91" s="635"/>
      <c r="AL91" s="828"/>
      <c r="AM91" s="828">
        <v>51</v>
      </c>
      <c r="AN91" s="635" t="str">
        <f t="shared" si="40"/>
        <v xml:space="preserve">    ---- </v>
      </c>
      <c r="AO91" s="634">
        <f t="shared" si="19"/>
        <v>0</v>
      </c>
      <c r="AP91" s="634">
        <f t="shared" si="20"/>
        <v>51</v>
      </c>
      <c r="AQ91" s="635" t="str">
        <f t="shared" si="17"/>
        <v xml:space="preserve">    ---- </v>
      </c>
      <c r="AR91" s="634">
        <f t="shared" si="32"/>
        <v>0</v>
      </c>
      <c r="AS91" s="634">
        <f t="shared" si="33"/>
        <v>51</v>
      </c>
      <c r="AT91" s="635" t="str">
        <f t="shared" si="18"/>
        <v xml:space="preserve">    ---- </v>
      </c>
      <c r="AU91" s="618"/>
      <c r="AV91" s="618"/>
      <c r="AW91" s="613"/>
      <c r="AX91" s="613"/>
    </row>
    <row r="92" spans="1:50" s="639" customFormat="1" ht="18.75" customHeight="1" x14ac:dyDescent="0.3">
      <c r="A92" s="583" t="s">
        <v>374</v>
      </c>
      <c r="B92" s="830"/>
      <c r="C92" s="830"/>
      <c r="D92" s="632"/>
      <c r="E92" s="830">
        <f>SUM(E84:E89)+E91</f>
        <v>0</v>
      </c>
      <c r="F92" s="830"/>
      <c r="G92" s="633"/>
      <c r="H92" s="830">
        <f>SUM(H84:H89)+H91</f>
        <v>579.19999999999993</v>
      </c>
      <c r="I92" s="830">
        <f>SUM(I84:I89)+I91</f>
        <v>945.52833929155292</v>
      </c>
      <c r="J92" s="633">
        <f t="shared" si="38"/>
        <v>63.2</v>
      </c>
      <c r="K92" s="830"/>
      <c r="L92" s="830"/>
      <c r="M92" s="633"/>
      <c r="N92" s="830"/>
      <c r="O92" s="830"/>
      <c r="P92" s="633"/>
      <c r="Q92" s="830">
        <f>SUM(Q84:Q89)+Q91</f>
        <v>0.90000000000000036</v>
      </c>
      <c r="R92" s="830">
        <f>SUM(R84:R89)+R91</f>
        <v>54.7</v>
      </c>
      <c r="S92" s="632">
        <f>IF(Q92=0, "    ---- ", IF(ABS(ROUND(100/Q92*R92-100,1))&lt;999,ROUND(100/Q92*R92-100,1),IF(ROUND(100/Q92*R92-100,1)&gt;999,999,-999)))</f>
        <v>999</v>
      </c>
      <c r="T92" s="830"/>
      <c r="U92" s="830"/>
      <c r="V92" s="633"/>
      <c r="W92" s="830"/>
      <c r="X92" s="830"/>
      <c r="Y92" s="633"/>
      <c r="Z92" s="830">
        <f>SUM(Z84:Z89)+Z91</f>
        <v>132.07</v>
      </c>
      <c r="AA92" s="830">
        <f>SUM(AA84:AA89)+AA91</f>
        <v>395.82999999999993</v>
      </c>
      <c r="AB92" s="633">
        <f t="shared" si="39"/>
        <v>199.7</v>
      </c>
      <c r="AC92" s="830"/>
      <c r="AD92" s="830"/>
      <c r="AE92" s="633"/>
      <c r="AF92" s="830"/>
      <c r="AG92" s="830">
        <f>SUM(AG84:AG89)+AG91</f>
        <v>0</v>
      </c>
      <c r="AH92" s="633"/>
      <c r="AI92" s="830">
        <f>SUM(AI84:AI89)+AI91</f>
        <v>60</v>
      </c>
      <c r="AJ92" s="830">
        <f>SUM(AJ84:AJ89)+AJ91</f>
        <v>927</v>
      </c>
      <c r="AK92" s="633">
        <f>IF(AI92=0, "    ---- ", IF(ABS(ROUND(100/AI92*AJ92-100,1))&lt;999,ROUND(100/AI92*AJ92-100,1),IF(ROUND(100/AI92*AJ92-100,1)&gt;999,999,-999)))</f>
        <v>999</v>
      </c>
      <c r="AL92" s="830">
        <v>832</v>
      </c>
      <c r="AM92" s="830">
        <f>SUM(AM84:AM89)+AM91</f>
        <v>1265.5999999999999</v>
      </c>
      <c r="AN92" s="633">
        <f t="shared" si="40"/>
        <v>52.1</v>
      </c>
      <c r="AO92" s="632">
        <f t="shared" si="19"/>
        <v>1604.1699999999998</v>
      </c>
      <c r="AP92" s="632">
        <f t="shared" si="20"/>
        <v>3588.6583392915527</v>
      </c>
      <c r="AQ92" s="633">
        <f t="shared" si="17"/>
        <v>123.7</v>
      </c>
      <c r="AR92" s="632">
        <f t="shared" si="32"/>
        <v>1604.1699999999998</v>
      </c>
      <c r="AS92" s="632">
        <f t="shared" si="33"/>
        <v>3588.6583392915527</v>
      </c>
      <c r="AT92" s="633">
        <f t="shared" si="18"/>
        <v>123.7</v>
      </c>
      <c r="AU92" s="637" t="e">
        <f>B92,C92,H92,I92,N92,O92,Q92,R92,T92,U92,W92,X92,E92,F92,Z92,AA92,AC92,AD92,AF92,AG92,#REF!,#REF!,AI92,AJ92,AL92,AM92,AO92,AP92,AR92,AS92</f>
        <v>#REF!</v>
      </c>
      <c r="AV92" s="616"/>
      <c r="AW92" s="638"/>
      <c r="AX92" s="638"/>
    </row>
    <row r="93" spans="1:50" s="636" customFormat="1" ht="18.75" customHeight="1" x14ac:dyDescent="0.35">
      <c r="A93" s="588" t="s">
        <v>375</v>
      </c>
      <c r="B93" s="828"/>
      <c r="C93" s="828"/>
      <c r="D93" s="634"/>
      <c r="E93" s="828">
        <v>8</v>
      </c>
      <c r="F93" s="828"/>
      <c r="G93" s="635"/>
      <c r="H93" s="828">
        <v>278.5</v>
      </c>
      <c r="I93" s="828">
        <v>580.70394411938696</v>
      </c>
      <c r="J93" s="635">
        <f t="shared" si="38"/>
        <v>108.5</v>
      </c>
      <c r="K93" s="828"/>
      <c r="L93" s="828"/>
      <c r="M93" s="635"/>
      <c r="N93" s="828"/>
      <c r="O93" s="828"/>
      <c r="P93" s="635"/>
      <c r="Q93" s="828">
        <v>14.8</v>
      </c>
      <c r="R93" s="828">
        <v>56.7</v>
      </c>
      <c r="S93" s="634">
        <f>IF(Q93=0, "    ---- ", IF(ABS(ROUND(100/Q93*R93-100,1))&lt;999,ROUND(100/Q93*R93-100,1),IF(ROUND(100/Q93*R93-100,1)&gt;999,999,-999)))</f>
        <v>283.10000000000002</v>
      </c>
      <c r="T93" s="828"/>
      <c r="U93" s="828"/>
      <c r="V93" s="635"/>
      <c r="W93" s="828"/>
      <c r="X93" s="828"/>
      <c r="Y93" s="635"/>
      <c r="Z93" s="828">
        <v>51</v>
      </c>
      <c r="AA93" s="828">
        <v>243</v>
      </c>
      <c r="AB93" s="635">
        <f t="shared" si="39"/>
        <v>376.5</v>
      </c>
      <c r="AC93" s="828"/>
      <c r="AD93" s="828"/>
      <c r="AE93" s="635"/>
      <c r="AF93" s="828"/>
      <c r="AG93" s="828"/>
      <c r="AH93" s="635"/>
      <c r="AI93" s="828">
        <v>30</v>
      </c>
      <c r="AJ93" s="828">
        <v>524</v>
      </c>
      <c r="AK93" s="635">
        <f>IF(AI93=0, "    ---- ", IF(ABS(ROUND(100/AI93*AJ93-100,1))&lt;999,ROUND(100/AI93*AJ93-100,1),IF(ROUND(100/AI93*AJ93-100,1)&gt;999,999,-999)))</f>
        <v>999</v>
      </c>
      <c r="AL93" s="828">
        <v>345</v>
      </c>
      <c r="AM93" s="828">
        <v>594</v>
      </c>
      <c r="AN93" s="635">
        <f t="shared" si="40"/>
        <v>72.2</v>
      </c>
      <c r="AO93" s="634">
        <f t="shared" si="19"/>
        <v>727.3</v>
      </c>
      <c r="AP93" s="634">
        <f t="shared" si="20"/>
        <v>1998.403944119387</v>
      </c>
      <c r="AQ93" s="635">
        <f t="shared" si="17"/>
        <v>174.8</v>
      </c>
      <c r="AR93" s="634">
        <f t="shared" si="32"/>
        <v>727.3</v>
      </c>
      <c r="AS93" s="634">
        <f t="shared" si="33"/>
        <v>1998.403944119387</v>
      </c>
      <c r="AT93" s="635">
        <f t="shared" si="18"/>
        <v>174.8</v>
      </c>
      <c r="AU93" s="618"/>
      <c r="AV93" s="618"/>
      <c r="AW93" s="613"/>
      <c r="AX93" s="613"/>
    </row>
    <row r="94" spans="1:50" s="636" customFormat="1" ht="18.75" customHeight="1" x14ac:dyDescent="0.35">
      <c r="A94" s="588" t="s">
        <v>376</v>
      </c>
      <c r="B94" s="828"/>
      <c r="C94" s="828"/>
      <c r="D94" s="634"/>
      <c r="E94" s="828">
        <v>-8</v>
      </c>
      <c r="F94" s="828"/>
      <c r="G94" s="635"/>
      <c r="H94" s="828">
        <v>300.2</v>
      </c>
      <c r="I94" s="828">
        <v>364.82439517216574</v>
      </c>
      <c r="J94" s="635">
        <f t="shared" si="38"/>
        <v>21.5</v>
      </c>
      <c r="K94" s="828"/>
      <c r="L94" s="828"/>
      <c r="M94" s="635"/>
      <c r="N94" s="828"/>
      <c r="O94" s="828"/>
      <c r="P94" s="635"/>
      <c r="Q94" s="828">
        <v>-13.9</v>
      </c>
      <c r="R94" s="828">
        <v>-2.1</v>
      </c>
      <c r="S94" s="634">
        <f>IF(Q94=0, "    ---- ", IF(ABS(ROUND(100/Q94*R94-100,1))&lt;999,ROUND(100/Q94*R94-100,1),IF(ROUND(100/Q94*R94-100,1)&gt;999,999,-999)))</f>
        <v>-84.9</v>
      </c>
      <c r="T94" s="828"/>
      <c r="U94" s="828"/>
      <c r="V94" s="635"/>
      <c r="W94" s="828"/>
      <c r="X94" s="828"/>
      <c r="Y94" s="635"/>
      <c r="Z94" s="828">
        <v>81</v>
      </c>
      <c r="AA94" s="828">
        <v>153</v>
      </c>
      <c r="AB94" s="635">
        <f t="shared" si="39"/>
        <v>88.9</v>
      </c>
      <c r="AC94" s="828"/>
      <c r="AD94" s="828"/>
      <c r="AE94" s="635"/>
      <c r="AF94" s="828"/>
      <c r="AG94" s="828"/>
      <c r="AH94" s="635"/>
      <c r="AI94" s="828">
        <v>30</v>
      </c>
      <c r="AJ94" s="828">
        <v>403</v>
      </c>
      <c r="AK94" s="635">
        <f>IF(AI94=0, "    ---- ", IF(ABS(ROUND(100/AI94*AJ94-100,1))&lt;999,ROUND(100/AI94*AJ94-100,1),IF(ROUND(100/AI94*AJ94-100,1)&gt;999,999,-999)))</f>
        <v>999</v>
      </c>
      <c r="AL94" s="828">
        <v>487</v>
      </c>
      <c r="AM94" s="828">
        <v>671.6</v>
      </c>
      <c r="AN94" s="635">
        <f t="shared" si="40"/>
        <v>37.9</v>
      </c>
      <c r="AO94" s="634">
        <f t="shared" si="19"/>
        <v>876.3</v>
      </c>
      <c r="AP94" s="634">
        <f t="shared" si="20"/>
        <v>1590.3243951721656</v>
      </c>
      <c r="AQ94" s="635">
        <f t="shared" si="17"/>
        <v>81.5</v>
      </c>
      <c r="AR94" s="634">
        <f t="shared" si="32"/>
        <v>876.3</v>
      </c>
      <c r="AS94" s="634">
        <f t="shared" si="33"/>
        <v>1590.3243951721656</v>
      </c>
      <c r="AT94" s="635">
        <f t="shared" si="18"/>
        <v>81.5</v>
      </c>
      <c r="AU94" s="618"/>
      <c r="AV94" s="618"/>
      <c r="AW94" s="613"/>
      <c r="AX94" s="613"/>
    </row>
    <row r="95" spans="1:50" s="636" customFormat="1" ht="18.75" customHeight="1" x14ac:dyDescent="0.35">
      <c r="A95" s="583" t="s">
        <v>393</v>
      </c>
      <c r="B95" s="828"/>
      <c r="C95" s="828"/>
      <c r="D95" s="634"/>
      <c r="E95" s="828"/>
      <c r="F95" s="828"/>
      <c r="G95" s="635"/>
      <c r="H95" s="828"/>
      <c r="I95" s="828"/>
      <c r="J95" s="635"/>
      <c r="K95" s="828"/>
      <c r="L95" s="828"/>
      <c r="M95" s="635"/>
      <c r="N95" s="828"/>
      <c r="O95" s="828"/>
      <c r="P95" s="635"/>
      <c r="Q95" s="828"/>
      <c r="R95" s="828"/>
      <c r="S95" s="634"/>
      <c r="T95" s="828"/>
      <c r="U95" s="828"/>
      <c r="V95" s="635"/>
      <c r="W95" s="828"/>
      <c r="X95" s="828"/>
      <c r="Y95" s="635"/>
      <c r="Z95" s="828"/>
      <c r="AA95" s="828"/>
      <c r="AB95" s="635"/>
      <c r="AC95" s="828"/>
      <c r="AD95" s="828"/>
      <c r="AE95" s="635"/>
      <c r="AF95" s="828"/>
      <c r="AG95" s="828"/>
      <c r="AH95" s="635"/>
      <c r="AI95" s="828"/>
      <c r="AJ95" s="828"/>
      <c r="AK95" s="635"/>
      <c r="AL95" s="828"/>
      <c r="AM95" s="828"/>
      <c r="AN95" s="635"/>
      <c r="AO95" s="634"/>
      <c r="AP95" s="634"/>
      <c r="AQ95" s="635"/>
      <c r="AR95" s="634">
        <f t="shared" si="32"/>
        <v>0</v>
      </c>
      <c r="AS95" s="634">
        <f t="shared" si="33"/>
        <v>0</v>
      </c>
      <c r="AT95" s="635"/>
      <c r="AU95" s="618"/>
      <c r="AV95" s="618"/>
      <c r="AW95" s="613"/>
      <c r="AX95" s="613"/>
    </row>
    <row r="96" spans="1:50" s="636" customFormat="1" ht="18.75" customHeight="1" x14ac:dyDescent="0.35">
      <c r="A96" s="588" t="s">
        <v>366</v>
      </c>
      <c r="B96" s="828">
        <v>4.4260000000000002</v>
      </c>
      <c r="C96" s="828">
        <v>4.8609999999999998</v>
      </c>
      <c r="D96" s="635">
        <f>IF(B96=0, "    ---- ", IF(ABS(ROUND(100/B96*C96-100,1))&lt;999,ROUND(100/B96*C96-100,1),IF(ROUND(100/B96*C96-100,1)&gt;999,999,-999)))</f>
        <v>9.8000000000000007</v>
      </c>
      <c r="E96" s="828">
        <v>2</v>
      </c>
      <c r="F96" s="828"/>
      <c r="G96" s="635"/>
      <c r="H96" s="828">
        <v>-14.3</v>
      </c>
      <c r="I96" s="828">
        <v>18.137472633677142</v>
      </c>
      <c r="J96" s="635">
        <f>IF(H96=0, "    ---- ", IF(ABS(ROUND(100/H96*I96-100,1))&lt;999,ROUND(100/H96*I96-100,1),IF(ROUND(100/H96*I96-100,1)&gt;999,999,-999)))</f>
        <v>-226.8</v>
      </c>
      <c r="K96" s="828"/>
      <c r="L96" s="828"/>
      <c r="M96" s="635"/>
      <c r="N96" s="828"/>
      <c r="O96" s="828"/>
      <c r="P96" s="635"/>
      <c r="Q96" s="828"/>
      <c r="R96" s="828"/>
      <c r="S96" s="634"/>
      <c r="T96" s="828"/>
      <c r="U96" s="828"/>
      <c r="V96" s="635"/>
      <c r="W96" s="828"/>
      <c r="X96" s="828"/>
      <c r="Y96" s="635"/>
      <c r="Z96" s="828">
        <v>22.43</v>
      </c>
      <c r="AA96" s="828">
        <v>50.75</v>
      </c>
      <c r="AB96" s="635">
        <f>IF(Z96=0, "    ---- ", IF(ABS(ROUND(100/Z96*AA96-100,1))&lt;999,ROUND(100/Z96*AA96-100,1),IF(ROUND(100/Z96*AA96-100,1)&gt;999,999,-999)))</f>
        <v>126.3</v>
      </c>
      <c r="AC96" s="828"/>
      <c r="AD96" s="828"/>
      <c r="AE96" s="635"/>
      <c r="AF96" s="828"/>
      <c r="AG96" s="828"/>
      <c r="AH96" s="635"/>
      <c r="AI96" s="828"/>
      <c r="AJ96" s="828"/>
      <c r="AK96" s="635"/>
      <c r="AL96" s="828">
        <v>30</v>
      </c>
      <c r="AM96" s="828">
        <v>29</v>
      </c>
      <c r="AN96" s="635">
        <f>IF(AL96=0, "    ---- ", IF(ABS(ROUND(100/AL96*AM96-100,1))&lt;999,ROUND(100/AL96*AM96-100,1),IF(ROUND(100/AL96*AM96-100,1)&gt;999,999,-999)))</f>
        <v>-3.3</v>
      </c>
      <c r="AO96" s="634">
        <f t="shared" ref="AO96:AO106" si="41">B96+H96+K96+N96+Q96+W96+E96+Z96+AC96+AI96+AL96</f>
        <v>44.555999999999997</v>
      </c>
      <c r="AP96" s="634">
        <f t="shared" ref="AP96:AP106" si="42">C96+I96+L96+O96+R96+X96+F96+AA96+AD96+AJ96+AM96</f>
        <v>102.74847263367714</v>
      </c>
      <c r="AQ96" s="635">
        <f t="shared" si="17"/>
        <v>130.6</v>
      </c>
      <c r="AR96" s="634">
        <f t="shared" si="32"/>
        <v>44.555999999999997</v>
      </c>
      <c r="AS96" s="634">
        <f t="shared" si="33"/>
        <v>102.74847263367714</v>
      </c>
      <c r="AT96" s="635">
        <f t="shared" si="18"/>
        <v>130.6</v>
      </c>
      <c r="AU96" s="618"/>
      <c r="AV96" s="618"/>
      <c r="AW96" s="613"/>
      <c r="AX96" s="613"/>
    </row>
    <row r="97" spans="1:50" s="636" customFormat="1" ht="18.75" customHeight="1" x14ac:dyDescent="0.35">
      <c r="A97" s="588" t="s">
        <v>367</v>
      </c>
      <c r="B97" s="828"/>
      <c r="C97" s="828"/>
      <c r="D97" s="634"/>
      <c r="E97" s="828"/>
      <c r="F97" s="828"/>
      <c r="G97" s="635"/>
      <c r="H97" s="828">
        <v>11</v>
      </c>
      <c r="I97" s="828">
        <v>-14.331064800911699</v>
      </c>
      <c r="J97" s="635">
        <f>IF(H97=0, "    ---- ", IF(ABS(ROUND(100/H97*I97-100,1))&lt;999,ROUND(100/H97*I97-100,1),IF(ROUND(100/H97*I97-100,1)&gt;999,999,-999)))</f>
        <v>-230.3</v>
      </c>
      <c r="K97" s="828"/>
      <c r="L97" s="828"/>
      <c r="M97" s="635"/>
      <c r="N97" s="828"/>
      <c r="O97" s="828"/>
      <c r="P97" s="635"/>
      <c r="Q97" s="828"/>
      <c r="R97" s="828"/>
      <c r="S97" s="634"/>
      <c r="T97" s="828"/>
      <c r="U97" s="828"/>
      <c r="V97" s="635"/>
      <c r="W97" s="828"/>
      <c r="X97" s="828"/>
      <c r="Y97" s="635"/>
      <c r="Z97" s="828"/>
      <c r="AA97" s="828"/>
      <c r="AB97" s="635"/>
      <c r="AC97" s="828"/>
      <c r="AD97" s="828"/>
      <c r="AE97" s="635"/>
      <c r="AF97" s="828"/>
      <c r="AG97" s="828"/>
      <c r="AH97" s="635"/>
      <c r="AI97" s="828"/>
      <c r="AJ97" s="828"/>
      <c r="AK97" s="635"/>
      <c r="AL97" s="828"/>
      <c r="AM97" s="828"/>
      <c r="AN97" s="635"/>
      <c r="AO97" s="634">
        <f t="shared" si="41"/>
        <v>11</v>
      </c>
      <c r="AP97" s="634">
        <f t="shared" si="42"/>
        <v>-14.331064800911699</v>
      </c>
      <c r="AQ97" s="635">
        <f t="shared" si="17"/>
        <v>-230.3</v>
      </c>
      <c r="AR97" s="634">
        <f t="shared" si="32"/>
        <v>11</v>
      </c>
      <c r="AS97" s="634">
        <f t="shared" si="33"/>
        <v>-14.331064800911699</v>
      </c>
      <c r="AT97" s="635">
        <f t="shared" si="18"/>
        <v>-230.3</v>
      </c>
      <c r="AU97" s="618"/>
      <c r="AV97" s="618"/>
      <c r="AW97" s="613"/>
      <c r="AX97" s="613"/>
    </row>
    <row r="98" spans="1:50" s="636" customFormat="1" ht="18.75" customHeight="1" x14ac:dyDescent="0.35">
      <c r="A98" s="588" t="s">
        <v>368</v>
      </c>
      <c r="B98" s="828">
        <v>-8.8450000000000006</v>
      </c>
      <c r="C98" s="828">
        <v>-7.9610000000000003</v>
      </c>
      <c r="D98" s="635">
        <f>IF(B98=0, "    ---- ", IF(ABS(ROUND(100/B98*C98-100,1))&lt;999,ROUND(100/B98*C98-100,1),IF(ROUND(100/B98*C98-100,1)&gt;999,999,-999)))</f>
        <v>-10</v>
      </c>
      <c r="E98" s="828">
        <v>0</v>
      </c>
      <c r="F98" s="828"/>
      <c r="G98" s="635"/>
      <c r="H98" s="828">
        <v>-17.3</v>
      </c>
      <c r="I98" s="828">
        <v>-20.298296542052015</v>
      </c>
      <c r="J98" s="635">
        <f>IF(H98=0, "    ---- ", IF(ABS(ROUND(100/H98*I98-100,1))&lt;999,ROUND(100/H98*I98-100,1),IF(ROUND(100/H98*I98-100,1)&gt;999,999,-999)))</f>
        <v>17.3</v>
      </c>
      <c r="K98" s="828"/>
      <c r="L98" s="828"/>
      <c r="M98" s="635"/>
      <c r="N98" s="828"/>
      <c r="O98" s="828"/>
      <c r="P98" s="635"/>
      <c r="Q98" s="828"/>
      <c r="R98" s="828"/>
      <c r="S98" s="634"/>
      <c r="T98" s="828"/>
      <c r="U98" s="828"/>
      <c r="V98" s="635"/>
      <c r="W98" s="828"/>
      <c r="X98" s="828"/>
      <c r="Y98" s="635"/>
      <c r="Z98" s="828">
        <v>-93.33</v>
      </c>
      <c r="AA98" s="828">
        <v>-58.39</v>
      </c>
      <c r="AB98" s="635">
        <f>IF(Z98=0, "    ---- ", IF(ABS(ROUND(100/Z98*AA98-100,1))&lt;999,ROUND(100/Z98*AA98-100,1),IF(ROUND(100/Z98*AA98-100,1)&gt;999,999,-999)))</f>
        <v>-37.4</v>
      </c>
      <c r="AC98" s="828"/>
      <c r="AD98" s="828"/>
      <c r="AE98" s="635"/>
      <c r="AF98" s="828"/>
      <c r="AG98" s="828"/>
      <c r="AH98" s="635"/>
      <c r="AI98" s="828">
        <v>-16</v>
      </c>
      <c r="AJ98" s="828"/>
      <c r="AK98" s="635">
        <f>IF(AI98=0, "    ---- ", IF(ABS(ROUND(100/AI98*AJ98-100,1))&lt;999,ROUND(100/AI98*AJ98-100,1),IF(ROUND(100/AI98*AJ98-100,1)&gt;999,999,-999)))</f>
        <v>-100</v>
      </c>
      <c r="AL98" s="828">
        <v>-12</v>
      </c>
      <c r="AM98" s="828">
        <v>-11</v>
      </c>
      <c r="AN98" s="635">
        <f>IF(AL98=0, "    ---- ", IF(ABS(ROUND(100/AL98*AM98-100,1))&lt;999,ROUND(100/AL98*AM98-100,1),IF(ROUND(100/AL98*AM98-100,1)&gt;999,999,-999)))</f>
        <v>-8.3000000000000007</v>
      </c>
      <c r="AO98" s="634">
        <f t="shared" si="41"/>
        <v>-147.47499999999999</v>
      </c>
      <c r="AP98" s="634">
        <f t="shared" si="42"/>
        <v>-97.649296542052014</v>
      </c>
      <c r="AQ98" s="635">
        <f t="shared" si="17"/>
        <v>-33.799999999999997</v>
      </c>
      <c r="AR98" s="634">
        <f t="shared" si="32"/>
        <v>-147.47499999999999</v>
      </c>
      <c r="AS98" s="634">
        <f t="shared" si="33"/>
        <v>-97.649296542052014</v>
      </c>
      <c r="AT98" s="635">
        <f t="shared" si="18"/>
        <v>-33.799999999999997</v>
      </c>
      <c r="AU98" s="618"/>
      <c r="AV98" s="618"/>
      <c r="AW98" s="613"/>
      <c r="AX98" s="613"/>
    </row>
    <row r="99" spans="1:50" s="636" customFormat="1" ht="18.75" customHeight="1" x14ac:dyDescent="0.35">
      <c r="A99" s="588" t="s">
        <v>369</v>
      </c>
      <c r="B99" s="828"/>
      <c r="C99" s="828"/>
      <c r="D99" s="634"/>
      <c r="E99" s="828">
        <v>3</v>
      </c>
      <c r="F99" s="828"/>
      <c r="G99" s="635"/>
      <c r="H99" s="828">
        <v>0</v>
      </c>
      <c r="I99" s="828">
        <v>0.92395108999999997</v>
      </c>
      <c r="J99" s="635" t="str">
        <f>IF(H99=0, "    ---- ", IF(ABS(ROUND(100/H99*I99-100,1))&lt;999,ROUND(100/H99*I99-100,1),IF(ROUND(100/H99*I99-100,1)&gt;999,999,-999)))</f>
        <v xml:space="preserve">    ---- </v>
      </c>
      <c r="K99" s="828"/>
      <c r="L99" s="828"/>
      <c r="M99" s="635"/>
      <c r="N99" s="828"/>
      <c r="O99" s="828"/>
      <c r="P99" s="635"/>
      <c r="Q99" s="828"/>
      <c r="R99" s="828"/>
      <c r="S99" s="634"/>
      <c r="T99" s="828"/>
      <c r="U99" s="828"/>
      <c r="V99" s="635"/>
      <c r="W99" s="828"/>
      <c r="X99" s="828"/>
      <c r="Y99" s="635"/>
      <c r="Z99" s="828"/>
      <c r="AA99" s="828"/>
      <c r="AB99" s="635"/>
      <c r="AC99" s="828"/>
      <c r="AD99" s="828"/>
      <c r="AE99" s="635"/>
      <c r="AF99" s="828"/>
      <c r="AG99" s="828"/>
      <c r="AH99" s="635"/>
      <c r="AI99" s="828"/>
      <c r="AJ99" s="828"/>
      <c r="AK99" s="635"/>
      <c r="AL99" s="828">
        <v>4</v>
      </c>
      <c r="AM99" s="828">
        <v>5</v>
      </c>
      <c r="AN99" s="635">
        <f>IF(AL99=0, "    ---- ", IF(ABS(ROUND(100/AL99*AM99-100,1))&lt;999,ROUND(100/AL99*AM99-100,1),IF(ROUND(100/AL99*AM99-100,1)&gt;999,999,-999)))</f>
        <v>25</v>
      </c>
      <c r="AO99" s="634">
        <f t="shared" si="41"/>
        <v>7</v>
      </c>
      <c r="AP99" s="634">
        <f t="shared" si="42"/>
        <v>5.9239510900000001</v>
      </c>
      <c r="AQ99" s="635">
        <f t="shared" si="17"/>
        <v>-15.4</v>
      </c>
      <c r="AR99" s="634">
        <f t="shared" si="32"/>
        <v>7</v>
      </c>
      <c r="AS99" s="634">
        <f t="shared" si="33"/>
        <v>5.9239510900000001</v>
      </c>
      <c r="AT99" s="635">
        <f t="shared" si="18"/>
        <v>-15.4</v>
      </c>
      <c r="AU99" s="618"/>
      <c r="AV99" s="618"/>
      <c r="AW99" s="613"/>
      <c r="AX99" s="613"/>
    </row>
    <row r="100" spans="1:50" s="636" customFormat="1" ht="18.75" customHeight="1" x14ac:dyDescent="0.35">
      <c r="A100" s="588" t="s">
        <v>370</v>
      </c>
      <c r="B100" s="828"/>
      <c r="C100" s="828"/>
      <c r="D100" s="634"/>
      <c r="E100" s="828"/>
      <c r="F100" s="828"/>
      <c r="G100" s="635"/>
      <c r="H100" s="828">
        <v>12</v>
      </c>
      <c r="I100" s="828">
        <v>15.332161859999999</v>
      </c>
      <c r="J100" s="635">
        <f t="shared" ref="J100:J106" si="43">IF(H100=0, "    ---- ", IF(ABS(ROUND(100/H100*I100-100,1))&lt;999,ROUND(100/H100*I100-100,1),IF(ROUND(100/H100*I100-100,1)&gt;999,999,-999)))</f>
        <v>27.8</v>
      </c>
      <c r="K100" s="828"/>
      <c r="L100" s="828"/>
      <c r="M100" s="635"/>
      <c r="N100" s="828"/>
      <c r="O100" s="828"/>
      <c r="P100" s="635"/>
      <c r="Q100" s="828"/>
      <c r="R100" s="828"/>
      <c r="S100" s="634"/>
      <c r="T100" s="828"/>
      <c r="U100" s="828"/>
      <c r="V100" s="635"/>
      <c r="W100" s="828"/>
      <c r="X100" s="828"/>
      <c r="Y100" s="635"/>
      <c r="Z100" s="828"/>
      <c r="AA100" s="828"/>
      <c r="AB100" s="635"/>
      <c r="AC100" s="828"/>
      <c r="AD100" s="828"/>
      <c r="AE100" s="635"/>
      <c r="AF100" s="828"/>
      <c r="AG100" s="828"/>
      <c r="AH100" s="635"/>
      <c r="AI100" s="828"/>
      <c r="AJ100" s="828"/>
      <c r="AK100" s="635"/>
      <c r="AL100" s="828"/>
      <c r="AM100" s="828"/>
      <c r="AN100" s="635"/>
      <c r="AO100" s="634">
        <f t="shared" si="41"/>
        <v>12</v>
      </c>
      <c r="AP100" s="634">
        <f t="shared" si="42"/>
        <v>15.332161859999999</v>
      </c>
      <c r="AQ100" s="635">
        <f t="shared" si="17"/>
        <v>27.8</v>
      </c>
      <c r="AR100" s="634">
        <f t="shared" si="32"/>
        <v>12</v>
      </c>
      <c r="AS100" s="634">
        <f t="shared" si="33"/>
        <v>15.332161859999999</v>
      </c>
      <c r="AT100" s="635">
        <f t="shared" si="18"/>
        <v>27.8</v>
      </c>
      <c r="AU100" s="618"/>
      <c r="AV100" s="618"/>
      <c r="AW100" s="613"/>
      <c r="AX100" s="613"/>
    </row>
    <row r="101" spans="1:50" s="636" customFormat="1" ht="18.75" customHeight="1" x14ac:dyDescent="0.35">
      <c r="A101" s="588" t="s">
        <v>371</v>
      </c>
      <c r="B101" s="822">
        <v>7.6779999999999999</v>
      </c>
      <c r="C101" s="822">
        <v>5.91</v>
      </c>
      <c r="D101" s="635">
        <f>IF(B101=0, "    ---- ", IF(ABS(ROUND(100/B101*C101-100,1))&lt;999,ROUND(100/B101*C101-100,1),IF(ROUND(100/B101*C101-100,1)&gt;999,999,-999)))</f>
        <v>-23</v>
      </c>
      <c r="E101" s="822">
        <v>-18</v>
      </c>
      <c r="F101" s="822"/>
      <c r="G101" s="635"/>
      <c r="H101" s="822">
        <v>12</v>
      </c>
      <c r="I101" s="822">
        <v>-136.431452086159</v>
      </c>
      <c r="J101" s="635">
        <f t="shared" si="43"/>
        <v>-999</v>
      </c>
      <c r="K101" s="822"/>
      <c r="L101" s="822"/>
      <c r="M101" s="635"/>
      <c r="N101" s="822"/>
      <c r="O101" s="822"/>
      <c r="P101" s="635"/>
      <c r="Q101" s="822"/>
      <c r="R101" s="822"/>
      <c r="S101" s="634"/>
      <c r="T101" s="822"/>
      <c r="U101" s="822"/>
      <c r="V101" s="635"/>
      <c r="W101" s="822"/>
      <c r="X101" s="822"/>
      <c r="Y101" s="635"/>
      <c r="Z101" s="822">
        <v>-102.23</v>
      </c>
      <c r="AA101" s="822">
        <v>-141.4</v>
      </c>
      <c r="AB101" s="635">
        <f t="shared" ref="AB101:AB106" si="44">IF(Z101=0, "    ---- ", IF(ABS(ROUND(100/Z101*AA101-100,1))&lt;999,ROUND(100/Z101*AA101-100,1),IF(ROUND(100/Z101*AA101-100,1)&gt;999,999,-999)))</f>
        <v>38.299999999999997</v>
      </c>
      <c r="AC101" s="822"/>
      <c r="AD101" s="822"/>
      <c r="AE101" s="635"/>
      <c r="AF101" s="822"/>
      <c r="AG101" s="822"/>
      <c r="AH101" s="635"/>
      <c r="AI101" s="822">
        <v>-2</v>
      </c>
      <c r="AJ101" s="822"/>
      <c r="AK101" s="635">
        <f t="shared" ref="AK101:AK106" si="45">IF(AI101=0, "    ---- ", IF(ABS(ROUND(100/AI101*AJ101-100,1))&lt;999,ROUND(100/AI101*AJ101-100,1),IF(ROUND(100/AI101*AJ101-100,1)&gt;999,999,-999)))</f>
        <v>-100</v>
      </c>
      <c r="AL101" s="822">
        <v>-16</v>
      </c>
      <c r="AM101" s="822">
        <v>0</v>
      </c>
      <c r="AN101" s="635">
        <f t="shared" ref="AN101:AN106" si="46">IF(AL101=0, "    ---- ", IF(ABS(ROUND(100/AL101*AM101-100,1))&lt;999,ROUND(100/AL101*AM101-100,1),IF(ROUND(100/AL101*AM101-100,1)&gt;999,999,-999)))</f>
        <v>-100</v>
      </c>
      <c r="AO101" s="634">
        <f t="shared" si="41"/>
        <v>-118.55200000000001</v>
      </c>
      <c r="AP101" s="634">
        <f t="shared" si="42"/>
        <v>-271.92145208615898</v>
      </c>
      <c r="AQ101" s="635">
        <f t="shared" si="17"/>
        <v>129.4</v>
      </c>
      <c r="AR101" s="634">
        <f t="shared" si="32"/>
        <v>-118.55200000000001</v>
      </c>
      <c r="AS101" s="634">
        <f t="shared" si="33"/>
        <v>-271.92145208615898</v>
      </c>
      <c r="AT101" s="635">
        <f t="shared" si="18"/>
        <v>129.4</v>
      </c>
      <c r="AU101" s="618"/>
      <c r="AV101" s="618"/>
      <c r="AW101" s="613"/>
      <c r="AX101" s="613"/>
    </row>
    <row r="102" spans="1:50" s="636" customFormat="1" ht="18.75" customHeight="1" x14ac:dyDescent="0.35">
      <c r="A102" s="588" t="s">
        <v>372</v>
      </c>
      <c r="B102" s="828"/>
      <c r="C102" s="828"/>
      <c r="D102" s="634"/>
      <c r="E102" s="828"/>
      <c r="F102" s="828"/>
      <c r="G102" s="635"/>
      <c r="H102" s="828"/>
      <c r="I102" s="828"/>
      <c r="J102" s="635"/>
      <c r="K102" s="828"/>
      <c r="L102" s="828"/>
      <c r="M102" s="635"/>
      <c r="N102" s="828"/>
      <c r="O102" s="828"/>
      <c r="P102" s="635"/>
      <c r="Q102" s="828"/>
      <c r="R102" s="828"/>
      <c r="S102" s="634"/>
      <c r="T102" s="828"/>
      <c r="U102" s="828"/>
      <c r="V102" s="635"/>
      <c r="W102" s="828"/>
      <c r="X102" s="828"/>
      <c r="Y102" s="635"/>
      <c r="Z102" s="828"/>
      <c r="AA102" s="828"/>
      <c r="AB102" s="635"/>
      <c r="AC102" s="828"/>
      <c r="AD102" s="828"/>
      <c r="AE102" s="635"/>
      <c r="AF102" s="828"/>
      <c r="AG102" s="828"/>
      <c r="AH102" s="635"/>
      <c r="AI102" s="828"/>
      <c r="AJ102" s="828"/>
      <c r="AK102" s="635"/>
      <c r="AL102" s="828"/>
      <c r="AM102" s="828"/>
      <c r="AN102" s="635"/>
      <c r="AO102" s="634">
        <f t="shared" si="41"/>
        <v>0</v>
      </c>
      <c r="AP102" s="634">
        <f t="shared" si="42"/>
        <v>0</v>
      </c>
      <c r="AQ102" s="635" t="str">
        <f t="shared" si="17"/>
        <v xml:space="preserve">    ---- </v>
      </c>
      <c r="AR102" s="634">
        <f t="shared" si="32"/>
        <v>0</v>
      </c>
      <c r="AS102" s="634">
        <f t="shared" si="33"/>
        <v>0</v>
      </c>
      <c r="AT102" s="635" t="str">
        <f t="shared" si="18"/>
        <v xml:space="preserve">    ---- </v>
      </c>
      <c r="AU102" s="618"/>
      <c r="AV102" s="618"/>
      <c r="AW102" s="613"/>
      <c r="AX102" s="613"/>
    </row>
    <row r="103" spans="1:50" s="636" customFormat="1" ht="18.75" customHeight="1" x14ac:dyDescent="0.35">
      <c r="A103" s="588" t="s">
        <v>373</v>
      </c>
      <c r="B103" s="828"/>
      <c r="C103" s="828"/>
      <c r="D103" s="634"/>
      <c r="E103" s="828"/>
      <c r="F103" s="828"/>
      <c r="G103" s="635"/>
      <c r="H103" s="828"/>
      <c r="I103" s="828"/>
      <c r="J103" s="635"/>
      <c r="K103" s="828"/>
      <c r="L103" s="828"/>
      <c r="M103" s="635"/>
      <c r="N103" s="828"/>
      <c r="O103" s="828"/>
      <c r="P103" s="635"/>
      <c r="Q103" s="828"/>
      <c r="R103" s="828"/>
      <c r="S103" s="634"/>
      <c r="T103" s="828"/>
      <c r="U103" s="828"/>
      <c r="V103" s="635"/>
      <c r="W103" s="828"/>
      <c r="X103" s="828"/>
      <c r="Y103" s="635"/>
      <c r="Z103" s="828">
        <v>-4</v>
      </c>
      <c r="AA103" s="828">
        <v>0</v>
      </c>
      <c r="AB103" s="635">
        <f t="shared" si="44"/>
        <v>-100</v>
      </c>
      <c r="AC103" s="828"/>
      <c r="AD103" s="828"/>
      <c r="AE103" s="635"/>
      <c r="AF103" s="828"/>
      <c r="AG103" s="828"/>
      <c r="AH103" s="635"/>
      <c r="AI103" s="828"/>
      <c r="AJ103" s="828"/>
      <c r="AK103" s="635"/>
      <c r="AL103" s="828"/>
      <c r="AM103" s="828"/>
      <c r="AN103" s="635"/>
      <c r="AO103" s="634">
        <f t="shared" si="41"/>
        <v>-4</v>
      </c>
      <c r="AP103" s="634">
        <f t="shared" si="42"/>
        <v>0</v>
      </c>
      <c r="AQ103" s="635">
        <f t="shared" si="17"/>
        <v>-100</v>
      </c>
      <c r="AR103" s="634">
        <f t="shared" si="32"/>
        <v>-4</v>
      </c>
      <c r="AS103" s="634">
        <f t="shared" si="33"/>
        <v>0</v>
      </c>
      <c r="AT103" s="635">
        <f t="shared" si="18"/>
        <v>-100</v>
      </c>
      <c r="AU103" s="618"/>
      <c r="AV103" s="618"/>
      <c r="AW103" s="613"/>
      <c r="AX103" s="613"/>
    </row>
    <row r="104" spans="1:50" s="639" customFormat="1" ht="18.75" customHeight="1" x14ac:dyDescent="0.35">
      <c r="A104" s="583" t="s">
        <v>374</v>
      </c>
      <c r="B104" s="830">
        <f>SUM(B96:B101)+B103</f>
        <v>3.2589999999999995</v>
      </c>
      <c r="C104" s="830">
        <f>SUM(C96:C101)+C103</f>
        <v>2.8099999999999996</v>
      </c>
      <c r="D104" s="635">
        <f>IF(B104=0, "    ---- ", IF(ABS(ROUND(100/B104*C104-100,1))&lt;999,ROUND(100/B104*C104-100,1),IF(ROUND(100/B104*C104-100,1)&gt;999,999,-999)))</f>
        <v>-13.8</v>
      </c>
      <c r="E104" s="830">
        <f>SUM(E96:E101)+E103</f>
        <v>-13</v>
      </c>
      <c r="F104" s="830"/>
      <c r="G104" s="633"/>
      <c r="H104" s="830">
        <f>SUM(H96:H101)+H103</f>
        <v>3.3999999999999986</v>
      </c>
      <c r="I104" s="830">
        <f>SUM(I96:I101)+I103</f>
        <v>-136.66722784544558</v>
      </c>
      <c r="J104" s="633">
        <f t="shared" si="43"/>
        <v>-999</v>
      </c>
      <c r="K104" s="830"/>
      <c r="L104" s="830"/>
      <c r="M104" s="633"/>
      <c r="N104" s="830"/>
      <c r="O104" s="830"/>
      <c r="P104" s="633"/>
      <c r="Q104" s="830"/>
      <c r="R104" s="830"/>
      <c r="S104" s="632"/>
      <c r="T104" s="830"/>
      <c r="U104" s="830"/>
      <c r="V104" s="633"/>
      <c r="W104" s="830"/>
      <c r="X104" s="830"/>
      <c r="Y104" s="633"/>
      <c r="Z104" s="830">
        <f>SUM(Z96:Z101)+Z103</f>
        <v>-177.13</v>
      </c>
      <c r="AA104" s="830">
        <f>SUM(AA96:AA101)+AA103</f>
        <v>-149.04000000000002</v>
      </c>
      <c r="AB104" s="633">
        <f t="shared" si="44"/>
        <v>-15.9</v>
      </c>
      <c r="AC104" s="830"/>
      <c r="AD104" s="830"/>
      <c r="AE104" s="633"/>
      <c r="AF104" s="830"/>
      <c r="AG104" s="830"/>
      <c r="AH104" s="633"/>
      <c r="AI104" s="830">
        <f>SUM(AI96:AI101)+AI103</f>
        <v>-18</v>
      </c>
      <c r="AJ104" s="830">
        <f>SUM(AJ96:AJ101)+AJ103</f>
        <v>0</v>
      </c>
      <c r="AK104" s="633">
        <f t="shared" si="45"/>
        <v>-100</v>
      </c>
      <c r="AL104" s="830">
        <v>6</v>
      </c>
      <c r="AM104" s="830">
        <f>SUM(AM96:AM101)+AM103</f>
        <v>23</v>
      </c>
      <c r="AN104" s="633">
        <f t="shared" si="46"/>
        <v>283.3</v>
      </c>
      <c r="AO104" s="632">
        <f t="shared" si="41"/>
        <v>-195.471</v>
      </c>
      <c r="AP104" s="632">
        <f t="shared" si="42"/>
        <v>-259.89722784544563</v>
      </c>
      <c r="AQ104" s="633">
        <f t="shared" si="17"/>
        <v>33</v>
      </c>
      <c r="AR104" s="632">
        <f t="shared" si="32"/>
        <v>-195.471</v>
      </c>
      <c r="AS104" s="632">
        <f t="shared" si="33"/>
        <v>-259.89722784544563</v>
      </c>
      <c r="AT104" s="633">
        <f t="shared" si="18"/>
        <v>33</v>
      </c>
      <c r="AU104" s="637" t="e">
        <f>B104,C104,H104,I104,N104,O104,Q104,R104,T104,U104,W104,X104,E104,F104,Z104,AA104,AC104,AD104,AF104,AG104,#REF!,#REF!,AI104,AJ104,AL104,AM104,AO104,AP104,AR104,AS104</f>
        <v>#REF!</v>
      </c>
      <c r="AV104" s="616"/>
      <c r="AW104" s="638"/>
      <c r="AX104" s="638"/>
    </row>
    <row r="105" spans="1:50" s="636" customFormat="1" ht="18.75" customHeight="1" x14ac:dyDescent="0.35">
      <c r="A105" s="588" t="s">
        <v>375</v>
      </c>
      <c r="B105" s="828"/>
      <c r="C105" s="828"/>
      <c r="D105" s="634"/>
      <c r="E105" s="828">
        <v>2</v>
      </c>
      <c r="F105" s="828"/>
      <c r="G105" s="635"/>
      <c r="H105" s="828">
        <v>0</v>
      </c>
      <c r="I105" s="828">
        <v>3.8064078327654398</v>
      </c>
      <c r="J105" s="635" t="str">
        <f t="shared" si="43"/>
        <v xml:space="preserve">    ---- </v>
      </c>
      <c r="K105" s="828"/>
      <c r="L105" s="828"/>
      <c r="M105" s="635"/>
      <c r="N105" s="828"/>
      <c r="O105" s="828"/>
      <c r="P105" s="635"/>
      <c r="Q105" s="828"/>
      <c r="R105" s="828"/>
      <c r="S105" s="634"/>
      <c r="T105" s="828"/>
      <c r="U105" s="828"/>
      <c r="V105" s="635"/>
      <c r="W105" s="828"/>
      <c r="X105" s="828"/>
      <c r="Y105" s="635"/>
      <c r="Z105" s="828">
        <v>-10.19</v>
      </c>
      <c r="AA105" s="828">
        <v>-9.32</v>
      </c>
      <c r="AB105" s="635">
        <f t="shared" si="44"/>
        <v>-8.5</v>
      </c>
      <c r="AC105" s="828"/>
      <c r="AD105" s="828"/>
      <c r="AE105" s="635"/>
      <c r="AF105" s="828"/>
      <c r="AG105" s="828"/>
      <c r="AH105" s="635"/>
      <c r="AI105" s="828"/>
      <c r="AJ105" s="828"/>
      <c r="AK105" s="635"/>
      <c r="AL105" s="828">
        <v>30</v>
      </c>
      <c r="AM105" s="828">
        <v>29</v>
      </c>
      <c r="AN105" s="635">
        <f t="shared" si="46"/>
        <v>-3.3</v>
      </c>
      <c r="AO105" s="634">
        <f t="shared" si="41"/>
        <v>21.810000000000002</v>
      </c>
      <c r="AP105" s="634">
        <f t="shared" si="42"/>
        <v>23.48640783276544</v>
      </c>
      <c r="AQ105" s="635">
        <f t="shared" si="17"/>
        <v>7.7</v>
      </c>
      <c r="AR105" s="634">
        <f t="shared" si="32"/>
        <v>21.810000000000002</v>
      </c>
      <c r="AS105" s="634">
        <f t="shared" si="33"/>
        <v>23.48640783276544</v>
      </c>
      <c r="AT105" s="635">
        <f t="shared" si="18"/>
        <v>7.7</v>
      </c>
      <c r="AU105" s="618"/>
      <c r="AV105" s="618"/>
      <c r="AW105" s="613"/>
      <c r="AX105" s="613"/>
    </row>
    <row r="106" spans="1:50" s="636" customFormat="1" ht="18.75" customHeight="1" x14ac:dyDescent="0.35">
      <c r="A106" s="588" t="s">
        <v>376</v>
      </c>
      <c r="B106" s="828">
        <v>3.258</v>
      </c>
      <c r="C106" s="828">
        <v>2.8090000000000002</v>
      </c>
      <c r="D106" s="635">
        <f>IF(B106=0, "    ---- ", IF(ABS(ROUND(100/B106*C106-100,1))&lt;999,ROUND(100/B106*C106-100,1),IF(ROUND(100/B106*C106-100,1)&gt;999,999,-999)))</f>
        <v>-13.8</v>
      </c>
      <c r="E106" s="828">
        <v>-15</v>
      </c>
      <c r="F106" s="828"/>
      <c r="G106" s="635"/>
      <c r="H106" s="828">
        <v>3.4</v>
      </c>
      <c r="I106" s="828">
        <v>-140.47363567821088</v>
      </c>
      <c r="J106" s="635">
        <f t="shared" si="43"/>
        <v>-999</v>
      </c>
      <c r="K106" s="828"/>
      <c r="L106" s="828"/>
      <c r="M106" s="635"/>
      <c r="N106" s="828"/>
      <c r="O106" s="828"/>
      <c r="P106" s="635"/>
      <c r="Q106" s="828"/>
      <c r="R106" s="828"/>
      <c r="S106" s="634"/>
      <c r="T106" s="828"/>
      <c r="U106" s="828"/>
      <c r="V106" s="635"/>
      <c r="W106" s="828"/>
      <c r="X106" s="828"/>
      <c r="Y106" s="635"/>
      <c r="Z106" s="828">
        <v>-166.94</v>
      </c>
      <c r="AA106" s="828">
        <v>-139.72</v>
      </c>
      <c r="AB106" s="635">
        <f t="shared" si="44"/>
        <v>-16.3</v>
      </c>
      <c r="AC106" s="828"/>
      <c r="AD106" s="828"/>
      <c r="AE106" s="635"/>
      <c r="AF106" s="828"/>
      <c r="AG106" s="828"/>
      <c r="AH106" s="635"/>
      <c r="AI106" s="828">
        <v>-18</v>
      </c>
      <c r="AJ106" s="828"/>
      <c r="AK106" s="635">
        <f t="shared" si="45"/>
        <v>-100</v>
      </c>
      <c r="AL106" s="828">
        <v>-24</v>
      </c>
      <c r="AM106" s="828">
        <v>-6</v>
      </c>
      <c r="AN106" s="635">
        <f t="shared" si="46"/>
        <v>-75</v>
      </c>
      <c r="AO106" s="634">
        <f t="shared" si="41"/>
        <v>-217.28200000000001</v>
      </c>
      <c r="AP106" s="634">
        <f t="shared" si="42"/>
        <v>-283.38463567821088</v>
      </c>
      <c r="AQ106" s="635">
        <f t="shared" si="17"/>
        <v>30.4</v>
      </c>
      <c r="AR106" s="634">
        <f t="shared" si="32"/>
        <v>-217.28200000000001</v>
      </c>
      <c r="AS106" s="634">
        <f t="shared" si="33"/>
        <v>-283.38463567821088</v>
      </c>
      <c r="AT106" s="635">
        <f t="shared" si="18"/>
        <v>30.4</v>
      </c>
      <c r="AU106" s="618"/>
      <c r="AV106" s="618"/>
      <c r="AW106" s="613"/>
      <c r="AX106" s="613"/>
    </row>
    <row r="107" spans="1:50" s="644" customFormat="1" ht="18.75" customHeight="1" x14ac:dyDescent="0.35">
      <c r="A107" s="640" t="s">
        <v>394</v>
      </c>
      <c r="B107" s="828"/>
      <c r="C107" s="828"/>
      <c r="D107" s="634"/>
      <c r="E107" s="828"/>
      <c r="F107" s="828"/>
      <c r="G107" s="635"/>
      <c r="H107" s="828"/>
      <c r="I107" s="828"/>
      <c r="J107" s="635"/>
      <c r="K107" s="828"/>
      <c r="L107" s="828"/>
      <c r="M107" s="635"/>
      <c r="N107" s="828"/>
      <c r="O107" s="828"/>
      <c r="P107" s="635"/>
      <c r="Q107" s="828"/>
      <c r="R107" s="828"/>
      <c r="S107" s="634"/>
      <c r="T107" s="828"/>
      <c r="U107" s="828"/>
      <c r="V107" s="635"/>
      <c r="W107" s="828"/>
      <c r="X107" s="828"/>
      <c r="Y107" s="635"/>
      <c r="Z107" s="828"/>
      <c r="AA107" s="828"/>
      <c r="AB107" s="635"/>
      <c r="AC107" s="828"/>
      <c r="AD107" s="828"/>
      <c r="AE107" s="635"/>
      <c r="AF107" s="828"/>
      <c r="AG107" s="828"/>
      <c r="AH107" s="635"/>
      <c r="AI107" s="828"/>
      <c r="AJ107" s="828"/>
      <c r="AK107" s="635"/>
      <c r="AL107" s="828"/>
      <c r="AM107" s="828"/>
      <c r="AN107" s="635"/>
      <c r="AO107" s="634"/>
      <c r="AP107" s="634"/>
      <c r="AQ107" s="635"/>
      <c r="AR107" s="634">
        <f t="shared" si="32"/>
        <v>0</v>
      </c>
      <c r="AS107" s="634">
        <f t="shared" si="33"/>
        <v>0</v>
      </c>
      <c r="AT107" s="635"/>
      <c r="AU107" s="642"/>
      <c r="AV107" s="642"/>
      <c r="AW107" s="643"/>
      <c r="AX107" s="643"/>
    </row>
    <row r="108" spans="1:50" s="644" customFormat="1" ht="18.75" customHeight="1" x14ac:dyDescent="0.35">
      <c r="A108" s="641" t="s">
        <v>366</v>
      </c>
      <c r="B108" s="828"/>
      <c r="C108" s="828"/>
      <c r="D108" s="634"/>
      <c r="E108" s="828"/>
      <c r="F108" s="828"/>
      <c r="G108" s="635"/>
      <c r="H108" s="828"/>
      <c r="I108" s="828"/>
      <c r="J108" s="635"/>
      <c r="K108" s="828"/>
      <c r="L108" s="828"/>
      <c r="M108" s="635"/>
      <c r="N108" s="828"/>
      <c r="O108" s="828"/>
      <c r="P108" s="635"/>
      <c r="Q108" s="828"/>
      <c r="R108" s="828"/>
      <c r="S108" s="634"/>
      <c r="T108" s="828"/>
      <c r="U108" s="828"/>
      <c r="V108" s="635"/>
      <c r="W108" s="828"/>
      <c r="X108" s="828"/>
      <c r="Y108" s="635"/>
      <c r="Z108" s="828"/>
      <c r="AA108" s="828"/>
      <c r="AB108" s="635"/>
      <c r="AC108" s="828"/>
      <c r="AD108" s="828"/>
      <c r="AE108" s="635"/>
      <c r="AF108" s="828"/>
      <c r="AG108" s="828"/>
      <c r="AH108" s="635"/>
      <c r="AI108" s="828"/>
      <c r="AJ108" s="828"/>
      <c r="AK108" s="635"/>
      <c r="AL108" s="828">
        <v>5</v>
      </c>
      <c r="AM108" s="828">
        <v>8</v>
      </c>
      <c r="AN108" s="635">
        <f t="shared" ref="AN108:AN118" si="47">IF(AL108=0, "    ---- ", IF(ABS(ROUND(100/AL108*AM108-100,1))&lt;999,ROUND(100/AL108*AM108-100,1),IF(ROUND(100/AL108*AM108-100,1)&gt;999,999,-999)))</f>
        <v>60</v>
      </c>
      <c r="AO108" s="634">
        <f t="shared" ref="AO108:AO118" si="48">B108+H108+K108+N108+Q108+W108+E108+Z108+AC108+AI108+AL108</f>
        <v>5</v>
      </c>
      <c r="AP108" s="634">
        <f t="shared" ref="AP108:AP118" si="49">C108+I108+L108+O108+R108+X108+F108+AA108+AD108+AJ108+AM108</f>
        <v>8</v>
      </c>
      <c r="AQ108" s="635">
        <f t="shared" ref="AQ108:AQ118" si="50">IF(AO108=0, "    ---- ", IF(ABS(ROUND(100/AO108*AP108-100,1))&lt;999,ROUND(100/AO108*AP108-100,1),IF(ROUND(100/AO108*AP108-100,1)&gt;999,999,-999)))</f>
        <v>60</v>
      </c>
      <c r="AR108" s="634">
        <f t="shared" ref="AR108:AR144" si="51">+B108+H108+K108+N108+Q108+T108+W108+E108+Z108+AC108+AF108+AI108+AL108</f>
        <v>5</v>
      </c>
      <c r="AS108" s="634">
        <f t="shared" ref="AS108:AS144" si="52">+C108+I108+L108+O108+R108+U108+X108+F108+AA108+AD108+AG108+AJ108+AM108</f>
        <v>8</v>
      </c>
      <c r="AT108" s="635">
        <f t="shared" ref="AT108:AT118" si="53">IF(AR108=0, "    ---- ", IF(ABS(ROUND(100/AR108*AS108-100,1))&lt;999,ROUND(100/AR108*AS108-100,1),IF(ROUND(100/AR108*AS108-100,1)&gt;999,999,-999)))</f>
        <v>60</v>
      </c>
      <c r="AU108" s="642"/>
      <c r="AV108" s="642"/>
      <c r="AW108" s="643"/>
      <c r="AX108" s="643"/>
    </row>
    <row r="109" spans="1:50" s="644" customFormat="1" ht="18.75" customHeight="1" x14ac:dyDescent="0.35">
      <c r="A109" s="641" t="s">
        <v>367</v>
      </c>
      <c r="B109" s="828"/>
      <c r="C109" s="828"/>
      <c r="D109" s="634"/>
      <c r="E109" s="828"/>
      <c r="F109" s="828"/>
      <c r="G109" s="635"/>
      <c r="H109" s="828"/>
      <c r="I109" s="828"/>
      <c r="J109" s="635"/>
      <c r="K109" s="828"/>
      <c r="L109" s="828"/>
      <c r="M109" s="635"/>
      <c r="N109" s="828"/>
      <c r="O109" s="828"/>
      <c r="P109" s="635"/>
      <c r="Q109" s="828"/>
      <c r="R109" s="828"/>
      <c r="S109" s="634"/>
      <c r="T109" s="828"/>
      <c r="U109" s="828"/>
      <c r="V109" s="635"/>
      <c r="W109" s="828"/>
      <c r="X109" s="828"/>
      <c r="Y109" s="635"/>
      <c r="Z109" s="828"/>
      <c r="AA109" s="828"/>
      <c r="AB109" s="635"/>
      <c r="AC109" s="828"/>
      <c r="AD109" s="828"/>
      <c r="AE109" s="635"/>
      <c r="AF109" s="828"/>
      <c r="AG109" s="828"/>
      <c r="AH109" s="635"/>
      <c r="AI109" s="828"/>
      <c r="AJ109" s="828"/>
      <c r="AK109" s="635"/>
      <c r="AL109" s="828"/>
      <c r="AM109" s="828"/>
      <c r="AN109" s="635"/>
      <c r="AO109" s="634">
        <f t="shared" si="48"/>
        <v>0</v>
      </c>
      <c r="AP109" s="634">
        <f t="shared" si="49"/>
        <v>0</v>
      </c>
      <c r="AQ109" s="635" t="str">
        <f t="shared" si="50"/>
        <v xml:space="preserve">    ---- </v>
      </c>
      <c r="AR109" s="634">
        <f t="shared" si="51"/>
        <v>0</v>
      </c>
      <c r="AS109" s="634">
        <f t="shared" si="52"/>
        <v>0</v>
      </c>
      <c r="AT109" s="635" t="str">
        <f t="shared" si="53"/>
        <v xml:space="preserve">    ---- </v>
      </c>
      <c r="AU109" s="642"/>
      <c r="AV109" s="642"/>
      <c r="AW109" s="643"/>
      <c r="AX109" s="643"/>
    </row>
    <row r="110" spans="1:50" s="644" customFormat="1" ht="18.75" customHeight="1" x14ac:dyDescent="0.35">
      <c r="A110" s="641" t="s">
        <v>368</v>
      </c>
      <c r="B110" s="828"/>
      <c r="C110" s="828"/>
      <c r="D110" s="634"/>
      <c r="E110" s="828"/>
      <c r="F110" s="828"/>
      <c r="G110" s="635"/>
      <c r="H110" s="828"/>
      <c r="I110" s="828"/>
      <c r="J110" s="635"/>
      <c r="K110" s="828"/>
      <c r="L110" s="828"/>
      <c r="M110" s="635"/>
      <c r="N110" s="828"/>
      <c r="O110" s="828"/>
      <c r="P110" s="635"/>
      <c r="Q110" s="828"/>
      <c r="R110" s="828"/>
      <c r="S110" s="634"/>
      <c r="T110" s="828"/>
      <c r="U110" s="828"/>
      <c r="V110" s="635"/>
      <c r="W110" s="828"/>
      <c r="X110" s="828"/>
      <c r="Y110" s="635"/>
      <c r="Z110" s="828"/>
      <c r="AA110" s="828"/>
      <c r="AB110" s="635"/>
      <c r="AC110" s="828"/>
      <c r="AD110" s="828"/>
      <c r="AE110" s="635"/>
      <c r="AF110" s="828"/>
      <c r="AG110" s="828"/>
      <c r="AH110" s="635"/>
      <c r="AI110" s="828"/>
      <c r="AJ110" s="828"/>
      <c r="AK110" s="635"/>
      <c r="AL110" s="828"/>
      <c r="AM110" s="828">
        <v>1</v>
      </c>
      <c r="AN110" s="635" t="str">
        <f t="shared" si="47"/>
        <v xml:space="preserve">    ---- </v>
      </c>
      <c r="AO110" s="634">
        <f t="shared" si="48"/>
        <v>0</v>
      </c>
      <c r="AP110" s="634">
        <f t="shared" si="49"/>
        <v>1</v>
      </c>
      <c r="AQ110" s="635" t="str">
        <f t="shared" si="50"/>
        <v xml:space="preserve">    ---- </v>
      </c>
      <c r="AR110" s="634">
        <f t="shared" si="51"/>
        <v>0</v>
      </c>
      <c r="AS110" s="634">
        <f t="shared" si="52"/>
        <v>1</v>
      </c>
      <c r="AT110" s="635" t="str">
        <f t="shared" si="53"/>
        <v xml:space="preserve">    ---- </v>
      </c>
      <c r="AU110" s="642"/>
      <c r="AV110" s="642"/>
      <c r="AW110" s="643"/>
      <c r="AX110" s="643"/>
    </row>
    <row r="111" spans="1:50" s="644" customFormat="1" ht="18.75" customHeight="1" x14ac:dyDescent="0.35">
      <c r="A111" s="641" t="s">
        <v>369</v>
      </c>
      <c r="B111" s="828"/>
      <c r="C111" s="828"/>
      <c r="D111" s="634"/>
      <c r="E111" s="828"/>
      <c r="F111" s="828"/>
      <c r="G111" s="635"/>
      <c r="H111" s="828"/>
      <c r="I111" s="828"/>
      <c r="J111" s="635"/>
      <c r="K111" s="828"/>
      <c r="L111" s="828"/>
      <c r="M111" s="635"/>
      <c r="N111" s="828"/>
      <c r="O111" s="828"/>
      <c r="P111" s="635"/>
      <c r="Q111" s="828"/>
      <c r="R111" s="828"/>
      <c r="S111" s="634"/>
      <c r="T111" s="828"/>
      <c r="U111" s="828"/>
      <c r="V111" s="635"/>
      <c r="W111" s="828"/>
      <c r="X111" s="828"/>
      <c r="Y111" s="635"/>
      <c r="Z111" s="828"/>
      <c r="AA111" s="828"/>
      <c r="AB111" s="635"/>
      <c r="AC111" s="828"/>
      <c r="AD111" s="828"/>
      <c r="AE111" s="635"/>
      <c r="AF111" s="828"/>
      <c r="AG111" s="828"/>
      <c r="AH111" s="635"/>
      <c r="AI111" s="828"/>
      <c r="AJ111" s="828"/>
      <c r="AK111" s="635"/>
      <c r="AL111" s="828"/>
      <c r="AM111" s="828"/>
      <c r="AN111" s="635"/>
      <c r="AO111" s="634">
        <f t="shared" si="48"/>
        <v>0</v>
      </c>
      <c r="AP111" s="634">
        <f t="shared" si="49"/>
        <v>0</v>
      </c>
      <c r="AQ111" s="635" t="str">
        <f t="shared" si="50"/>
        <v xml:space="preserve">    ---- </v>
      </c>
      <c r="AR111" s="634">
        <f t="shared" si="51"/>
        <v>0</v>
      </c>
      <c r="AS111" s="634">
        <f t="shared" si="52"/>
        <v>0</v>
      </c>
      <c r="AT111" s="635" t="str">
        <f t="shared" si="53"/>
        <v xml:space="preserve">    ---- </v>
      </c>
      <c r="AU111" s="642"/>
      <c r="AV111" s="642"/>
      <c r="AW111" s="643"/>
      <c r="AX111" s="643"/>
    </row>
    <row r="112" spans="1:50" s="644" customFormat="1" ht="18.75" customHeight="1" x14ac:dyDescent="0.35">
      <c r="A112" s="641" t="s">
        <v>370</v>
      </c>
      <c r="B112" s="828"/>
      <c r="C112" s="828"/>
      <c r="D112" s="634"/>
      <c r="E112" s="828"/>
      <c r="F112" s="828"/>
      <c r="G112" s="635"/>
      <c r="H112" s="828"/>
      <c r="I112" s="828"/>
      <c r="J112" s="635"/>
      <c r="K112" s="828"/>
      <c r="L112" s="828"/>
      <c r="M112" s="635"/>
      <c r="N112" s="828"/>
      <c r="O112" s="828"/>
      <c r="P112" s="635"/>
      <c r="Q112" s="828"/>
      <c r="R112" s="828"/>
      <c r="S112" s="634"/>
      <c r="T112" s="828"/>
      <c r="U112" s="828"/>
      <c r="V112" s="635"/>
      <c r="W112" s="828"/>
      <c r="X112" s="828"/>
      <c r="Y112" s="635"/>
      <c r="Z112" s="828"/>
      <c r="AA112" s="828"/>
      <c r="AB112" s="635"/>
      <c r="AC112" s="828"/>
      <c r="AD112" s="828"/>
      <c r="AE112" s="635"/>
      <c r="AF112" s="828"/>
      <c r="AG112" s="828"/>
      <c r="AH112" s="635"/>
      <c r="AI112" s="828"/>
      <c r="AJ112" s="828"/>
      <c r="AK112" s="635"/>
      <c r="AL112" s="828"/>
      <c r="AM112" s="828"/>
      <c r="AN112" s="635"/>
      <c r="AO112" s="634">
        <f t="shared" si="48"/>
        <v>0</v>
      </c>
      <c r="AP112" s="634">
        <f t="shared" si="49"/>
        <v>0</v>
      </c>
      <c r="AQ112" s="635" t="str">
        <f t="shared" si="50"/>
        <v xml:space="preserve">    ---- </v>
      </c>
      <c r="AR112" s="634">
        <f t="shared" si="51"/>
        <v>0</v>
      </c>
      <c r="AS112" s="634">
        <f t="shared" si="52"/>
        <v>0</v>
      </c>
      <c r="AT112" s="635" t="str">
        <f t="shared" si="53"/>
        <v xml:space="preserve">    ---- </v>
      </c>
      <c r="AU112" s="642"/>
      <c r="AV112" s="642"/>
      <c r="AW112" s="643"/>
      <c r="AX112" s="643"/>
    </row>
    <row r="113" spans="1:50" s="644" customFormat="1" ht="18.75" customHeight="1" x14ac:dyDescent="0.35">
      <c r="A113" s="641" t="s">
        <v>371</v>
      </c>
      <c r="B113" s="828"/>
      <c r="C113" s="828"/>
      <c r="D113" s="634"/>
      <c r="E113" s="828"/>
      <c r="F113" s="828"/>
      <c r="G113" s="635"/>
      <c r="H113" s="828"/>
      <c r="I113" s="828"/>
      <c r="J113" s="635"/>
      <c r="K113" s="828"/>
      <c r="L113" s="828"/>
      <c r="M113" s="635"/>
      <c r="N113" s="828"/>
      <c r="O113" s="828"/>
      <c r="P113" s="635"/>
      <c r="Q113" s="828"/>
      <c r="R113" s="828"/>
      <c r="S113" s="634"/>
      <c r="T113" s="828"/>
      <c r="U113" s="828"/>
      <c r="V113" s="635"/>
      <c r="W113" s="828"/>
      <c r="X113" s="828"/>
      <c r="Y113" s="635"/>
      <c r="Z113" s="828"/>
      <c r="AA113" s="828"/>
      <c r="AB113" s="635"/>
      <c r="AC113" s="828"/>
      <c r="AD113" s="828"/>
      <c r="AE113" s="635"/>
      <c r="AF113" s="828"/>
      <c r="AG113" s="828"/>
      <c r="AH113" s="635"/>
      <c r="AI113" s="828"/>
      <c r="AJ113" s="828"/>
      <c r="AK113" s="635"/>
      <c r="AL113" s="828"/>
      <c r="AM113" s="828"/>
      <c r="AN113" s="635"/>
      <c r="AO113" s="634">
        <f t="shared" si="48"/>
        <v>0</v>
      </c>
      <c r="AP113" s="634">
        <f t="shared" si="49"/>
        <v>0</v>
      </c>
      <c r="AQ113" s="635" t="str">
        <f t="shared" si="50"/>
        <v xml:space="preserve">    ---- </v>
      </c>
      <c r="AR113" s="634">
        <f t="shared" si="51"/>
        <v>0</v>
      </c>
      <c r="AS113" s="634">
        <f t="shared" si="52"/>
        <v>0</v>
      </c>
      <c r="AT113" s="635" t="str">
        <f t="shared" si="53"/>
        <v xml:space="preserve">    ---- </v>
      </c>
      <c r="AU113" s="642"/>
      <c r="AV113" s="642"/>
      <c r="AW113" s="643"/>
      <c r="AX113" s="643"/>
    </row>
    <row r="114" spans="1:50" s="644" customFormat="1" ht="18.75" customHeight="1" x14ac:dyDescent="0.35">
      <c r="A114" s="641" t="s">
        <v>372</v>
      </c>
      <c r="B114" s="828"/>
      <c r="C114" s="828"/>
      <c r="D114" s="634"/>
      <c r="E114" s="828"/>
      <c r="F114" s="828"/>
      <c r="G114" s="635"/>
      <c r="H114" s="828"/>
      <c r="I114" s="828"/>
      <c r="J114" s="635"/>
      <c r="K114" s="828"/>
      <c r="L114" s="828"/>
      <c r="M114" s="635"/>
      <c r="N114" s="828"/>
      <c r="O114" s="828"/>
      <c r="P114" s="635"/>
      <c r="Q114" s="828"/>
      <c r="R114" s="828"/>
      <c r="S114" s="634"/>
      <c r="T114" s="828"/>
      <c r="U114" s="828"/>
      <c r="V114" s="635"/>
      <c r="W114" s="828"/>
      <c r="X114" s="828"/>
      <c r="Y114" s="635"/>
      <c r="Z114" s="828"/>
      <c r="AA114" s="828"/>
      <c r="AB114" s="635"/>
      <c r="AC114" s="828"/>
      <c r="AD114" s="828"/>
      <c r="AE114" s="635"/>
      <c r="AF114" s="828"/>
      <c r="AG114" s="828"/>
      <c r="AH114" s="635"/>
      <c r="AI114" s="828"/>
      <c r="AJ114" s="828"/>
      <c r="AK114" s="635"/>
      <c r="AL114" s="828"/>
      <c r="AM114" s="828"/>
      <c r="AN114" s="635"/>
      <c r="AO114" s="634">
        <f t="shared" si="48"/>
        <v>0</v>
      </c>
      <c r="AP114" s="634">
        <f t="shared" si="49"/>
        <v>0</v>
      </c>
      <c r="AQ114" s="635" t="str">
        <f t="shared" si="50"/>
        <v xml:space="preserve">    ---- </v>
      </c>
      <c r="AR114" s="634">
        <f t="shared" si="51"/>
        <v>0</v>
      </c>
      <c r="AS114" s="634">
        <f t="shared" si="52"/>
        <v>0</v>
      </c>
      <c r="AT114" s="635" t="str">
        <f t="shared" si="53"/>
        <v xml:space="preserve">    ---- </v>
      </c>
      <c r="AU114" s="642"/>
      <c r="AV114" s="642"/>
      <c r="AW114" s="643"/>
      <c r="AX114" s="643"/>
    </row>
    <row r="115" spans="1:50" s="644" customFormat="1" ht="18.75" customHeight="1" x14ac:dyDescent="0.35">
      <c r="A115" s="641" t="s">
        <v>373</v>
      </c>
      <c r="B115" s="828"/>
      <c r="C115" s="828"/>
      <c r="D115" s="634"/>
      <c r="E115" s="828"/>
      <c r="F115" s="828"/>
      <c r="G115" s="635"/>
      <c r="H115" s="828"/>
      <c r="I115" s="828"/>
      <c r="J115" s="635"/>
      <c r="K115" s="828"/>
      <c r="L115" s="828"/>
      <c r="M115" s="635"/>
      <c r="N115" s="828"/>
      <c r="O115" s="828"/>
      <c r="P115" s="635"/>
      <c r="Q115" s="828"/>
      <c r="R115" s="828"/>
      <c r="S115" s="634"/>
      <c r="T115" s="828"/>
      <c r="U115" s="828"/>
      <c r="V115" s="635"/>
      <c r="W115" s="828"/>
      <c r="X115" s="828"/>
      <c r="Y115" s="635"/>
      <c r="Z115" s="828"/>
      <c r="AA115" s="828"/>
      <c r="AB115" s="635"/>
      <c r="AC115" s="828"/>
      <c r="AD115" s="828"/>
      <c r="AE115" s="635"/>
      <c r="AF115" s="828"/>
      <c r="AG115" s="828"/>
      <c r="AH115" s="635"/>
      <c r="AI115" s="828"/>
      <c r="AJ115" s="828"/>
      <c r="AK115" s="635"/>
      <c r="AL115" s="828"/>
      <c r="AM115" s="828"/>
      <c r="AN115" s="635"/>
      <c r="AO115" s="634">
        <f t="shared" si="48"/>
        <v>0</v>
      </c>
      <c r="AP115" s="634">
        <f t="shared" si="49"/>
        <v>0</v>
      </c>
      <c r="AQ115" s="635" t="str">
        <f t="shared" si="50"/>
        <v xml:space="preserve">    ---- </v>
      </c>
      <c r="AR115" s="634">
        <f t="shared" si="51"/>
        <v>0</v>
      </c>
      <c r="AS115" s="634">
        <f t="shared" si="52"/>
        <v>0</v>
      </c>
      <c r="AT115" s="635" t="str">
        <f t="shared" si="53"/>
        <v xml:space="preserve">    ---- </v>
      </c>
      <c r="AU115" s="642"/>
      <c r="AV115" s="642"/>
      <c r="AW115" s="643"/>
      <c r="AX115" s="643"/>
    </row>
    <row r="116" spans="1:50" s="647" customFormat="1" ht="18.75" customHeight="1" x14ac:dyDescent="0.3">
      <c r="A116" s="640" t="s">
        <v>374</v>
      </c>
      <c r="B116" s="830"/>
      <c r="C116" s="830"/>
      <c r="D116" s="632"/>
      <c r="E116" s="830"/>
      <c r="F116" s="830"/>
      <c r="G116" s="633"/>
      <c r="H116" s="830"/>
      <c r="I116" s="830"/>
      <c r="J116" s="633"/>
      <c r="K116" s="830"/>
      <c r="L116" s="830"/>
      <c r="M116" s="633"/>
      <c r="N116" s="830"/>
      <c r="O116" s="830"/>
      <c r="P116" s="633"/>
      <c r="Q116" s="830"/>
      <c r="R116" s="830"/>
      <c r="S116" s="632"/>
      <c r="T116" s="830"/>
      <c r="U116" s="830"/>
      <c r="V116" s="633"/>
      <c r="W116" s="830"/>
      <c r="X116" s="830"/>
      <c r="Y116" s="633"/>
      <c r="Z116" s="830"/>
      <c r="AA116" s="830"/>
      <c r="AB116" s="633"/>
      <c r="AC116" s="830"/>
      <c r="AD116" s="830"/>
      <c r="AE116" s="633"/>
      <c r="AF116" s="830"/>
      <c r="AG116" s="830"/>
      <c r="AH116" s="633"/>
      <c r="AI116" s="830"/>
      <c r="AJ116" s="830"/>
      <c r="AK116" s="633"/>
      <c r="AL116" s="830">
        <v>5</v>
      </c>
      <c r="AM116" s="830">
        <f>SUM(AM108:AM113)+AM115</f>
        <v>9</v>
      </c>
      <c r="AN116" s="633">
        <f t="shared" si="47"/>
        <v>80</v>
      </c>
      <c r="AO116" s="632">
        <f t="shared" si="48"/>
        <v>5</v>
      </c>
      <c r="AP116" s="632">
        <f t="shared" si="49"/>
        <v>9</v>
      </c>
      <c r="AQ116" s="633">
        <f t="shared" si="50"/>
        <v>80</v>
      </c>
      <c r="AR116" s="632">
        <f t="shared" si="51"/>
        <v>5</v>
      </c>
      <c r="AS116" s="632">
        <f t="shared" si="52"/>
        <v>9</v>
      </c>
      <c r="AT116" s="633">
        <f t="shared" si="53"/>
        <v>80</v>
      </c>
      <c r="AU116" s="637" t="e">
        <f>B116,C116,H116,I116,N116,O116,Q116,R116,T116,U116,W116,X116,E116,F116,Z116,AA116,AC116,AD116,AF116,AG116,#REF!,#REF!,AI116,AJ116,AL116,AM116,AO116,AP116,AR116,AS116</f>
        <v>#REF!</v>
      </c>
      <c r="AV116" s="645"/>
      <c r="AW116" s="646"/>
      <c r="AX116" s="646"/>
    </row>
    <row r="117" spans="1:50" s="644" customFormat="1" ht="18.75" customHeight="1" x14ac:dyDescent="0.35">
      <c r="A117" s="641" t="s">
        <v>375</v>
      </c>
      <c r="B117" s="828"/>
      <c r="C117" s="828"/>
      <c r="D117" s="634"/>
      <c r="E117" s="828"/>
      <c r="F117" s="828"/>
      <c r="G117" s="635"/>
      <c r="H117" s="828"/>
      <c r="I117" s="828"/>
      <c r="J117" s="635"/>
      <c r="K117" s="828"/>
      <c r="L117" s="828"/>
      <c r="M117" s="635"/>
      <c r="N117" s="828"/>
      <c r="O117" s="828"/>
      <c r="P117" s="635"/>
      <c r="Q117" s="828"/>
      <c r="R117" s="828"/>
      <c r="S117" s="634"/>
      <c r="T117" s="828"/>
      <c r="U117" s="828"/>
      <c r="V117" s="635"/>
      <c r="W117" s="828"/>
      <c r="X117" s="828"/>
      <c r="Y117" s="635"/>
      <c r="Z117" s="828"/>
      <c r="AA117" s="828"/>
      <c r="AB117" s="635"/>
      <c r="AC117" s="828"/>
      <c r="AD117" s="828"/>
      <c r="AE117" s="635"/>
      <c r="AF117" s="828"/>
      <c r="AG117" s="828"/>
      <c r="AH117" s="635"/>
      <c r="AI117" s="828"/>
      <c r="AJ117" s="828"/>
      <c r="AK117" s="635"/>
      <c r="AL117" s="828">
        <v>4</v>
      </c>
      <c r="AM117" s="828">
        <v>6</v>
      </c>
      <c r="AN117" s="635">
        <f t="shared" si="47"/>
        <v>50</v>
      </c>
      <c r="AO117" s="634">
        <f t="shared" si="48"/>
        <v>4</v>
      </c>
      <c r="AP117" s="634">
        <f t="shared" si="49"/>
        <v>6</v>
      </c>
      <c r="AQ117" s="635">
        <f t="shared" si="50"/>
        <v>50</v>
      </c>
      <c r="AR117" s="634">
        <f t="shared" si="51"/>
        <v>4</v>
      </c>
      <c r="AS117" s="634">
        <f t="shared" si="52"/>
        <v>6</v>
      </c>
      <c r="AT117" s="635">
        <f t="shared" si="53"/>
        <v>50</v>
      </c>
      <c r="AU117" s="642"/>
      <c r="AV117" s="642"/>
      <c r="AW117" s="643"/>
      <c r="AX117" s="643"/>
    </row>
    <row r="118" spans="1:50" s="644" customFormat="1" ht="18.75" customHeight="1" x14ac:dyDescent="0.35">
      <c r="A118" s="641" t="s">
        <v>376</v>
      </c>
      <c r="B118" s="828"/>
      <c r="C118" s="828"/>
      <c r="D118" s="634"/>
      <c r="E118" s="828"/>
      <c r="F118" s="828"/>
      <c r="G118" s="635"/>
      <c r="H118" s="828"/>
      <c r="I118" s="828"/>
      <c r="J118" s="635"/>
      <c r="K118" s="828"/>
      <c r="L118" s="828"/>
      <c r="M118" s="635"/>
      <c r="N118" s="828"/>
      <c r="O118" s="828"/>
      <c r="P118" s="635"/>
      <c r="Q118" s="828"/>
      <c r="R118" s="828"/>
      <c r="S118" s="634"/>
      <c r="T118" s="828"/>
      <c r="U118" s="828"/>
      <c r="V118" s="635"/>
      <c r="W118" s="828"/>
      <c r="X118" s="828"/>
      <c r="Y118" s="635"/>
      <c r="Z118" s="828"/>
      <c r="AA118" s="828"/>
      <c r="AB118" s="635"/>
      <c r="AC118" s="828"/>
      <c r="AD118" s="828"/>
      <c r="AE118" s="635"/>
      <c r="AF118" s="828"/>
      <c r="AG118" s="828"/>
      <c r="AH118" s="635"/>
      <c r="AI118" s="828"/>
      <c r="AJ118" s="828"/>
      <c r="AK118" s="635"/>
      <c r="AL118" s="828">
        <v>1</v>
      </c>
      <c r="AM118" s="828">
        <v>2.6</v>
      </c>
      <c r="AN118" s="635">
        <f t="shared" si="47"/>
        <v>160</v>
      </c>
      <c r="AO118" s="634">
        <f t="shared" si="48"/>
        <v>1</v>
      </c>
      <c r="AP118" s="634">
        <f t="shared" si="49"/>
        <v>2.6</v>
      </c>
      <c r="AQ118" s="635">
        <f t="shared" si="50"/>
        <v>160</v>
      </c>
      <c r="AR118" s="634">
        <f t="shared" si="51"/>
        <v>1</v>
      </c>
      <c r="AS118" s="634">
        <f t="shared" si="52"/>
        <v>2.6</v>
      </c>
      <c r="AT118" s="635">
        <f t="shared" si="53"/>
        <v>160</v>
      </c>
      <c r="AU118" s="642"/>
      <c r="AV118" s="642"/>
      <c r="AW118" s="643"/>
      <c r="AX118" s="643"/>
    </row>
    <row r="119" spans="1:50" s="636" customFormat="1" ht="18.75" customHeight="1" x14ac:dyDescent="0.35">
      <c r="A119" s="600"/>
      <c r="B119" s="832"/>
      <c r="C119" s="832"/>
      <c r="D119" s="648"/>
      <c r="E119" s="832"/>
      <c r="F119" s="832"/>
      <c r="G119" s="649"/>
      <c r="H119" s="832"/>
      <c r="I119" s="832"/>
      <c r="J119" s="649"/>
      <c r="K119" s="832"/>
      <c r="L119" s="832"/>
      <c r="M119" s="649"/>
      <c r="N119" s="832"/>
      <c r="O119" s="832"/>
      <c r="P119" s="649"/>
      <c r="Q119" s="832"/>
      <c r="R119" s="832"/>
      <c r="S119" s="648"/>
      <c r="T119" s="832"/>
      <c r="U119" s="832"/>
      <c r="V119" s="649"/>
      <c r="W119" s="832"/>
      <c r="X119" s="832"/>
      <c r="Y119" s="649"/>
      <c r="Z119" s="832"/>
      <c r="AA119" s="832"/>
      <c r="AB119" s="649"/>
      <c r="AC119" s="832"/>
      <c r="AD119" s="832"/>
      <c r="AE119" s="649"/>
      <c r="AF119" s="832"/>
      <c r="AG119" s="832"/>
      <c r="AH119" s="649"/>
      <c r="AI119" s="832"/>
      <c r="AJ119" s="832"/>
      <c r="AK119" s="649"/>
      <c r="AL119" s="832"/>
      <c r="AM119" s="832"/>
      <c r="AN119" s="649"/>
      <c r="AO119" s="649"/>
      <c r="AP119" s="649"/>
      <c r="AQ119" s="649"/>
      <c r="AR119" s="649">
        <f t="shared" si="51"/>
        <v>0</v>
      </c>
      <c r="AS119" s="649">
        <f t="shared" si="52"/>
        <v>0</v>
      </c>
      <c r="AT119" s="649"/>
      <c r="AU119" s="618"/>
      <c r="AV119" s="618"/>
      <c r="AW119" s="613"/>
      <c r="AX119" s="613"/>
    </row>
    <row r="120" spans="1:50" s="636" customFormat="1" ht="18.75" customHeight="1" x14ac:dyDescent="0.35">
      <c r="A120" s="588"/>
      <c r="B120" s="828"/>
      <c r="C120" s="828"/>
      <c r="D120" s="634"/>
      <c r="E120" s="828"/>
      <c r="F120" s="828"/>
      <c r="G120" s="635"/>
      <c r="H120" s="828"/>
      <c r="I120" s="828"/>
      <c r="J120" s="635"/>
      <c r="K120" s="828"/>
      <c r="L120" s="828"/>
      <c r="M120" s="635"/>
      <c r="N120" s="828"/>
      <c r="O120" s="828"/>
      <c r="P120" s="635"/>
      <c r="Q120" s="828"/>
      <c r="R120" s="828"/>
      <c r="S120" s="634"/>
      <c r="T120" s="828"/>
      <c r="U120" s="828"/>
      <c r="V120" s="635"/>
      <c r="W120" s="828"/>
      <c r="X120" s="828"/>
      <c r="Y120" s="635"/>
      <c r="Z120" s="828"/>
      <c r="AA120" s="828"/>
      <c r="AB120" s="635"/>
      <c r="AC120" s="828"/>
      <c r="AD120" s="828"/>
      <c r="AE120" s="635"/>
      <c r="AF120" s="828"/>
      <c r="AG120" s="828"/>
      <c r="AH120" s="635"/>
      <c r="AI120" s="828"/>
      <c r="AJ120" s="828"/>
      <c r="AK120" s="635"/>
      <c r="AL120" s="828"/>
      <c r="AM120" s="828"/>
      <c r="AN120" s="635"/>
      <c r="AO120" s="634"/>
      <c r="AP120" s="634"/>
      <c r="AQ120" s="635"/>
      <c r="AR120" s="634">
        <f t="shared" si="51"/>
        <v>0</v>
      </c>
      <c r="AS120" s="634">
        <f t="shared" si="52"/>
        <v>0</v>
      </c>
      <c r="AT120" s="635"/>
      <c r="AU120" s="618"/>
      <c r="AV120" s="618"/>
      <c r="AW120" s="613"/>
      <c r="AX120" s="613"/>
    </row>
    <row r="121" spans="1:50" s="636" customFormat="1" ht="18.75" customHeight="1" x14ac:dyDescent="0.35">
      <c r="A121" s="583" t="s">
        <v>395</v>
      </c>
      <c r="B121" s="828"/>
      <c r="C121" s="828"/>
      <c r="D121" s="634"/>
      <c r="E121" s="828"/>
      <c r="F121" s="828"/>
      <c r="G121" s="635"/>
      <c r="H121" s="828"/>
      <c r="I121" s="828"/>
      <c r="J121" s="635"/>
      <c r="K121" s="828"/>
      <c r="L121" s="828"/>
      <c r="M121" s="635"/>
      <c r="N121" s="828"/>
      <c r="O121" s="828"/>
      <c r="P121" s="635"/>
      <c r="Q121" s="828"/>
      <c r="R121" s="828"/>
      <c r="S121" s="634"/>
      <c r="T121" s="828"/>
      <c r="U121" s="828"/>
      <c r="V121" s="635"/>
      <c r="W121" s="828"/>
      <c r="X121" s="828"/>
      <c r="Y121" s="635"/>
      <c r="Z121" s="828"/>
      <c r="AA121" s="828"/>
      <c r="AB121" s="635"/>
      <c r="AC121" s="828"/>
      <c r="AD121" s="828"/>
      <c r="AE121" s="635"/>
      <c r="AF121" s="828"/>
      <c r="AG121" s="828"/>
      <c r="AH121" s="635"/>
      <c r="AI121" s="828"/>
      <c r="AJ121" s="828"/>
      <c r="AK121" s="635"/>
      <c r="AL121" s="828"/>
      <c r="AM121" s="828"/>
      <c r="AN121" s="635"/>
      <c r="AO121" s="634"/>
      <c r="AP121" s="634"/>
      <c r="AQ121" s="635"/>
      <c r="AR121" s="634">
        <f t="shared" si="51"/>
        <v>0</v>
      </c>
      <c r="AS121" s="634">
        <f t="shared" si="52"/>
        <v>0</v>
      </c>
      <c r="AT121" s="635"/>
      <c r="AU121" s="618"/>
      <c r="AV121" s="618"/>
      <c r="AW121" s="613"/>
      <c r="AX121" s="613"/>
    </row>
    <row r="122" spans="1:50" s="636" customFormat="1" ht="18.75" customHeight="1" x14ac:dyDescent="0.35">
      <c r="A122" s="588" t="s">
        <v>366</v>
      </c>
      <c r="B122" s="828"/>
      <c r="C122" s="828"/>
      <c r="D122" s="634"/>
      <c r="E122" s="828"/>
      <c r="F122" s="828"/>
      <c r="G122" s="635"/>
      <c r="H122" s="828"/>
      <c r="I122" s="828"/>
      <c r="J122" s="635"/>
      <c r="K122" s="828"/>
      <c r="L122" s="828"/>
      <c r="M122" s="635"/>
      <c r="N122" s="828"/>
      <c r="O122" s="828"/>
      <c r="P122" s="635"/>
      <c r="Q122" s="828"/>
      <c r="R122" s="828"/>
      <c r="S122" s="634"/>
      <c r="T122" s="828"/>
      <c r="U122" s="828"/>
      <c r="V122" s="635"/>
      <c r="W122" s="828">
        <v>13069.94497044385</v>
      </c>
      <c r="X122" s="828">
        <v>14720.265046637975</v>
      </c>
      <c r="Y122" s="635">
        <f t="shared" ref="Y122:Y144" si="54">IF(W122=0, "    ---- ", IF(ABS(ROUND(100/W122*X122-100,1))&lt;999,ROUND(100/W122*X122-100,1),IF(ROUND(100/W122*X122-100,1)&gt;999,999,-999)))</f>
        <v>12.6</v>
      </c>
      <c r="Z122" s="828"/>
      <c r="AA122" s="828"/>
      <c r="AB122" s="635"/>
      <c r="AC122" s="828">
        <v>5064</v>
      </c>
      <c r="AD122" s="828">
        <v>5440</v>
      </c>
      <c r="AE122" s="635">
        <f t="shared" ref="AE122:AE132" si="55">IF(AC122=0, "    ---- ", IF(ABS(ROUND(100/AC122*AD122-100,1))&lt;999,ROUND(100/AC122*AD122-100,1),IF(ROUND(100/AC122*AD122-100,1)&gt;999,999,-999)))</f>
        <v>7.4</v>
      </c>
      <c r="AF122" s="828"/>
      <c r="AG122" s="828"/>
      <c r="AH122" s="635"/>
      <c r="AI122" s="828"/>
      <c r="AJ122" s="828"/>
      <c r="AK122" s="635"/>
      <c r="AL122" s="828">
        <v>81</v>
      </c>
      <c r="AM122" s="828">
        <v>336</v>
      </c>
      <c r="AN122" s="635">
        <f t="shared" ref="AN122:AN132" si="56">IF(AL122=0, "    ---- ", IF(ABS(ROUND(100/AL122*AM122-100,1))&lt;999,ROUND(100/AL122*AM122-100,1),IF(ROUND(100/AL122*AM122-100,1)&gt;999,999,-999)))</f>
        <v>314.8</v>
      </c>
      <c r="AO122" s="634">
        <f t="shared" ref="AO122:AO132" si="57">B122+H122+K122+N122+Q122+W122+E122+Z122+AC122+AI122+AL122</f>
        <v>18214.944970443852</v>
      </c>
      <c r="AP122" s="634">
        <f t="shared" ref="AP122:AP132" si="58">C122+I122+L122+O122+R122+X122+F122+AA122+AD122+AJ122+AM122</f>
        <v>20496.265046637975</v>
      </c>
      <c r="AQ122" s="635">
        <f t="shared" si="17"/>
        <v>12.5</v>
      </c>
      <c r="AR122" s="634">
        <f t="shared" si="51"/>
        <v>18214.944970443852</v>
      </c>
      <c r="AS122" s="634">
        <f t="shared" si="52"/>
        <v>20496.265046637975</v>
      </c>
      <c r="AT122" s="635">
        <f t="shared" si="18"/>
        <v>12.5</v>
      </c>
      <c r="AU122" s="618"/>
      <c r="AV122" s="618"/>
      <c r="AW122" s="613"/>
      <c r="AX122" s="613"/>
    </row>
    <row r="123" spans="1:50" s="636" customFormat="1" ht="18.75" customHeight="1" x14ac:dyDescent="0.35">
      <c r="A123" s="588" t="s">
        <v>367</v>
      </c>
      <c r="B123" s="828"/>
      <c r="C123" s="828"/>
      <c r="D123" s="634"/>
      <c r="E123" s="828"/>
      <c r="F123" s="828"/>
      <c r="G123" s="635"/>
      <c r="H123" s="828"/>
      <c r="I123" s="828"/>
      <c r="J123" s="635"/>
      <c r="K123" s="828"/>
      <c r="L123" s="828"/>
      <c r="M123" s="635"/>
      <c r="N123" s="828"/>
      <c r="O123" s="828"/>
      <c r="P123" s="635"/>
      <c r="Q123" s="828"/>
      <c r="R123" s="828"/>
      <c r="S123" s="634"/>
      <c r="T123" s="828"/>
      <c r="U123" s="828"/>
      <c r="V123" s="635"/>
      <c r="W123" s="828">
        <v>-489.97288800000001</v>
      </c>
      <c r="X123" s="828">
        <v>276.70562864422538</v>
      </c>
      <c r="Y123" s="635">
        <f t="shared" si="54"/>
        <v>-156.5</v>
      </c>
      <c r="Z123" s="828"/>
      <c r="AA123" s="828"/>
      <c r="AB123" s="635"/>
      <c r="AC123" s="828">
        <v>-657</v>
      </c>
      <c r="AD123" s="828">
        <v>-658</v>
      </c>
      <c r="AE123" s="635">
        <f t="shared" si="55"/>
        <v>0.2</v>
      </c>
      <c r="AF123" s="828"/>
      <c r="AG123" s="828"/>
      <c r="AH123" s="635"/>
      <c r="AI123" s="828"/>
      <c r="AJ123" s="828"/>
      <c r="AK123" s="635"/>
      <c r="AL123" s="828">
        <v>-3</v>
      </c>
      <c r="AM123" s="828">
        <v>-11</v>
      </c>
      <c r="AN123" s="635">
        <f t="shared" si="56"/>
        <v>266.7</v>
      </c>
      <c r="AO123" s="634">
        <f t="shared" si="57"/>
        <v>-1149.972888</v>
      </c>
      <c r="AP123" s="634">
        <f t="shared" si="58"/>
        <v>-392.29437135577462</v>
      </c>
      <c r="AQ123" s="635">
        <f t="shared" si="17"/>
        <v>-65.900000000000006</v>
      </c>
      <c r="AR123" s="634">
        <f t="shared" si="51"/>
        <v>-1149.972888</v>
      </c>
      <c r="AS123" s="634">
        <f t="shared" si="52"/>
        <v>-392.29437135577462</v>
      </c>
      <c r="AT123" s="635">
        <f t="shared" si="18"/>
        <v>-65.900000000000006</v>
      </c>
      <c r="AU123" s="618"/>
      <c r="AV123" s="618"/>
      <c r="AW123" s="613"/>
      <c r="AX123" s="613"/>
    </row>
    <row r="124" spans="1:50" s="636" customFormat="1" ht="18.75" customHeight="1" x14ac:dyDescent="0.35">
      <c r="A124" s="588" t="s">
        <v>368</v>
      </c>
      <c r="B124" s="828"/>
      <c r="C124" s="828"/>
      <c r="D124" s="634"/>
      <c r="E124" s="828"/>
      <c r="F124" s="828"/>
      <c r="G124" s="635"/>
      <c r="H124" s="828"/>
      <c r="I124" s="828"/>
      <c r="J124" s="635"/>
      <c r="K124" s="828"/>
      <c r="L124" s="828"/>
      <c r="M124" s="635"/>
      <c r="N124" s="828"/>
      <c r="O124" s="828"/>
      <c r="P124" s="635"/>
      <c r="Q124" s="828"/>
      <c r="R124" s="828"/>
      <c r="S124" s="634"/>
      <c r="T124" s="828"/>
      <c r="U124" s="828"/>
      <c r="V124" s="635"/>
      <c r="W124" s="828">
        <v>170.40382821847965</v>
      </c>
      <c r="X124" s="828">
        <v>34.768587032710315</v>
      </c>
      <c r="Y124" s="635">
        <f t="shared" si="54"/>
        <v>-79.599999999999994</v>
      </c>
      <c r="Z124" s="828"/>
      <c r="AA124" s="828"/>
      <c r="AB124" s="635"/>
      <c r="AC124" s="828">
        <v>16</v>
      </c>
      <c r="AD124" s="828">
        <v>2</v>
      </c>
      <c r="AE124" s="635">
        <f t="shared" si="55"/>
        <v>-87.5</v>
      </c>
      <c r="AF124" s="828"/>
      <c r="AG124" s="828"/>
      <c r="AH124" s="635"/>
      <c r="AI124" s="828"/>
      <c r="AJ124" s="828"/>
      <c r="AK124" s="635"/>
      <c r="AL124" s="828">
        <v>-30.4</v>
      </c>
      <c r="AM124" s="828">
        <v>-64</v>
      </c>
      <c r="AN124" s="635">
        <f t="shared" si="56"/>
        <v>110.5</v>
      </c>
      <c r="AO124" s="634">
        <f t="shared" si="57"/>
        <v>156.00382821847964</v>
      </c>
      <c r="AP124" s="634">
        <f t="shared" si="58"/>
        <v>-27.231412967289685</v>
      </c>
      <c r="AQ124" s="635">
        <f t="shared" si="17"/>
        <v>-117.5</v>
      </c>
      <c r="AR124" s="634">
        <f t="shared" si="51"/>
        <v>156.00382821847964</v>
      </c>
      <c r="AS124" s="634">
        <f t="shared" si="52"/>
        <v>-27.231412967289685</v>
      </c>
      <c r="AT124" s="635">
        <f t="shared" si="18"/>
        <v>-117.5</v>
      </c>
      <c r="AU124" s="618"/>
      <c r="AV124" s="618"/>
      <c r="AW124" s="613"/>
      <c r="AX124" s="613"/>
    </row>
    <row r="125" spans="1:50" s="636" customFormat="1" ht="18.75" customHeight="1" x14ac:dyDescent="0.35">
      <c r="A125" s="588" t="s">
        <v>369</v>
      </c>
      <c r="B125" s="828"/>
      <c r="C125" s="828"/>
      <c r="D125" s="634"/>
      <c r="E125" s="828"/>
      <c r="F125" s="828"/>
      <c r="G125" s="635"/>
      <c r="H125" s="828"/>
      <c r="I125" s="828"/>
      <c r="J125" s="635"/>
      <c r="K125" s="828"/>
      <c r="L125" s="828"/>
      <c r="M125" s="635"/>
      <c r="N125" s="828"/>
      <c r="O125" s="828"/>
      <c r="P125" s="635"/>
      <c r="Q125" s="828"/>
      <c r="R125" s="828"/>
      <c r="S125" s="634"/>
      <c r="T125" s="828"/>
      <c r="U125" s="828"/>
      <c r="V125" s="635"/>
      <c r="W125" s="828"/>
      <c r="X125" s="828"/>
      <c r="Y125" s="635"/>
      <c r="Z125" s="828"/>
      <c r="AA125" s="828"/>
      <c r="AB125" s="635"/>
      <c r="AC125" s="828"/>
      <c r="AD125" s="828"/>
      <c r="AE125" s="635"/>
      <c r="AF125" s="828"/>
      <c r="AG125" s="828"/>
      <c r="AH125" s="635"/>
      <c r="AI125" s="828"/>
      <c r="AJ125" s="828"/>
      <c r="AK125" s="635"/>
      <c r="AL125" s="828">
        <v>4</v>
      </c>
      <c r="AM125" s="828">
        <v>8</v>
      </c>
      <c r="AN125" s="635">
        <f t="shared" si="56"/>
        <v>100</v>
      </c>
      <c r="AO125" s="634">
        <f t="shared" si="57"/>
        <v>4</v>
      </c>
      <c r="AP125" s="634">
        <f t="shared" si="58"/>
        <v>8</v>
      </c>
      <c r="AQ125" s="635">
        <f t="shared" si="17"/>
        <v>100</v>
      </c>
      <c r="AR125" s="634">
        <f t="shared" si="51"/>
        <v>4</v>
      </c>
      <c r="AS125" s="634">
        <f t="shared" si="52"/>
        <v>8</v>
      </c>
      <c r="AT125" s="635">
        <f t="shared" si="18"/>
        <v>100</v>
      </c>
      <c r="AU125" s="618"/>
      <c r="AV125" s="618"/>
      <c r="AW125" s="613"/>
      <c r="AX125" s="613"/>
    </row>
    <row r="126" spans="1:50" s="636" customFormat="1" ht="18.75" customHeight="1" x14ac:dyDescent="0.35">
      <c r="A126" s="588" t="s">
        <v>370</v>
      </c>
      <c r="B126" s="828"/>
      <c r="C126" s="828"/>
      <c r="D126" s="634"/>
      <c r="E126" s="828"/>
      <c r="F126" s="828"/>
      <c r="G126" s="635"/>
      <c r="H126" s="828"/>
      <c r="I126" s="828"/>
      <c r="J126" s="635"/>
      <c r="K126" s="828"/>
      <c r="L126" s="828"/>
      <c r="M126" s="635"/>
      <c r="N126" s="828"/>
      <c r="O126" s="828"/>
      <c r="P126" s="635"/>
      <c r="Q126" s="828"/>
      <c r="R126" s="828"/>
      <c r="S126" s="634"/>
      <c r="T126" s="828"/>
      <c r="U126" s="828"/>
      <c r="V126" s="635"/>
      <c r="W126" s="828">
        <v>490.82563399999998</v>
      </c>
      <c r="X126" s="828">
        <v>250.64177799999999</v>
      </c>
      <c r="Y126" s="635">
        <f t="shared" si="54"/>
        <v>-48.9</v>
      </c>
      <c r="Z126" s="828"/>
      <c r="AA126" s="828"/>
      <c r="AB126" s="635"/>
      <c r="AC126" s="828">
        <v>340</v>
      </c>
      <c r="AD126" s="828">
        <v>479</v>
      </c>
      <c r="AE126" s="635">
        <f t="shared" si="55"/>
        <v>40.9</v>
      </c>
      <c r="AF126" s="828"/>
      <c r="AG126" s="828"/>
      <c r="AH126" s="635"/>
      <c r="AI126" s="828"/>
      <c r="AJ126" s="828"/>
      <c r="AK126" s="635"/>
      <c r="AL126" s="828">
        <v>13</v>
      </c>
      <c r="AM126" s="828">
        <v>30</v>
      </c>
      <c r="AN126" s="635">
        <f t="shared" si="56"/>
        <v>130.80000000000001</v>
      </c>
      <c r="AO126" s="634">
        <f t="shared" si="57"/>
        <v>843.82563400000004</v>
      </c>
      <c r="AP126" s="634">
        <f t="shared" si="58"/>
        <v>759.64177799999993</v>
      </c>
      <c r="AQ126" s="635">
        <f t="shared" si="17"/>
        <v>-10</v>
      </c>
      <c r="AR126" s="634">
        <f t="shared" si="51"/>
        <v>843.82563400000004</v>
      </c>
      <c r="AS126" s="634">
        <f t="shared" si="52"/>
        <v>759.64177799999993</v>
      </c>
      <c r="AT126" s="635">
        <f t="shared" si="18"/>
        <v>-10</v>
      </c>
      <c r="AU126" s="618"/>
      <c r="AV126" s="618"/>
      <c r="AW126" s="613"/>
      <c r="AX126" s="613"/>
    </row>
    <row r="127" spans="1:50" s="636" customFormat="1" ht="18.75" customHeight="1" x14ac:dyDescent="0.35">
      <c r="A127" s="588" t="s">
        <v>371</v>
      </c>
      <c r="B127" s="828"/>
      <c r="C127" s="828"/>
      <c r="D127" s="634"/>
      <c r="E127" s="828"/>
      <c r="F127" s="828"/>
      <c r="G127" s="635"/>
      <c r="H127" s="828"/>
      <c r="I127" s="828"/>
      <c r="J127" s="635"/>
      <c r="K127" s="828"/>
      <c r="L127" s="828"/>
      <c r="M127" s="635"/>
      <c r="N127" s="828"/>
      <c r="O127" s="828"/>
      <c r="P127" s="635"/>
      <c r="Q127" s="828"/>
      <c r="R127" s="828"/>
      <c r="S127" s="634"/>
      <c r="T127" s="828"/>
      <c r="U127" s="828"/>
      <c r="V127" s="635"/>
      <c r="W127" s="828">
        <v>-395.17412426870595</v>
      </c>
      <c r="X127" s="828">
        <v>588.14300975748779</v>
      </c>
      <c r="Y127" s="635">
        <f t="shared" si="54"/>
        <v>-248.8</v>
      </c>
      <c r="Z127" s="828"/>
      <c r="AA127" s="828"/>
      <c r="AB127" s="635"/>
      <c r="AC127" s="828">
        <v>130</v>
      </c>
      <c r="AD127" s="828">
        <v>111</v>
      </c>
      <c r="AE127" s="635">
        <f t="shared" si="55"/>
        <v>-14.6</v>
      </c>
      <c r="AF127" s="828"/>
      <c r="AG127" s="828"/>
      <c r="AH127" s="635"/>
      <c r="AI127" s="828"/>
      <c r="AJ127" s="828"/>
      <c r="AK127" s="635"/>
      <c r="AL127" s="828">
        <v>8.5</v>
      </c>
      <c r="AM127" s="828">
        <v>-6</v>
      </c>
      <c r="AN127" s="635">
        <f t="shared" si="56"/>
        <v>-170.6</v>
      </c>
      <c r="AO127" s="634">
        <f t="shared" si="57"/>
        <v>-256.67412426870595</v>
      </c>
      <c r="AP127" s="634">
        <f t="shared" si="58"/>
        <v>693.14300975748779</v>
      </c>
      <c r="AQ127" s="635">
        <f t="shared" si="17"/>
        <v>-370</v>
      </c>
      <c r="AR127" s="634">
        <f t="shared" si="51"/>
        <v>-256.67412426870595</v>
      </c>
      <c r="AS127" s="634">
        <f t="shared" si="52"/>
        <v>693.14300975748779</v>
      </c>
      <c r="AT127" s="635">
        <f t="shared" si="18"/>
        <v>-370</v>
      </c>
      <c r="AU127" s="618"/>
      <c r="AV127" s="618"/>
      <c r="AW127" s="613"/>
      <c r="AX127" s="613"/>
    </row>
    <row r="128" spans="1:50" s="636" customFormat="1" ht="18.75" customHeight="1" x14ac:dyDescent="0.35">
      <c r="A128" s="588" t="s">
        <v>372</v>
      </c>
      <c r="B128" s="828"/>
      <c r="C128" s="828"/>
      <c r="D128" s="634"/>
      <c r="E128" s="828"/>
      <c r="F128" s="828"/>
      <c r="G128" s="635"/>
      <c r="H128" s="828"/>
      <c r="I128" s="828"/>
      <c r="J128" s="635"/>
      <c r="K128" s="828"/>
      <c r="L128" s="828"/>
      <c r="M128" s="635"/>
      <c r="N128" s="828"/>
      <c r="O128" s="828"/>
      <c r="P128" s="635"/>
      <c r="Q128" s="828"/>
      <c r="R128" s="828"/>
      <c r="S128" s="634"/>
      <c r="T128" s="828"/>
      <c r="U128" s="828"/>
      <c r="V128" s="635"/>
      <c r="W128" s="828">
        <v>477.79551300000003</v>
      </c>
      <c r="X128" s="828">
        <v>0</v>
      </c>
      <c r="Y128" s="635">
        <f t="shared" si="54"/>
        <v>-100</v>
      </c>
      <c r="Z128" s="828"/>
      <c r="AA128" s="828"/>
      <c r="AB128" s="635"/>
      <c r="AC128" s="828">
        <v>60</v>
      </c>
      <c r="AD128" s="828">
        <v>0</v>
      </c>
      <c r="AE128" s="635">
        <f t="shared" si="55"/>
        <v>-100</v>
      </c>
      <c r="AF128" s="828"/>
      <c r="AG128" s="828"/>
      <c r="AH128" s="635"/>
      <c r="AI128" s="828"/>
      <c r="AJ128" s="828"/>
      <c r="AK128" s="635"/>
      <c r="AL128" s="828">
        <v>4</v>
      </c>
      <c r="AM128" s="828">
        <v>-5.6</v>
      </c>
      <c r="AN128" s="635">
        <f t="shared" si="56"/>
        <v>-240</v>
      </c>
      <c r="AO128" s="634">
        <f t="shared" si="57"/>
        <v>541.79551300000003</v>
      </c>
      <c r="AP128" s="634">
        <f t="shared" si="58"/>
        <v>-5.6</v>
      </c>
      <c r="AQ128" s="635">
        <f t="shared" si="17"/>
        <v>-101</v>
      </c>
      <c r="AR128" s="634">
        <f t="shared" si="51"/>
        <v>541.79551300000003</v>
      </c>
      <c r="AS128" s="634">
        <f t="shared" si="52"/>
        <v>-5.6</v>
      </c>
      <c r="AT128" s="635">
        <f t="shared" si="18"/>
        <v>-101</v>
      </c>
      <c r="AU128" s="618"/>
      <c r="AV128" s="618"/>
      <c r="AW128" s="613"/>
      <c r="AX128" s="613"/>
    </row>
    <row r="129" spans="1:50" s="636" customFormat="1" ht="18.75" customHeight="1" x14ac:dyDescent="0.35">
      <c r="A129" s="588" t="s">
        <v>373</v>
      </c>
      <c r="B129" s="828"/>
      <c r="C129" s="828"/>
      <c r="D129" s="634"/>
      <c r="E129" s="828"/>
      <c r="F129" s="828"/>
      <c r="G129" s="635"/>
      <c r="H129" s="828"/>
      <c r="I129" s="828"/>
      <c r="J129" s="635"/>
      <c r="K129" s="828"/>
      <c r="L129" s="828"/>
      <c r="M129" s="635"/>
      <c r="N129" s="828"/>
      <c r="O129" s="828"/>
      <c r="P129" s="635"/>
      <c r="Q129" s="828"/>
      <c r="R129" s="828"/>
      <c r="S129" s="634"/>
      <c r="T129" s="828"/>
      <c r="U129" s="828"/>
      <c r="V129" s="635"/>
      <c r="W129" s="828"/>
      <c r="X129" s="828"/>
      <c r="Y129" s="635"/>
      <c r="Z129" s="828"/>
      <c r="AA129" s="828"/>
      <c r="AB129" s="635"/>
      <c r="AC129" s="828"/>
      <c r="AD129" s="828"/>
      <c r="AE129" s="635"/>
      <c r="AF129" s="828"/>
      <c r="AG129" s="828"/>
      <c r="AH129" s="635"/>
      <c r="AI129" s="828"/>
      <c r="AJ129" s="828"/>
      <c r="AK129" s="635"/>
      <c r="AL129" s="828"/>
      <c r="AM129" s="828"/>
      <c r="AN129" s="635"/>
      <c r="AO129" s="634">
        <f t="shared" si="57"/>
        <v>0</v>
      </c>
      <c r="AP129" s="634">
        <f t="shared" si="58"/>
        <v>0</v>
      </c>
      <c r="AQ129" s="635" t="str">
        <f t="shared" si="17"/>
        <v xml:space="preserve">    ---- </v>
      </c>
      <c r="AR129" s="634">
        <f t="shared" si="51"/>
        <v>0</v>
      </c>
      <c r="AS129" s="634">
        <f t="shared" si="52"/>
        <v>0</v>
      </c>
      <c r="AT129" s="635" t="str">
        <f t="shared" si="18"/>
        <v xml:space="preserve">    ---- </v>
      </c>
      <c r="AU129" s="618"/>
      <c r="AV129" s="618"/>
      <c r="AW129" s="613"/>
      <c r="AX129" s="613"/>
    </row>
    <row r="130" spans="1:50" s="639" customFormat="1" ht="18.75" customHeight="1" x14ac:dyDescent="0.35">
      <c r="A130" s="583" t="s">
        <v>374</v>
      </c>
      <c r="B130" s="830"/>
      <c r="C130" s="830"/>
      <c r="D130" s="632"/>
      <c r="E130" s="830"/>
      <c r="F130" s="830"/>
      <c r="G130" s="633"/>
      <c r="H130" s="830"/>
      <c r="I130" s="830"/>
      <c r="J130" s="633"/>
      <c r="K130" s="830"/>
      <c r="L130" s="830"/>
      <c r="M130" s="633"/>
      <c r="N130" s="830"/>
      <c r="O130" s="830"/>
      <c r="P130" s="633"/>
      <c r="Q130" s="830"/>
      <c r="R130" s="830"/>
      <c r="S130" s="632"/>
      <c r="T130" s="830"/>
      <c r="U130" s="830"/>
      <c r="V130" s="633"/>
      <c r="W130" s="830">
        <f>SUM(W122:W127)+W129</f>
        <v>12846.027420393624</v>
      </c>
      <c r="X130" s="830">
        <v>15870.524050072398</v>
      </c>
      <c r="Y130" s="633">
        <f t="shared" si="54"/>
        <v>23.5</v>
      </c>
      <c r="Z130" s="830"/>
      <c r="AA130" s="830"/>
      <c r="AB130" s="633"/>
      <c r="AC130" s="830">
        <f>SUM(AC122:AC127)+AC129</f>
        <v>4893</v>
      </c>
      <c r="AD130" s="830">
        <f>SUM(AD122:AD127)+AD129</f>
        <v>5374</v>
      </c>
      <c r="AE130" s="635">
        <f t="shared" si="55"/>
        <v>9.8000000000000007</v>
      </c>
      <c r="AF130" s="830"/>
      <c r="AG130" s="830"/>
      <c r="AH130" s="633"/>
      <c r="AI130" s="830"/>
      <c r="AJ130" s="830"/>
      <c r="AK130" s="633"/>
      <c r="AL130" s="830">
        <v>73.099999999999994</v>
      </c>
      <c r="AM130" s="830">
        <f>SUM(AM122:AM127)+AM129</f>
        <v>293</v>
      </c>
      <c r="AN130" s="633">
        <f t="shared" si="56"/>
        <v>300.8</v>
      </c>
      <c r="AO130" s="632">
        <f t="shared" si="57"/>
        <v>17812.127420393623</v>
      </c>
      <c r="AP130" s="632">
        <f t="shared" si="58"/>
        <v>21537.524050072396</v>
      </c>
      <c r="AQ130" s="633">
        <f t="shared" si="17"/>
        <v>20.9</v>
      </c>
      <c r="AR130" s="632">
        <f t="shared" si="51"/>
        <v>17812.127420393623</v>
      </c>
      <c r="AS130" s="632">
        <f t="shared" si="52"/>
        <v>21537.524050072396</v>
      </c>
      <c r="AT130" s="633">
        <f t="shared" si="18"/>
        <v>20.9</v>
      </c>
      <c r="AU130" s="637" t="e">
        <f>B130,C130,H130,I130,N130,O130,Q130,R130,T130,U130,W130,X130,E130,F130,Z130,AA130,AC130,AD130,AF130,AG130,#REF!,#REF!,AI130,AJ130,AL130,AM130,AO130,AP130,AR130,AS130</f>
        <v>#REF!</v>
      </c>
      <c r="AV130" s="616"/>
      <c r="AW130" s="638"/>
      <c r="AX130" s="638"/>
    </row>
    <row r="131" spans="1:50" s="636" customFormat="1" ht="18.75" customHeight="1" x14ac:dyDescent="0.35">
      <c r="A131" s="588" t="s">
        <v>375</v>
      </c>
      <c r="B131" s="828"/>
      <c r="C131" s="828"/>
      <c r="D131" s="634"/>
      <c r="E131" s="828"/>
      <c r="F131" s="828"/>
      <c r="G131" s="635"/>
      <c r="H131" s="828"/>
      <c r="I131" s="828"/>
      <c r="J131" s="635"/>
      <c r="K131" s="828"/>
      <c r="L131" s="828"/>
      <c r="M131" s="635"/>
      <c r="N131" s="828"/>
      <c r="O131" s="828"/>
      <c r="P131" s="635"/>
      <c r="Q131" s="828"/>
      <c r="R131" s="828"/>
      <c r="S131" s="634"/>
      <c r="T131" s="828"/>
      <c r="U131" s="828"/>
      <c r="V131" s="635"/>
      <c r="W131" s="828">
        <v>12320.639734846603</v>
      </c>
      <c r="X131" s="828">
        <v>16659.674195147167</v>
      </c>
      <c r="Y131" s="635">
        <f t="shared" si="54"/>
        <v>35.200000000000003</v>
      </c>
      <c r="Z131" s="828"/>
      <c r="AA131" s="828"/>
      <c r="AB131" s="635"/>
      <c r="AC131" s="828">
        <v>3765</v>
      </c>
      <c r="AD131" s="828">
        <v>4163</v>
      </c>
      <c r="AE131" s="635">
        <f t="shared" si="55"/>
        <v>10.6</v>
      </c>
      <c r="AF131" s="828"/>
      <c r="AG131" s="828"/>
      <c r="AH131" s="635"/>
      <c r="AI131" s="828"/>
      <c r="AJ131" s="828"/>
      <c r="AK131" s="635"/>
      <c r="AL131" s="828">
        <v>82</v>
      </c>
      <c r="AM131" s="828">
        <v>325</v>
      </c>
      <c r="AN131" s="635">
        <f t="shared" si="56"/>
        <v>296.3</v>
      </c>
      <c r="AO131" s="634">
        <f t="shared" si="57"/>
        <v>16167.639734846603</v>
      </c>
      <c r="AP131" s="634">
        <f t="shared" si="58"/>
        <v>21147.674195147167</v>
      </c>
      <c r="AQ131" s="635">
        <f t="shared" si="17"/>
        <v>30.8</v>
      </c>
      <c r="AR131" s="634">
        <f t="shared" si="51"/>
        <v>16167.639734846603</v>
      </c>
      <c r="AS131" s="634">
        <f t="shared" si="52"/>
        <v>21147.674195147167</v>
      </c>
      <c r="AT131" s="635">
        <f t="shared" si="18"/>
        <v>30.8</v>
      </c>
      <c r="AU131" s="618"/>
      <c r="AV131" s="618"/>
      <c r="AW131" s="613"/>
      <c r="AX131" s="613"/>
    </row>
    <row r="132" spans="1:50" s="636" customFormat="1" ht="18.75" customHeight="1" x14ac:dyDescent="0.35">
      <c r="A132" s="588" t="s">
        <v>376</v>
      </c>
      <c r="B132" s="828"/>
      <c r="C132" s="828"/>
      <c r="D132" s="634"/>
      <c r="E132" s="828"/>
      <c r="F132" s="828"/>
      <c r="G132" s="635"/>
      <c r="H132" s="828"/>
      <c r="I132" s="828"/>
      <c r="J132" s="635"/>
      <c r="K132" s="828"/>
      <c r="L132" s="828"/>
      <c r="M132" s="635"/>
      <c r="N132" s="828"/>
      <c r="O132" s="828"/>
      <c r="P132" s="635"/>
      <c r="Q132" s="828"/>
      <c r="R132" s="828"/>
      <c r="S132" s="634"/>
      <c r="T132" s="828"/>
      <c r="U132" s="828"/>
      <c r="V132" s="635"/>
      <c r="W132" s="828">
        <v>481.37912954701898</v>
      </c>
      <c r="X132" s="828">
        <v>-789.1501450747669</v>
      </c>
      <c r="Y132" s="635">
        <f t="shared" si="54"/>
        <v>-263.89999999999998</v>
      </c>
      <c r="Z132" s="828"/>
      <c r="AA132" s="828"/>
      <c r="AB132" s="635"/>
      <c r="AC132" s="828">
        <v>1128</v>
      </c>
      <c r="AD132" s="828">
        <v>1211</v>
      </c>
      <c r="AE132" s="635">
        <f t="shared" si="55"/>
        <v>7.4</v>
      </c>
      <c r="AF132" s="828"/>
      <c r="AG132" s="828"/>
      <c r="AH132" s="635"/>
      <c r="AI132" s="828"/>
      <c r="AJ132" s="828"/>
      <c r="AK132" s="635"/>
      <c r="AL132" s="828">
        <v>-9</v>
      </c>
      <c r="AM132" s="828">
        <v>-32.4</v>
      </c>
      <c r="AN132" s="635">
        <f t="shared" si="56"/>
        <v>260</v>
      </c>
      <c r="AO132" s="634">
        <f t="shared" si="57"/>
        <v>1600.3791295470189</v>
      </c>
      <c r="AP132" s="634">
        <f t="shared" si="58"/>
        <v>389.44985492523313</v>
      </c>
      <c r="AQ132" s="635">
        <f t="shared" si="17"/>
        <v>-75.7</v>
      </c>
      <c r="AR132" s="634">
        <f t="shared" si="51"/>
        <v>1600.3791295470189</v>
      </c>
      <c r="AS132" s="634">
        <f t="shared" si="52"/>
        <v>389.44985492523313</v>
      </c>
      <c r="AT132" s="635">
        <f t="shared" si="18"/>
        <v>-75.7</v>
      </c>
      <c r="AU132" s="618"/>
      <c r="AV132" s="618"/>
      <c r="AW132" s="613"/>
      <c r="AX132" s="613"/>
    </row>
    <row r="133" spans="1:50" s="636" customFormat="1" ht="18.75" customHeight="1" x14ac:dyDescent="0.35">
      <c r="A133" s="583" t="s">
        <v>396</v>
      </c>
      <c r="B133" s="828"/>
      <c r="C133" s="828"/>
      <c r="D133" s="634"/>
      <c r="E133" s="828"/>
      <c r="F133" s="828"/>
      <c r="G133" s="635"/>
      <c r="H133" s="828"/>
      <c r="I133" s="828"/>
      <c r="J133" s="635"/>
      <c r="K133" s="828"/>
      <c r="L133" s="828"/>
      <c r="M133" s="635"/>
      <c r="N133" s="828"/>
      <c r="O133" s="828"/>
      <c r="P133" s="635"/>
      <c r="Q133" s="828"/>
      <c r="R133" s="828"/>
      <c r="S133" s="634"/>
      <c r="T133" s="828"/>
      <c r="U133" s="828"/>
      <c r="V133" s="635"/>
      <c r="W133" s="828"/>
      <c r="X133" s="828"/>
      <c r="Y133" s="635"/>
      <c r="Z133" s="828"/>
      <c r="AA133" s="828"/>
      <c r="AB133" s="635"/>
      <c r="AC133" s="828"/>
      <c r="AD133" s="828"/>
      <c r="AE133" s="635"/>
      <c r="AF133" s="828"/>
      <c r="AG133" s="828"/>
      <c r="AH133" s="635"/>
      <c r="AI133" s="828"/>
      <c r="AJ133" s="828"/>
      <c r="AK133" s="635"/>
      <c r="AL133" s="828"/>
      <c r="AM133" s="828"/>
      <c r="AN133" s="635"/>
      <c r="AO133" s="634"/>
      <c r="AP133" s="634"/>
      <c r="AQ133" s="635"/>
      <c r="AR133" s="634">
        <f t="shared" si="51"/>
        <v>0</v>
      </c>
      <c r="AS133" s="634">
        <f t="shared" si="52"/>
        <v>0</v>
      </c>
      <c r="AT133" s="635"/>
      <c r="AU133" s="618"/>
      <c r="AV133" s="618"/>
      <c r="AW133" s="613"/>
      <c r="AX133" s="613"/>
    </row>
    <row r="134" spans="1:50" s="636" customFormat="1" ht="18.75" customHeight="1" x14ac:dyDescent="0.35">
      <c r="A134" s="588" t="s">
        <v>366</v>
      </c>
      <c r="B134" s="828"/>
      <c r="C134" s="828"/>
      <c r="D134" s="634"/>
      <c r="E134" s="828"/>
      <c r="F134" s="828"/>
      <c r="G134" s="635"/>
      <c r="H134" s="828"/>
      <c r="I134" s="828"/>
      <c r="J134" s="635"/>
      <c r="K134" s="828"/>
      <c r="L134" s="828"/>
      <c r="M134" s="635"/>
      <c r="N134" s="828"/>
      <c r="O134" s="828"/>
      <c r="P134" s="635"/>
      <c r="Q134" s="828"/>
      <c r="R134" s="828"/>
      <c r="S134" s="634"/>
      <c r="T134" s="828"/>
      <c r="U134" s="828"/>
      <c r="V134" s="635"/>
      <c r="W134" s="828">
        <v>29.848691120000005</v>
      </c>
      <c r="X134" s="828">
        <v>136.33122399000001</v>
      </c>
      <c r="Y134" s="635">
        <f t="shared" si="54"/>
        <v>356.7</v>
      </c>
      <c r="Z134" s="828"/>
      <c r="AA134" s="828"/>
      <c r="AB134" s="635"/>
      <c r="AC134" s="828"/>
      <c r="AD134" s="828"/>
      <c r="AE134" s="635"/>
      <c r="AF134" s="828"/>
      <c r="AG134" s="828"/>
      <c r="AH134" s="635"/>
      <c r="AI134" s="828"/>
      <c r="AJ134" s="828"/>
      <c r="AK134" s="635"/>
      <c r="AL134" s="828"/>
      <c r="AM134" s="828"/>
      <c r="AN134" s="635"/>
      <c r="AO134" s="634">
        <f t="shared" ref="AO134:AO144" si="59">B134+H134+K134+N134+Q134+W134+E134+Z134+AC134+AI134+AL134</f>
        <v>29.848691120000005</v>
      </c>
      <c r="AP134" s="634">
        <f t="shared" ref="AP134:AP144" si="60">C134+I134+L134+O134+R134+X134+F134+AA134+AD134+AJ134+AM134</f>
        <v>136.33122399000001</v>
      </c>
      <c r="AQ134" s="635">
        <f t="shared" si="17"/>
        <v>356.7</v>
      </c>
      <c r="AR134" s="634">
        <f t="shared" si="51"/>
        <v>29.848691120000005</v>
      </c>
      <c r="AS134" s="634">
        <f t="shared" si="52"/>
        <v>136.33122399000001</v>
      </c>
      <c r="AT134" s="635">
        <f t="shared" si="18"/>
        <v>356.7</v>
      </c>
      <c r="AU134" s="618"/>
      <c r="AV134" s="618"/>
      <c r="AW134" s="613"/>
      <c r="AX134" s="613"/>
    </row>
    <row r="135" spans="1:50" s="636" customFormat="1" ht="18.75" customHeight="1" x14ac:dyDescent="0.35">
      <c r="A135" s="588" t="s">
        <v>367</v>
      </c>
      <c r="B135" s="828"/>
      <c r="C135" s="828"/>
      <c r="D135" s="634"/>
      <c r="E135" s="828"/>
      <c r="F135" s="828"/>
      <c r="G135" s="635"/>
      <c r="H135" s="828"/>
      <c r="I135" s="828"/>
      <c r="J135" s="635"/>
      <c r="K135" s="828"/>
      <c r="L135" s="828"/>
      <c r="M135" s="635"/>
      <c r="N135" s="828"/>
      <c r="O135" s="828"/>
      <c r="P135" s="635"/>
      <c r="Q135" s="828"/>
      <c r="R135" s="828"/>
      <c r="S135" s="634"/>
      <c r="T135" s="828"/>
      <c r="U135" s="828"/>
      <c r="V135" s="635"/>
      <c r="W135" s="828">
        <v>0</v>
      </c>
      <c r="X135" s="828">
        <v>0</v>
      </c>
      <c r="Y135" s="635" t="str">
        <f t="shared" si="54"/>
        <v xml:space="preserve">    ---- </v>
      </c>
      <c r="Z135" s="828"/>
      <c r="AA135" s="828"/>
      <c r="AB135" s="635"/>
      <c r="AC135" s="828"/>
      <c r="AD135" s="828"/>
      <c r="AE135" s="635"/>
      <c r="AF135" s="828"/>
      <c r="AG135" s="828"/>
      <c r="AH135" s="635"/>
      <c r="AI135" s="828"/>
      <c r="AJ135" s="828"/>
      <c r="AK135" s="635"/>
      <c r="AL135" s="828"/>
      <c r="AM135" s="828"/>
      <c r="AN135" s="635"/>
      <c r="AO135" s="634">
        <f t="shared" si="59"/>
        <v>0</v>
      </c>
      <c r="AP135" s="634">
        <f t="shared" si="60"/>
        <v>0</v>
      </c>
      <c r="AQ135" s="635" t="str">
        <f t="shared" si="17"/>
        <v xml:space="preserve">    ---- </v>
      </c>
      <c r="AR135" s="634">
        <f t="shared" si="51"/>
        <v>0</v>
      </c>
      <c r="AS135" s="634">
        <f t="shared" si="52"/>
        <v>0</v>
      </c>
      <c r="AT135" s="635" t="str">
        <f t="shared" si="18"/>
        <v xml:space="preserve">    ---- </v>
      </c>
      <c r="AU135" s="618"/>
      <c r="AV135" s="618"/>
      <c r="AW135" s="613"/>
      <c r="AX135" s="613"/>
    </row>
    <row r="136" spans="1:50" s="636" customFormat="1" ht="18.75" customHeight="1" x14ac:dyDescent="0.35">
      <c r="A136" s="588" t="s">
        <v>368</v>
      </c>
      <c r="B136" s="828"/>
      <c r="C136" s="828"/>
      <c r="D136" s="634"/>
      <c r="E136" s="828"/>
      <c r="F136" s="828"/>
      <c r="G136" s="635"/>
      <c r="H136" s="828"/>
      <c r="I136" s="828"/>
      <c r="J136" s="635"/>
      <c r="K136" s="828"/>
      <c r="L136" s="828"/>
      <c r="M136" s="635"/>
      <c r="N136" s="828"/>
      <c r="O136" s="828"/>
      <c r="P136" s="635"/>
      <c r="Q136" s="828"/>
      <c r="R136" s="828"/>
      <c r="S136" s="634"/>
      <c r="T136" s="828"/>
      <c r="U136" s="828"/>
      <c r="V136" s="635"/>
      <c r="W136" s="828">
        <v>0.59985742112928075</v>
      </c>
      <c r="X136" s="828">
        <v>-5.0521821173679086E-2</v>
      </c>
      <c r="Y136" s="635">
        <f t="shared" si="54"/>
        <v>-108.4</v>
      </c>
      <c r="Z136" s="828"/>
      <c r="AA136" s="828"/>
      <c r="AB136" s="635"/>
      <c r="AC136" s="828"/>
      <c r="AD136" s="828"/>
      <c r="AE136" s="635"/>
      <c r="AF136" s="828"/>
      <c r="AG136" s="828"/>
      <c r="AH136" s="635"/>
      <c r="AI136" s="828"/>
      <c r="AJ136" s="828"/>
      <c r="AK136" s="635"/>
      <c r="AL136" s="828"/>
      <c r="AM136" s="828"/>
      <c r="AN136" s="635"/>
      <c r="AO136" s="634">
        <f t="shared" si="59"/>
        <v>0.59985742112928075</v>
      </c>
      <c r="AP136" s="634">
        <f t="shared" si="60"/>
        <v>-5.0521821173679086E-2</v>
      </c>
      <c r="AQ136" s="635">
        <f t="shared" si="17"/>
        <v>-108.4</v>
      </c>
      <c r="AR136" s="634">
        <f t="shared" si="51"/>
        <v>0.59985742112928075</v>
      </c>
      <c r="AS136" s="634">
        <f t="shared" si="52"/>
        <v>-5.0521821173679086E-2</v>
      </c>
      <c r="AT136" s="635">
        <f t="shared" si="18"/>
        <v>-108.4</v>
      </c>
      <c r="AU136" s="618"/>
      <c r="AV136" s="618"/>
      <c r="AW136" s="613"/>
      <c r="AX136" s="613"/>
    </row>
    <row r="137" spans="1:50" s="636" customFormat="1" ht="18.75" customHeight="1" x14ac:dyDescent="0.35">
      <c r="A137" s="588" t="s">
        <v>369</v>
      </c>
      <c r="B137" s="828"/>
      <c r="C137" s="828"/>
      <c r="D137" s="634"/>
      <c r="E137" s="828"/>
      <c r="F137" s="828"/>
      <c r="G137" s="635"/>
      <c r="H137" s="828"/>
      <c r="I137" s="828"/>
      <c r="J137" s="635"/>
      <c r="K137" s="828"/>
      <c r="L137" s="828"/>
      <c r="M137" s="635"/>
      <c r="N137" s="828"/>
      <c r="O137" s="828"/>
      <c r="P137" s="635"/>
      <c r="Q137" s="828"/>
      <c r="R137" s="828"/>
      <c r="S137" s="634"/>
      <c r="T137" s="828"/>
      <c r="U137" s="828"/>
      <c r="V137" s="635"/>
      <c r="W137" s="828"/>
      <c r="X137" s="828"/>
      <c r="Y137" s="635"/>
      <c r="Z137" s="828"/>
      <c r="AA137" s="828"/>
      <c r="AB137" s="635"/>
      <c r="AC137" s="828"/>
      <c r="AD137" s="828"/>
      <c r="AE137" s="635"/>
      <c r="AF137" s="828"/>
      <c r="AG137" s="828"/>
      <c r="AH137" s="635"/>
      <c r="AI137" s="828"/>
      <c r="AJ137" s="828"/>
      <c r="AK137" s="635"/>
      <c r="AL137" s="828"/>
      <c r="AM137" s="828"/>
      <c r="AN137" s="635"/>
      <c r="AO137" s="634">
        <f t="shared" si="59"/>
        <v>0</v>
      </c>
      <c r="AP137" s="634">
        <f t="shared" si="60"/>
        <v>0</v>
      </c>
      <c r="AQ137" s="635" t="str">
        <f t="shared" si="17"/>
        <v xml:space="preserve">    ---- </v>
      </c>
      <c r="AR137" s="634">
        <f t="shared" si="51"/>
        <v>0</v>
      </c>
      <c r="AS137" s="634">
        <f t="shared" si="52"/>
        <v>0</v>
      </c>
      <c r="AT137" s="635" t="str">
        <f t="shared" si="18"/>
        <v xml:space="preserve">    ---- </v>
      </c>
      <c r="AU137" s="618"/>
      <c r="AV137" s="618"/>
      <c r="AW137" s="613"/>
      <c r="AX137" s="613"/>
    </row>
    <row r="138" spans="1:50" s="636" customFormat="1" ht="18.75" customHeight="1" x14ac:dyDescent="0.35">
      <c r="A138" s="588" t="s">
        <v>370</v>
      </c>
      <c r="B138" s="828"/>
      <c r="C138" s="828"/>
      <c r="D138" s="634"/>
      <c r="E138" s="828"/>
      <c r="F138" s="828"/>
      <c r="G138" s="635"/>
      <c r="H138" s="828"/>
      <c r="I138" s="828"/>
      <c r="J138" s="635"/>
      <c r="K138" s="828"/>
      <c r="L138" s="828"/>
      <c r="M138" s="635"/>
      <c r="N138" s="828"/>
      <c r="O138" s="828"/>
      <c r="P138" s="635"/>
      <c r="Q138" s="828"/>
      <c r="R138" s="828"/>
      <c r="S138" s="634"/>
      <c r="T138" s="828"/>
      <c r="U138" s="828"/>
      <c r="V138" s="635"/>
      <c r="W138" s="828">
        <v>3.5983909999999999</v>
      </c>
      <c r="X138" s="828">
        <v>0.47944500000000001</v>
      </c>
      <c r="Y138" s="635">
        <f t="shared" si="54"/>
        <v>-86.7</v>
      </c>
      <c r="Z138" s="828"/>
      <c r="AA138" s="828"/>
      <c r="AB138" s="635"/>
      <c r="AC138" s="828"/>
      <c r="AD138" s="828"/>
      <c r="AE138" s="635"/>
      <c r="AF138" s="828"/>
      <c r="AG138" s="828"/>
      <c r="AH138" s="635"/>
      <c r="AI138" s="828"/>
      <c r="AJ138" s="828"/>
      <c r="AK138" s="635"/>
      <c r="AL138" s="828"/>
      <c r="AM138" s="828"/>
      <c r="AN138" s="635"/>
      <c r="AO138" s="634">
        <f t="shared" si="59"/>
        <v>3.5983909999999999</v>
      </c>
      <c r="AP138" s="634">
        <f t="shared" si="60"/>
        <v>0.47944500000000001</v>
      </c>
      <c r="AQ138" s="635">
        <f t="shared" si="17"/>
        <v>-86.7</v>
      </c>
      <c r="AR138" s="634">
        <f t="shared" si="51"/>
        <v>3.5983909999999999</v>
      </c>
      <c r="AS138" s="634">
        <f t="shared" si="52"/>
        <v>0.47944500000000001</v>
      </c>
      <c r="AT138" s="635">
        <f t="shared" si="18"/>
        <v>-86.7</v>
      </c>
      <c r="AU138" s="618"/>
      <c r="AV138" s="618"/>
      <c r="AW138" s="613"/>
      <c r="AX138" s="613"/>
    </row>
    <row r="139" spans="1:50" s="636" customFormat="1" ht="18.75" customHeight="1" x14ac:dyDescent="0.35">
      <c r="A139" s="588" t="s">
        <v>371</v>
      </c>
      <c r="B139" s="828"/>
      <c r="C139" s="828"/>
      <c r="D139" s="634"/>
      <c r="E139" s="828"/>
      <c r="F139" s="828"/>
      <c r="G139" s="635"/>
      <c r="H139" s="828"/>
      <c r="I139" s="828"/>
      <c r="J139" s="635"/>
      <c r="K139" s="828"/>
      <c r="L139" s="828"/>
      <c r="M139" s="635"/>
      <c r="N139" s="828"/>
      <c r="O139" s="828"/>
      <c r="P139" s="635"/>
      <c r="Q139" s="828"/>
      <c r="R139" s="828"/>
      <c r="S139" s="634"/>
      <c r="T139" s="828"/>
      <c r="U139" s="828"/>
      <c r="V139" s="635"/>
      <c r="W139" s="828">
        <v>0</v>
      </c>
      <c r="X139" s="828">
        <v>1.1277882968660382</v>
      </c>
      <c r="Y139" s="635" t="str">
        <f t="shared" si="54"/>
        <v xml:space="preserve">    ---- </v>
      </c>
      <c r="Z139" s="828"/>
      <c r="AA139" s="828"/>
      <c r="AB139" s="635"/>
      <c r="AC139" s="828"/>
      <c r="AD139" s="828"/>
      <c r="AE139" s="635"/>
      <c r="AF139" s="828"/>
      <c r="AG139" s="828"/>
      <c r="AH139" s="635"/>
      <c r="AI139" s="828"/>
      <c r="AJ139" s="828"/>
      <c r="AK139" s="635"/>
      <c r="AL139" s="828"/>
      <c r="AM139" s="828"/>
      <c r="AN139" s="635"/>
      <c r="AO139" s="634">
        <f t="shared" si="59"/>
        <v>0</v>
      </c>
      <c r="AP139" s="634">
        <f t="shared" si="60"/>
        <v>1.1277882968660382</v>
      </c>
      <c r="AQ139" s="635" t="str">
        <f t="shared" si="17"/>
        <v xml:space="preserve">    ---- </v>
      </c>
      <c r="AR139" s="634">
        <f t="shared" si="51"/>
        <v>0</v>
      </c>
      <c r="AS139" s="634">
        <f t="shared" si="52"/>
        <v>1.1277882968660382</v>
      </c>
      <c r="AT139" s="635" t="str">
        <f t="shared" si="18"/>
        <v xml:space="preserve">    ---- </v>
      </c>
      <c r="AU139" s="618"/>
      <c r="AV139" s="618"/>
      <c r="AW139" s="613"/>
      <c r="AX139" s="613"/>
    </row>
    <row r="140" spans="1:50" s="636" customFormat="1" ht="18.75" customHeight="1" x14ac:dyDescent="0.35">
      <c r="A140" s="588" t="s">
        <v>372</v>
      </c>
      <c r="B140" s="828"/>
      <c r="C140" s="828"/>
      <c r="D140" s="634"/>
      <c r="E140" s="828"/>
      <c r="F140" s="828"/>
      <c r="G140" s="635"/>
      <c r="H140" s="828"/>
      <c r="I140" s="828"/>
      <c r="J140" s="635"/>
      <c r="K140" s="828"/>
      <c r="L140" s="828"/>
      <c r="M140" s="635"/>
      <c r="N140" s="828"/>
      <c r="O140" s="828"/>
      <c r="P140" s="635"/>
      <c r="Q140" s="828"/>
      <c r="R140" s="828"/>
      <c r="S140" s="634"/>
      <c r="T140" s="828"/>
      <c r="U140" s="828"/>
      <c r="V140" s="635"/>
      <c r="W140" s="828">
        <v>2.113515</v>
      </c>
      <c r="X140" s="828">
        <v>0</v>
      </c>
      <c r="Y140" s="635">
        <f t="shared" si="54"/>
        <v>-100</v>
      </c>
      <c r="Z140" s="828"/>
      <c r="AA140" s="828"/>
      <c r="AB140" s="635"/>
      <c r="AC140" s="828"/>
      <c r="AD140" s="828"/>
      <c r="AE140" s="635"/>
      <c r="AF140" s="828"/>
      <c r="AG140" s="828"/>
      <c r="AH140" s="635"/>
      <c r="AI140" s="828"/>
      <c r="AJ140" s="828"/>
      <c r="AK140" s="635"/>
      <c r="AL140" s="828"/>
      <c r="AM140" s="828"/>
      <c r="AN140" s="635"/>
      <c r="AO140" s="634">
        <f t="shared" si="59"/>
        <v>2.113515</v>
      </c>
      <c r="AP140" s="634">
        <f t="shared" si="60"/>
        <v>0</v>
      </c>
      <c r="AQ140" s="635">
        <f t="shared" si="17"/>
        <v>-100</v>
      </c>
      <c r="AR140" s="634">
        <f t="shared" si="51"/>
        <v>2.113515</v>
      </c>
      <c r="AS140" s="634">
        <f t="shared" si="52"/>
        <v>0</v>
      </c>
      <c r="AT140" s="635">
        <f t="shared" si="18"/>
        <v>-100</v>
      </c>
      <c r="AU140" s="618"/>
      <c r="AV140" s="618"/>
      <c r="AW140" s="613"/>
      <c r="AX140" s="613"/>
    </row>
    <row r="141" spans="1:50" s="636" customFormat="1" ht="18.75" customHeight="1" x14ac:dyDescent="0.35">
      <c r="A141" s="588" t="s">
        <v>373</v>
      </c>
      <c r="B141" s="828"/>
      <c r="C141" s="828"/>
      <c r="D141" s="634"/>
      <c r="E141" s="828"/>
      <c r="F141" s="828"/>
      <c r="G141" s="635"/>
      <c r="H141" s="828"/>
      <c r="I141" s="828"/>
      <c r="J141" s="635"/>
      <c r="K141" s="828"/>
      <c r="L141" s="828"/>
      <c r="M141" s="635"/>
      <c r="N141" s="828"/>
      <c r="O141" s="828"/>
      <c r="P141" s="635"/>
      <c r="Q141" s="828"/>
      <c r="R141" s="828"/>
      <c r="S141" s="634"/>
      <c r="T141" s="828"/>
      <c r="U141" s="828"/>
      <c r="V141" s="635"/>
      <c r="W141" s="828"/>
      <c r="X141" s="828"/>
      <c r="Y141" s="635"/>
      <c r="Z141" s="828"/>
      <c r="AA141" s="828"/>
      <c r="AB141" s="635"/>
      <c r="AC141" s="828"/>
      <c r="AD141" s="828"/>
      <c r="AE141" s="635"/>
      <c r="AF141" s="828"/>
      <c r="AG141" s="828"/>
      <c r="AH141" s="635"/>
      <c r="AI141" s="828"/>
      <c r="AJ141" s="828"/>
      <c r="AK141" s="635"/>
      <c r="AL141" s="828"/>
      <c r="AM141" s="828"/>
      <c r="AN141" s="635"/>
      <c r="AO141" s="634">
        <f t="shared" si="59"/>
        <v>0</v>
      </c>
      <c r="AP141" s="634">
        <f t="shared" si="60"/>
        <v>0</v>
      </c>
      <c r="AQ141" s="635" t="str">
        <f t="shared" si="17"/>
        <v xml:space="preserve">    ---- </v>
      </c>
      <c r="AR141" s="634">
        <f t="shared" si="51"/>
        <v>0</v>
      </c>
      <c r="AS141" s="634">
        <f t="shared" si="52"/>
        <v>0</v>
      </c>
      <c r="AT141" s="635" t="str">
        <f t="shared" si="18"/>
        <v xml:space="preserve">    ---- </v>
      </c>
      <c r="AU141" s="618"/>
      <c r="AV141" s="618"/>
      <c r="AW141" s="613"/>
      <c r="AX141" s="613"/>
    </row>
    <row r="142" spans="1:50" s="639" customFormat="1" ht="18.75" customHeight="1" x14ac:dyDescent="0.3">
      <c r="A142" s="583" t="s">
        <v>374</v>
      </c>
      <c r="B142" s="830"/>
      <c r="C142" s="830"/>
      <c r="D142" s="632"/>
      <c r="E142" s="830"/>
      <c r="F142" s="830"/>
      <c r="G142" s="633"/>
      <c r="H142" s="830"/>
      <c r="I142" s="830"/>
      <c r="J142" s="633"/>
      <c r="K142" s="830"/>
      <c r="L142" s="830"/>
      <c r="M142" s="633"/>
      <c r="N142" s="830"/>
      <c r="O142" s="830"/>
      <c r="P142" s="633"/>
      <c r="Q142" s="830"/>
      <c r="R142" s="830"/>
      <c r="S142" s="632"/>
      <c r="T142" s="830"/>
      <c r="U142" s="830"/>
      <c r="V142" s="633"/>
      <c r="W142" s="830">
        <f>SUM(W134:W139)+W141</f>
        <v>34.046939541129284</v>
      </c>
      <c r="X142" s="830">
        <v>137.88793546569238</v>
      </c>
      <c r="Y142" s="633">
        <f t="shared" si="54"/>
        <v>305</v>
      </c>
      <c r="Z142" s="830"/>
      <c r="AA142" s="830"/>
      <c r="AB142" s="633"/>
      <c r="AC142" s="830"/>
      <c r="AD142" s="830"/>
      <c r="AE142" s="633"/>
      <c r="AF142" s="830"/>
      <c r="AG142" s="830"/>
      <c r="AH142" s="633"/>
      <c r="AI142" s="830"/>
      <c r="AJ142" s="830"/>
      <c r="AK142" s="633"/>
      <c r="AL142" s="830"/>
      <c r="AM142" s="830"/>
      <c r="AN142" s="633"/>
      <c r="AO142" s="632">
        <f t="shared" si="59"/>
        <v>34.046939541129284</v>
      </c>
      <c r="AP142" s="632">
        <f t="shared" si="60"/>
        <v>137.88793546569238</v>
      </c>
      <c r="AQ142" s="633">
        <f t="shared" si="17"/>
        <v>305</v>
      </c>
      <c r="AR142" s="632">
        <f t="shared" si="51"/>
        <v>34.046939541129284</v>
      </c>
      <c r="AS142" s="632">
        <f t="shared" si="52"/>
        <v>137.88793546569238</v>
      </c>
      <c r="AT142" s="633">
        <f t="shared" si="18"/>
        <v>305</v>
      </c>
      <c r="AU142" s="637" t="e">
        <f>B142,C142,H142,I142,N142,O142,Q142,R142,T142,U142,W142,X142,E142,F142,Z142,AA142,AC142,AD142,AF142,AG142,#REF!,#REF!,AI142,AJ142,AL142,AM142,AO142,AP142,AR142,AS142</f>
        <v>#REF!</v>
      </c>
      <c r="AV142" s="616"/>
      <c r="AW142" s="638"/>
      <c r="AX142" s="638"/>
    </row>
    <row r="143" spans="1:50" s="636" customFormat="1" ht="18.75" customHeight="1" x14ac:dyDescent="0.35">
      <c r="A143" s="588" t="s">
        <v>375</v>
      </c>
      <c r="B143" s="828"/>
      <c r="C143" s="828"/>
      <c r="D143" s="634"/>
      <c r="E143" s="828"/>
      <c r="F143" s="828"/>
      <c r="G143" s="635"/>
      <c r="H143" s="828"/>
      <c r="I143" s="828"/>
      <c r="J143" s="635"/>
      <c r="K143" s="828"/>
      <c r="L143" s="828"/>
      <c r="M143" s="635"/>
      <c r="N143" s="828"/>
      <c r="O143" s="828"/>
      <c r="P143" s="635"/>
      <c r="Q143" s="828"/>
      <c r="R143" s="828"/>
      <c r="S143" s="634"/>
      <c r="T143" s="828"/>
      <c r="U143" s="828"/>
      <c r="V143" s="635"/>
      <c r="W143" s="828">
        <v>29.848691120000005</v>
      </c>
      <c r="X143" s="828">
        <v>136.33122399000001</v>
      </c>
      <c r="Y143" s="635">
        <f t="shared" si="54"/>
        <v>356.7</v>
      </c>
      <c r="Z143" s="828"/>
      <c r="AA143" s="828"/>
      <c r="AB143" s="635"/>
      <c r="AC143" s="828"/>
      <c r="AD143" s="828"/>
      <c r="AE143" s="635"/>
      <c r="AF143" s="828"/>
      <c r="AG143" s="828"/>
      <c r="AH143" s="635"/>
      <c r="AI143" s="828"/>
      <c r="AJ143" s="828"/>
      <c r="AK143" s="635"/>
      <c r="AL143" s="828"/>
      <c r="AM143" s="828"/>
      <c r="AN143" s="635"/>
      <c r="AO143" s="634">
        <f t="shared" si="59"/>
        <v>29.848691120000005</v>
      </c>
      <c r="AP143" s="634">
        <f t="shared" si="60"/>
        <v>136.33122399000001</v>
      </c>
      <c r="AQ143" s="635">
        <f t="shared" si="17"/>
        <v>356.7</v>
      </c>
      <c r="AR143" s="634">
        <f t="shared" si="51"/>
        <v>29.848691120000005</v>
      </c>
      <c r="AS143" s="634">
        <f t="shared" si="52"/>
        <v>136.33122399000001</v>
      </c>
      <c r="AT143" s="635">
        <f t="shared" si="18"/>
        <v>356.7</v>
      </c>
      <c r="AU143" s="618"/>
      <c r="AV143" s="618"/>
      <c r="AW143" s="613"/>
      <c r="AX143" s="613"/>
    </row>
    <row r="144" spans="1:50" s="613" customFormat="1" ht="18.75" customHeight="1" x14ac:dyDescent="0.35">
      <c r="A144" s="600" t="s">
        <v>376</v>
      </c>
      <c r="B144" s="832"/>
      <c r="C144" s="832"/>
      <c r="D144" s="648"/>
      <c r="E144" s="832"/>
      <c r="F144" s="832"/>
      <c r="G144" s="649"/>
      <c r="H144" s="832"/>
      <c r="I144" s="832"/>
      <c r="J144" s="649"/>
      <c r="K144" s="832"/>
      <c r="L144" s="832"/>
      <c r="M144" s="649"/>
      <c r="N144" s="832"/>
      <c r="O144" s="832"/>
      <c r="P144" s="649"/>
      <c r="Q144" s="832"/>
      <c r="R144" s="832"/>
      <c r="S144" s="648"/>
      <c r="T144" s="832"/>
      <c r="U144" s="832"/>
      <c r="V144" s="649"/>
      <c r="W144" s="832">
        <v>48.206804421129284</v>
      </c>
      <c r="X144" s="832">
        <v>1.5567114756923617</v>
      </c>
      <c r="Y144" s="649">
        <f t="shared" si="54"/>
        <v>-96.8</v>
      </c>
      <c r="Z144" s="832"/>
      <c r="AA144" s="832"/>
      <c r="AB144" s="649"/>
      <c r="AC144" s="832"/>
      <c r="AD144" s="832"/>
      <c r="AE144" s="649"/>
      <c r="AF144" s="832"/>
      <c r="AG144" s="832"/>
      <c r="AH144" s="649"/>
      <c r="AI144" s="832"/>
      <c r="AJ144" s="832"/>
      <c r="AK144" s="649"/>
      <c r="AL144" s="832"/>
      <c r="AM144" s="832"/>
      <c r="AN144" s="649"/>
      <c r="AO144" s="649">
        <f t="shared" si="59"/>
        <v>48.206804421129284</v>
      </c>
      <c r="AP144" s="649">
        <f t="shared" si="60"/>
        <v>1.5567114756923617</v>
      </c>
      <c r="AQ144" s="649">
        <f t="shared" si="17"/>
        <v>-96.8</v>
      </c>
      <c r="AR144" s="649">
        <f t="shared" si="51"/>
        <v>48.206804421129284</v>
      </c>
      <c r="AS144" s="649">
        <f t="shared" si="52"/>
        <v>1.5567114756923617</v>
      </c>
      <c r="AT144" s="649">
        <f t="shared" si="18"/>
        <v>-96.8</v>
      </c>
      <c r="AU144" s="618"/>
      <c r="AV144" s="618"/>
    </row>
    <row r="145" spans="1:50" s="651" customFormat="1" ht="18.75" customHeight="1" x14ac:dyDescent="0.35">
      <c r="A145" s="613" t="s">
        <v>252</v>
      </c>
      <c r="B145" s="563"/>
      <c r="C145" s="650"/>
      <c r="D145" s="650"/>
      <c r="E145" s="613"/>
      <c r="F145" s="613"/>
      <c r="G145" s="613"/>
      <c r="H145" s="650"/>
      <c r="I145" s="650"/>
      <c r="J145" s="650"/>
      <c r="K145" s="618"/>
      <c r="L145" s="613"/>
      <c r="M145" s="613"/>
      <c r="N145" s="618"/>
      <c r="O145" s="613"/>
      <c r="P145" s="613"/>
      <c r="Q145" s="613"/>
      <c r="R145" s="613"/>
      <c r="S145" s="613"/>
      <c r="T145" s="613"/>
      <c r="U145" s="613"/>
      <c r="V145" s="613"/>
      <c r="W145" s="613"/>
      <c r="X145" s="613"/>
      <c r="Y145" s="613"/>
      <c r="AA145" s="613"/>
      <c r="AB145" s="613"/>
      <c r="AC145" s="613"/>
      <c r="AD145" s="613"/>
      <c r="AE145" s="613"/>
      <c r="AG145" s="613"/>
      <c r="AH145" s="613"/>
      <c r="AI145" s="613"/>
      <c r="AJ145" s="613"/>
      <c r="AK145" s="613"/>
      <c r="AM145" s="613"/>
      <c r="AN145" s="613"/>
      <c r="AO145" s="613"/>
      <c r="AP145" s="613"/>
      <c r="AQ145" s="613"/>
      <c r="AR145" s="618"/>
      <c r="AS145" s="618"/>
      <c r="AT145" s="618"/>
      <c r="AU145" s="652"/>
      <c r="AV145" s="653"/>
      <c r="AW145" s="652"/>
      <c r="AX145" s="652"/>
    </row>
    <row r="146" spans="1:50" s="651" customFormat="1" ht="18.75" customHeight="1" x14ac:dyDescent="0.35">
      <c r="A146" s="613"/>
      <c r="D146" s="650"/>
      <c r="G146" s="650"/>
      <c r="J146" s="650"/>
      <c r="M146" s="650"/>
      <c r="P146" s="650"/>
      <c r="S146" s="650"/>
      <c r="V146" s="650"/>
      <c r="Y146" s="650"/>
      <c r="AB146" s="650"/>
      <c r="AE146" s="650"/>
      <c r="AH146" s="650"/>
      <c r="AK146" s="650"/>
      <c r="AN146" s="650"/>
      <c r="AQ146" s="650"/>
      <c r="AT146" s="650"/>
      <c r="AU146" s="652"/>
      <c r="AV146" s="653"/>
      <c r="AW146" s="652"/>
      <c r="AX146" s="652"/>
    </row>
    <row r="147" spans="1:50" s="651" customFormat="1" ht="18" x14ac:dyDescent="0.35">
      <c r="A147" s="652"/>
      <c r="B147" s="654"/>
      <c r="C147" s="654"/>
      <c r="D147" s="650"/>
      <c r="E147" s="654"/>
      <c r="F147" s="654"/>
      <c r="G147" s="650"/>
      <c r="H147" s="654"/>
      <c r="I147" s="654"/>
      <c r="J147" s="650"/>
      <c r="K147" s="654"/>
      <c r="L147" s="654"/>
      <c r="M147" s="650"/>
      <c r="N147" s="654"/>
      <c r="O147" s="654"/>
      <c r="P147" s="650"/>
      <c r="Q147" s="654"/>
      <c r="R147" s="654"/>
      <c r="S147" s="650"/>
      <c r="T147" s="654"/>
      <c r="U147" s="654"/>
      <c r="V147" s="650"/>
      <c r="W147" s="654"/>
      <c r="X147" s="654"/>
      <c r="Y147" s="650"/>
      <c r="Z147" s="654"/>
      <c r="AA147" s="654"/>
      <c r="AB147" s="650"/>
      <c r="AC147" s="654"/>
      <c r="AD147" s="654"/>
      <c r="AE147" s="650"/>
      <c r="AF147" s="654"/>
      <c r="AG147" s="654"/>
      <c r="AH147" s="650"/>
      <c r="AI147" s="654"/>
      <c r="AJ147" s="654"/>
      <c r="AK147" s="650"/>
      <c r="AL147" s="654"/>
      <c r="AM147" s="654"/>
      <c r="AN147" s="650"/>
      <c r="AO147" s="654"/>
      <c r="AP147" s="654"/>
      <c r="AQ147" s="650"/>
      <c r="AR147" s="654"/>
      <c r="AS147" s="654"/>
      <c r="AT147" s="650"/>
      <c r="AU147" s="652"/>
      <c r="AV147" s="653"/>
      <c r="AW147" s="652"/>
      <c r="AX147" s="652"/>
    </row>
    <row r="148" spans="1:50" ht="18" x14ac:dyDescent="0.35">
      <c r="A148" s="613"/>
      <c r="Z148" s="657"/>
      <c r="AV148" s="658"/>
    </row>
    <row r="149" spans="1:50" ht="18" x14ac:dyDescent="0.35">
      <c r="A149" s="613"/>
      <c r="AV149" s="658"/>
    </row>
    <row r="150" spans="1:50" ht="18" x14ac:dyDescent="0.35">
      <c r="A150" s="613"/>
      <c r="AV150" s="658"/>
    </row>
    <row r="151" spans="1:50" ht="18" x14ac:dyDescent="0.35">
      <c r="A151" s="613"/>
      <c r="AV151" s="658"/>
    </row>
    <row r="152" spans="1:50" ht="18" x14ac:dyDescent="0.35">
      <c r="A152" s="613"/>
      <c r="AV152" s="658"/>
    </row>
    <row r="153" spans="1:50" ht="18" x14ac:dyDescent="0.35">
      <c r="A153" s="613"/>
      <c r="AV153" s="658"/>
    </row>
    <row r="154" spans="1:50" ht="18" x14ac:dyDescent="0.35">
      <c r="A154" s="613"/>
      <c r="AV154" s="658"/>
    </row>
    <row r="155" spans="1:50" ht="18" x14ac:dyDescent="0.35">
      <c r="A155" s="613"/>
      <c r="AV155" s="658"/>
    </row>
    <row r="156" spans="1:50" ht="18" x14ac:dyDescent="0.35">
      <c r="A156" s="613"/>
      <c r="AV156" s="658"/>
    </row>
    <row r="157" spans="1:50" ht="18" x14ac:dyDescent="0.35">
      <c r="A157" s="613"/>
      <c r="AV157" s="658"/>
    </row>
    <row r="158" spans="1:50" ht="18" x14ac:dyDescent="0.35">
      <c r="A158" s="613"/>
      <c r="AV158" s="658"/>
    </row>
    <row r="159" spans="1:50" ht="18" x14ac:dyDescent="0.35">
      <c r="A159" s="613"/>
      <c r="AV159" s="658"/>
    </row>
    <row r="160" spans="1:50" ht="18" x14ac:dyDescent="0.35">
      <c r="A160" s="613"/>
      <c r="AV160" s="658"/>
    </row>
    <row r="161" spans="1:48" ht="18" x14ac:dyDescent="0.35">
      <c r="A161" s="613"/>
      <c r="AV161" s="658"/>
    </row>
    <row r="162" spans="1:48" ht="18" x14ac:dyDescent="0.35">
      <c r="A162" s="613"/>
      <c r="AV162" s="658"/>
    </row>
    <row r="163" spans="1:48" ht="18" x14ac:dyDescent="0.35">
      <c r="A163" s="613"/>
      <c r="AV163" s="658"/>
    </row>
    <row r="164" spans="1:48" ht="18" x14ac:dyDescent="0.35">
      <c r="A164" s="613"/>
      <c r="AV164" s="658"/>
    </row>
    <row r="165" spans="1:48" ht="18" x14ac:dyDescent="0.35">
      <c r="A165" s="613"/>
      <c r="AV165" s="658"/>
    </row>
    <row r="166" spans="1:48" ht="18" x14ac:dyDescent="0.35">
      <c r="A166" s="613"/>
      <c r="AV166" s="658"/>
    </row>
    <row r="167" spans="1:48" ht="18" x14ac:dyDescent="0.35">
      <c r="A167" s="613"/>
      <c r="AV167" s="658"/>
    </row>
    <row r="168" spans="1:48" ht="18" x14ac:dyDescent="0.35">
      <c r="A168" s="613"/>
      <c r="AV168" s="658"/>
    </row>
    <row r="169" spans="1:48" ht="18" x14ac:dyDescent="0.35">
      <c r="A169" s="613"/>
      <c r="AV169" s="658"/>
    </row>
    <row r="170" spans="1:48" ht="18" x14ac:dyDescent="0.35">
      <c r="A170" s="613"/>
      <c r="AV170" s="658"/>
    </row>
    <row r="171" spans="1:48" ht="18" x14ac:dyDescent="0.35">
      <c r="A171" s="613"/>
      <c r="AV171" s="658"/>
    </row>
    <row r="172" spans="1:48" ht="18" x14ac:dyDescent="0.35">
      <c r="A172" s="613"/>
      <c r="AV172" s="658"/>
    </row>
    <row r="173" spans="1:48" ht="18" x14ac:dyDescent="0.35">
      <c r="A173" s="613"/>
      <c r="AV173" s="658"/>
    </row>
    <row r="174" spans="1:48" ht="18" x14ac:dyDescent="0.35">
      <c r="A174" s="613"/>
      <c r="AV174" s="658"/>
    </row>
    <row r="175" spans="1:48" ht="18" x14ac:dyDescent="0.35">
      <c r="A175" s="613"/>
      <c r="AV175" s="658"/>
    </row>
    <row r="176" spans="1:48" ht="18" x14ac:dyDescent="0.35">
      <c r="A176" s="613"/>
      <c r="AV176" s="658"/>
    </row>
    <row r="177" spans="1:48" ht="18" x14ac:dyDescent="0.35">
      <c r="A177" s="613"/>
      <c r="AV177" s="658"/>
    </row>
    <row r="178" spans="1:48" ht="18" x14ac:dyDescent="0.35">
      <c r="A178" s="613"/>
      <c r="AV178" s="658"/>
    </row>
    <row r="179" spans="1:48" ht="18" x14ac:dyDescent="0.35">
      <c r="A179" s="613"/>
      <c r="AV179" s="658"/>
    </row>
    <row r="180" spans="1:48" ht="18" x14ac:dyDescent="0.35">
      <c r="A180" s="613"/>
      <c r="AV180" s="658"/>
    </row>
    <row r="181" spans="1:48" ht="18" x14ac:dyDescent="0.35">
      <c r="A181" s="613"/>
      <c r="AV181" s="658"/>
    </row>
    <row r="182" spans="1:48" ht="18" x14ac:dyDescent="0.35">
      <c r="A182" s="613"/>
      <c r="AV182" s="658"/>
    </row>
    <row r="183" spans="1:48" ht="18" x14ac:dyDescent="0.35">
      <c r="A183" s="613"/>
      <c r="AV183" s="658"/>
    </row>
    <row r="184" spans="1:48" ht="18" x14ac:dyDescent="0.35">
      <c r="A184" s="613"/>
      <c r="AV184" s="658"/>
    </row>
    <row r="185" spans="1:48" ht="18" x14ac:dyDescent="0.35">
      <c r="A185" s="613"/>
      <c r="AV185" s="658"/>
    </row>
    <row r="186" spans="1:48" ht="18" x14ac:dyDescent="0.35">
      <c r="A186" s="613"/>
      <c r="AV186" s="658"/>
    </row>
    <row r="187" spans="1:48" ht="18" x14ac:dyDescent="0.35">
      <c r="A187" s="613"/>
      <c r="AV187" s="658"/>
    </row>
    <row r="188" spans="1:48" ht="18" x14ac:dyDescent="0.35">
      <c r="A188" s="613"/>
      <c r="AV188" s="658"/>
    </row>
    <row r="189" spans="1:48" ht="18" x14ac:dyDescent="0.35">
      <c r="A189" s="613"/>
      <c r="AV189" s="658"/>
    </row>
    <row r="190" spans="1:48" ht="18" x14ac:dyDescent="0.35">
      <c r="A190" s="613"/>
      <c r="AV190" s="658"/>
    </row>
    <row r="191" spans="1:48" ht="18" x14ac:dyDescent="0.35">
      <c r="A191" s="613"/>
      <c r="AV191" s="658"/>
    </row>
    <row r="192" spans="1:48" ht="18" x14ac:dyDescent="0.35">
      <c r="A192" s="613"/>
      <c r="AV192" s="658"/>
    </row>
    <row r="193" spans="1:48" ht="18" x14ac:dyDescent="0.35">
      <c r="A193" s="613"/>
      <c r="AV193" s="658"/>
    </row>
    <row r="194" spans="1:48" ht="18" x14ac:dyDescent="0.35">
      <c r="A194" s="613"/>
      <c r="AV194" s="658"/>
    </row>
    <row r="195" spans="1:48" ht="18" x14ac:dyDescent="0.35">
      <c r="A195" s="613"/>
      <c r="AV195" s="658"/>
    </row>
    <row r="196" spans="1:48" ht="18" x14ac:dyDescent="0.35">
      <c r="A196" s="613"/>
      <c r="AV196" s="658"/>
    </row>
    <row r="197" spans="1:48" ht="18" x14ac:dyDescent="0.35">
      <c r="A197" s="613"/>
      <c r="AV197" s="658"/>
    </row>
    <row r="198" spans="1:48" ht="18" x14ac:dyDescent="0.35">
      <c r="A198" s="613"/>
      <c r="AV198" s="658"/>
    </row>
    <row r="199" spans="1:48" ht="18" x14ac:dyDescent="0.35">
      <c r="A199" s="613"/>
      <c r="AV199" s="658"/>
    </row>
    <row r="200" spans="1:48" ht="18" x14ac:dyDescent="0.35">
      <c r="A200" s="613"/>
      <c r="AV200" s="658"/>
    </row>
    <row r="201" spans="1:48" ht="18" x14ac:dyDescent="0.35">
      <c r="A201" s="613"/>
      <c r="AV201" s="658"/>
    </row>
    <row r="202" spans="1:48" ht="18" x14ac:dyDescent="0.35">
      <c r="A202" s="613"/>
      <c r="AV202" s="658"/>
    </row>
    <row r="203" spans="1:48" ht="18" x14ac:dyDescent="0.35">
      <c r="A203" s="613"/>
      <c r="AV203" s="658"/>
    </row>
    <row r="204" spans="1:48" ht="18" x14ac:dyDescent="0.35">
      <c r="A204" s="613"/>
      <c r="AV204" s="658"/>
    </row>
    <row r="205" spans="1:48" ht="18" x14ac:dyDescent="0.35">
      <c r="A205" s="613"/>
      <c r="AV205" s="658"/>
    </row>
    <row r="206" spans="1:48" ht="18" x14ac:dyDescent="0.35">
      <c r="A206" s="613"/>
      <c r="AV206" s="658"/>
    </row>
    <row r="207" spans="1:48" ht="18" x14ac:dyDescent="0.35">
      <c r="A207" s="613"/>
      <c r="AV207" s="658"/>
    </row>
    <row r="208" spans="1:48" ht="18" x14ac:dyDescent="0.35">
      <c r="A208" s="613"/>
      <c r="AV208" s="658"/>
    </row>
    <row r="209" spans="1:48" ht="18" x14ac:dyDescent="0.35">
      <c r="A209" s="613"/>
      <c r="AV209" s="658"/>
    </row>
    <row r="210" spans="1:48" ht="18" x14ac:dyDescent="0.35">
      <c r="A210" s="613"/>
      <c r="AV210" s="658"/>
    </row>
    <row r="211" spans="1:48" ht="18" x14ac:dyDescent="0.35">
      <c r="A211" s="613"/>
      <c r="AV211" s="658"/>
    </row>
    <row r="212" spans="1:48" ht="18" x14ac:dyDescent="0.35">
      <c r="A212" s="613"/>
      <c r="AV212" s="658"/>
    </row>
    <row r="213" spans="1:48" ht="18" x14ac:dyDescent="0.35">
      <c r="A213" s="613"/>
    </row>
    <row r="214" spans="1:48" ht="18" x14ac:dyDescent="0.35">
      <c r="A214" s="613"/>
    </row>
    <row r="215" spans="1:48" ht="18" x14ac:dyDescent="0.35">
      <c r="A215" s="613"/>
    </row>
    <row r="216" spans="1:48" ht="18" x14ac:dyDescent="0.35">
      <c r="A216" s="613"/>
    </row>
    <row r="217" spans="1:48" ht="18" x14ac:dyDescent="0.35">
      <c r="A217" s="613"/>
    </row>
    <row r="218" spans="1:48" ht="18" x14ac:dyDescent="0.35">
      <c r="A218" s="613"/>
    </row>
    <row r="219" spans="1:48" ht="18" x14ac:dyDescent="0.35">
      <c r="A219" s="613"/>
    </row>
    <row r="220" spans="1:48" ht="18" x14ac:dyDescent="0.35">
      <c r="A220" s="613"/>
    </row>
    <row r="221" spans="1:48" ht="18" x14ac:dyDescent="0.35">
      <c r="A221" s="613"/>
    </row>
    <row r="222" spans="1:48" ht="18" x14ac:dyDescent="0.35">
      <c r="A222" s="613"/>
    </row>
  </sheetData>
  <mergeCells count="27">
    <mergeCell ref="AR6:AT6"/>
    <mergeCell ref="B6:D6"/>
    <mergeCell ref="H6:J6"/>
    <mergeCell ref="N6:P6"/>
    <mergeCell ref="Q6:S6"/>
    <mergeCell ref="T6:V6"/>
    <mergeCell ref="E6:G6"/>
    <mergeCell ref="K6:M6"/>
    <mergeCell ref="AC6:AE6"/>
    <mergeCell ref="AI6:AK6"/>
    <mergeCell ref="AL6:AN6"/>
    <mergeCell ref="AO6:AQ6"/>
    <mergeCell ref="B7:D7"/>
    <mergeCell ref="H7:J7"/>
    <mergeCell ref="N7:P7"/>
    <mergeCell ref="Q7:S7"/>
    <mergeCell ref="T7:V7"/>
    <mergeCell ref="K7:M7"/>
    <mergeCell ref="AO7:AQ7"/>
    <mergeCell ref="AR7:AT7"/>
    <mergeCell ref="E7:G7"/>
    <mergeCell ref="Z7:AB7"/>
    <mergeCell ref="AC7:AE7"/>
    <mergeCell ref="AF7:AH7"/>
    <mergeCell ref="AI7:AK7"/>
    <mergeCell ref="W7:Y7"/>
    <mergeCell ref="AL7:AN7"/>
  </mergeCells>
  <conditionalFormatting sqref="E20">
    <cfRule type="expression" dxfId="665" priority="793">
      <formula>#REF!="20≠21+22"</formula>
    </cfRule>
  </conditionalFormatting>
  <conditionalFormatting sqref="E32">
    <cfRule type="expression" dxfId="664" priority="794">
      <formula>#REF!="32≠24+25+26+27+28+29+31"</formula>
    </cfRule>
    <cfRule type="expression" dxfId="663" priority="795">
      <formula>#REF!="32≠33+34"</formula>
    </cfRule>
  </conditionalFormatting>
  <conditionalFormatting sqref="E44">
    <cfRule type="expression" dxfId="662" priority="796">
      <formula>#REF!="44≠36+37+38+39+40+41+43"</formula>
    </cfRule>
    <cfRule type="expression" dxfId="661" priority="797">
      <formula>#REF!="44≠45+46"</formula>
    </cfRule>
  </conditionalFormatting>
  <conditionalFormatting sqref="E56">
    <cfRule type="expression" dxfId="660" priority="798">
      <formula>#REF!="56≠48+49+50+51+52+53+55"</formula>
    </cfRule>
    <cfRule type="expression" dxfId="659" priority="799">
      <formula>#REF!="56≠57+58"</formula>
    </cfRule>
  </conditionalFormatting>
  <conditionalFormatting sqref="E68">
    <cfRule type="expression" dxfId="658" priority="800">
      <formula>#REF!="68≠60+61+62+63+64+65+67"</formula>
    </cfRule>
    <cfRule type="expression" dxfId="657" priority="801">
      <formula>#REF!="68≠69+70"</formula>
    </cfRule>
  </conditionalFormatting>
  <conditionalFormatting sqref="E80">
    <cfRule type="expression" dxfId="656" priority="802">
      <formula>#REF!="80≠72+73+74+75+76+77+79"</formula>
    </cfRule>
    <cfRule type="expression" dxfId="655" priority="803">
      <formula>#REF!="80≠81+82"</formula>
    </cfRule>
  </conditionalFormatting>
  <conditionalFormatting sqref="E92">
    <cfRule type="expression" dxfId="654" priority="804">
      <formula>#REF!="92≠84+85+86+87+88+89+91"</formula>
    </cfRule>
    <cfRule type="expression" dxfId="653" priority="805">
      <formula>#REF!="92≠93+94"</formula>
    </cfRule>
  </conditionalFormatting>
  <conditionalFormatting sqref="E104">
    <cfRule type="expression" dxfId="652" priority="806">
      <formula>#REF!="104≠96+97+98+99+100+101+103"</formula>
    </cfRule>
    <cfRule type="expression" dxfId="651" priority="807">
      <formula>#REF!="104≠105+106"</formula>
    </cfRule>
  </conditionalFormatting>
  <conditionalFormatting sqref="E116">
    <cfRule type="expression" dxfId="650" priority="808">
      <formula>#REF!="116≠108+109+110+111+112+113+115"</formula>
    </cfRule>
    <cfRule type="expression" dxfId="649" priority="809">
      <formula>#REF!="116≠117+118"</formula>
    </cfRule>
  </conditionalFormatting>
  <conditionalFormatting sqref="E130">
    <cfRule type="expression" dxfId="648" priority="810">
      <formula>#REF!="130≠122+123+124+125+126+127+129"</formula>
    </cfRule>
    <cfRule type="expression" dxfId="647" priority="811">
      <formula>#REF!="130≠131+132"</formula>
    </cfRule>
  </conditionalFormatting>
  <conditionalFormatting sqref="E142">
    <cfRule type="expression" dxfId="646" priority="812">
      <formula>#REF!="142≠134+135+136+137+138+139+141"</formula>
    </cfRule>
    <cfRule type="expression" dxfId="645" priority="813">
      <formula>#REF!="142≠143+144"</formula>
    </cfRule>
  </conditionalFormatting>
  <conditionalFormatting sqref="E20">
    <cfRule type="expression" dxfId="644" priority="814">
      <formula>#REF!="20≠12+13+14+15+16+17+19"</formula>
    </cfRule>
  </conditionalFormatting>
  <conditionalFormatting sqref="B20">
    <cfRule type="expression" dxfId="643" priority="485">
      <formula>#REF!="20≠21+22"</formula>
    </cfRule>
  </conditionalFormatting>
  <conditionalFormatting sqref="B32">
    <cfRule type="expression" dxfId="642" priority="486">
      <formula>#REF!="32≠24+25+26+27+28+29+31"</formula>
    </cfRule>
    <cfRule type="expression" dxfId="641" priority="487">
      <formula>#REF!="32≠33+34"</formula>
    </cfRule>
  </conditionalFormatting>
  <conditionalFormatting sqref="B44">
    <cfRule type="expression" dxfId="640" priority="488">
      <formula>#REF!="44≠36+37+38+39+40+41+43"</formula>
    </cfRule>
    <cfRule type="expression" dxfId="639" priority="489">
      <formula>#REF!="44≠45+46"</formula>
    </cfRule>
  </conditionalFormatting>
  <conditionalFormatting sqref="B56">
    <cfRule type="expression" dxfId="638" priority="490">
      <formula>#REF!="56≠48+49+50+51+52+53+55"</formula>
    </cfRule>
    <cfRule type="expression" dxfId="637" priority="491">
      <formula>#REF!="56≠57+58"</formula>
    </cfRule>
  </conditionalFormatting>
  <conditionalFormatting sqref="B68">
    <cfRule type="expression" dxfId="636" priority="492">
      <formula>#REF!="68≠60+61+62+63+64+65+67"</formula>
    </cfRule>
    <cfRule type="expression" dxfId="635" priority="493">
      <formula>#REF!="68≠69+70"</formula>
    </cfRule>
  </conditionalFormatting>
  <conditionalFormatting sqref="B80">
    <cfRule type="expression" dxfId="634" priority="494">
      <formula>#REF!="80≠72+73+74+75+76+77+79"</formula>
    </cfRule>
    <cfRule type="expression" dxfId="633" priority="495">
      <formula>#REF!="80≠81+82"</formula>
    </cfRule>
  </conditionalFormatting>
  <conditionalFormatting sqref="B92">
    <cfRule type="expression" dxfId="632" priority="496">
      <formula>#REF!="92≠84+85+86+87+88+89+91"</formula>
    </cfRule>
    <cfRule type="expression" dxfId="631" priority="497">
      <formula>#REF!="92≠93+94"</formula>
    </cfRule>
  </conditionalFormatting>
  <conditionalFormatting sqref="B104">
    <cfRule type="expression" dxfId="630" priority="498">
      <formula>#REF!="104≠96+97+98+99+100+101+103"</formula>
    </cfRule>
    <cfRule type="expression" dxfId="629" priority="499">
      <formula>#REF!="104≠105+106"</formula>
    </cfRule>
  </conditionalFormatting>
  <conditionalFormatting sqref="B116">
    <cfRule type="expression" dxfId="628" priority="500">
      <formula>#REF!="116≠108+109+110+111+112+113+115"</formula>
    </cfRule>
    <cfRule type="expression" dxfId="627" priority="501">
      <formula>#REF!="116≠117+118"</formula>
    </cfRule>
  </conditionalFormatting>
  <conditionalFormatting sqref="B130">
    <cfRule type="expression" dxfId="626" priority="502">
      <formula>#REF!="130≠122+123+124+125+126+127+129"</formula>
    </cfRule>
    <cfRule type="expression" dxfId="625" priority="503">
      <formula>#REF!="130≠131+132"</formula>
    </cfRule>
  </conditionalFormatting>
  <conditionalFormatting sqref="B142">
    <cfRule type="expression" dxfId="624" priority="504">
      <formula>#REF!="142≠134+135+136+137+138+139+141"</formula>
    </cfRule>
    <cfRule type="expression" dxfId="623" priority="505">
      <formula>#REF!="142≠143+144"</formula>
    </cfRule>
  </conditionalFormatting>
  <conditionalFormatting sqref="B20">
    <cfRule type="expression" dxfId="622" priority="506">
      <formula>#REF!="20≠12+13+14+15+16+17+19"</formula>
    </cfRule>
  </conditionalFormatting>
  <conditionalFormatting sqref="H20">
    <cfRule type="expression" dxfId="621" priority="441">
      <formula>#REF!="20≠21+22"</formula>
    </cfRule>
  </conditionalFormatting>
  <conditionalFormatting sqref="H32">
    <cfRule type="expression" dxfId="620" priority="442">
      <formula>#REF!="32≠24+25+26+27+28+29+31"</formula>
    </cfRule>
    <cfRule type="expression" dxfId="619" priority="443">
      <formula>#REF!="32≠33+34"</formula>
    </cfRule>
  </conditionalFormatting>
  <conditionalFormatting sqref="H44">
    <cfRule type="expression" dxfId="618" priority="444">
      <formula>#REF!="44≠36+37+38+39+40+41+43"</formula>
    </cfRule>
    <cfRule type="expression" dxfId="617" priority="445">
      <formula>#REF!="44≠45+46"</formula>
    </cfRule>
  </conditionalFormatting>
  <conditionalFormatting sqref="H56">
    <cfRule type="expression" dxfId="616" priority="446">
      <formula>#REF!="56≠48+49+50+51+52+53+55"</formula>
    </cfRule>
    <cfRule type="expression" dxfId="615" priority="447">
      <formula>#REF!="56≠57+58"</formula>
    </cfRule>
  </conditionalFormatting>
  <conditionalFormatting sqref="H68">
    <cfRule type="expression" dxfId="614" priority="448">
      <formula>#REF!="68≠60+61+62+63+64+65+67"</formula>
    </cfRule>
    <cfRule type="expression" dxfId="613" priority="449">
      <formula>#REF!="68≠69+70"</formula>
    </cfRule>
  </conditionalFormatting>
  <conditionalFormatting sqref="H80">
    <cfRule type="expression" dxfId="612" priority="450">
      <formula>#REF!="80≠72+73+74+75+76+77+79"</formula>
    </cfRule>
    <cfRule type="expression" dxfId="611" priority="451">
      <formula>#REF!="80≠81+82"</formula>
    </cfRule>
  </conditionalFormatting>
  <conditionalFormatting sqref="H92">
    <cfRule type="expression" dxfId="610" priority="452">
      <formula>#REF!="92≠84+85+86+87+88+89+91"</formula>
    </cfRule>
    <cfRule type="expression" dxfId="609" priority="453">
      <formula>#REF!="92≠93+94"</formula>
    </cfRule>
  </conditionalFormatting>
  <conditionalFormatting sqref="H104">
    <cfRule type="expression" dxfId="608" priority="454">
      <formula>#REF!="104≠96+97+98+99+100+101+103"</formula>
    </cfRule>
    <cfRule type="expression" dxfId="607" priority="455">
      <formula>#REF!="104≠105+106"</formula>
    </cfRule>
  </conditionalFormatting>
  <conditionalFormatting sqref="H116">
    <cfRule type="expression" dxfId="606" priority="456">
      <formula>#REF!="116≠108+109+110+111+112+113+115"</formula>
    </cfRule>
    <cfRule type="expression" dxfId="605" priority="457">
      <formula>#REF!="116≠117+118"</formula>
    </cfRule>
  </conditionalFormatting>
  <conditionalFormatting sqref="H130">
    <cfRule type="expression" dxfId="604" priority="458">
      <formula>#REF!="130≠122+123+124+125+126+127+129"</formula>
    </cfRule>
    <cfRule type="expression" dxfId="603" priority="459">
      <formula>#REF!="130≠131+132"</formula>
    </cfRule>
  </conditionalFormatting>
  <conditionalFormatting sqref="H142">
    <cfRule type="expression" dxfId="602" priority="460">
      <formula>#REF!="142≠134+135+136+137+138+139+141"</formula>
    </cfRule>
    <cfRule type="expression" dxfId="601" priority="461">
      <formula>#REF!="142≠143+144"</formula>
    </cfRule>
  </conditionalFormatting>
  <conditionalFormatting sqref="H20">
    <cfRule type="expression" dxfId="600" priority="462">
      <formula>#REF!="20≠12+13+14+15+16+17+19"</formula>
    </cfRule>
  </conditionalFormatting>
  <conditionalFormatting sqref="K20">
    <cfRule type="expression" dxfId="599" priority="397">
      <formula>#REF!="20≠21+22"</formula>
    </cfRule>
  </conditionalFormatting>
  <conditionalFormatting sqref="K32">
    <cfRule type="expression" dxfId="598" priority="398">
      <formula>#REF!="32≠24+25+26+27+28+29+31"</formula>
    </cfRule>
    <cfRule type="expression" dxfId="597" priority="399">
      <formula>#REF!="32≠33+34"</formula>
    </cfRule>
  </conditionalFormatting>
  <conditionalFormatting sqref="K44">
    <cfRule type="expression" dxfId="596" priority="400">
      <formula>#REF!="44≠36+37+38+39+40+41+43"</formula>
    </cfRule>
    <cfRule type="expression" dxfId="595" priority="401">
      <formula>#REF!="44≠45+46"</formula>
    </cfRule>
  </conditionalFormatting>
  <conditionalFormatting sqref="K56">
    <cfRule type="expression" dxfId="594" priority="402">
      <formula>#REF!="56≠48+49+50+51+52+53+55"</formula>
    </cfRule>
    <cfRule type="expression" dxfId="593" priority="403">
      <formula>#REF!="56≠57+58"</formula>
    </cfRule>
  </conditionalFormatting>
  <conditionalFormatting sqref="K68">
    <cfRule type="expression" dxfId="592" priority="404">
      <formula>#REF!="68≠60+61+62+63+64+65+67"</formula>
    </cfRule>
    <cfRule type="expression" dxfId="591" priority="405">
      <formula>#REF!="68≠69+70"</formula>
    </cfRule>
  </conditionalFormatting>
  <conditionalFormatting sqref="K80">
    <cfRule type="expression" dxfId="590" priority="406">
      <formula>#REF!="80≠72+73+74+75+76+77+79"</formula>
    </cfRule>
    <cfRule type="expression" dxfId="589" priority="407">
      <formula>#REF!="80≠81+82"</formula>
    </cfRule>
  </conditionalFormatting>
  <conditionalFormatting sqref="K92">
    <cfRule type="expression" dxfId="588" priority="408">
      <formula>#REF!="92≠84+85+86+87+88+89+91"</formula>
    </cfRule>
    <cfRule type="expression" dxfId="587" priority="409">
      <formula>#REF!="92≠93+94"</formula>
    </cfRule>
  </conditionalFormatting>
  <conditionalFormatting sqref="K104">
    <cfRule type="expression" dxfId="586" priority="410">
      <formula>#REF!="104≠96+97+98+99+100+101+103"</formula>
    </cfRule>
    <cfRule type="expression" dxfId="585" priority="411">
      <formula>#REF!="104≠105+106"</formula>
    </cfRule>
  </conditionalFormatting>
  <conditionalFormatting sqref="K116">
    <cfRule type="expression" dxfId="584" priority="412">
      <formula>#REF!="116≠108+109+110+111+112+113+115"</formula>
    </cfRule>
    <cfRule type="expression" dxfId="583" priority="413">
      <formula>#REF!="116≠117+118"</formula>
    </cfRule>
  </conditionalFormatting>
  <conditionalFormatting sqref="K130">
    <cfRule type="expression" dxfId="582" priority="414">
      <formula>#REF!="130≠122+123+124+125+126+127+129"</formula>
    </cfRule>
    <cfRule type="expression" dxfId="581" priority="415">
      <formula>#REF!="130≠131+132"</formula>
    </cfRule>
  </conditionalFormatting>
  <conditionalFormatting sqref="K142">
    <cfRule type="expression" dxfId="580" priority="416">
      <formula>#REF!="142≠134+135+136+137+138+139+141"</formula>
    </cfRule>
    <cfRule type="expression" dxfId="579" priority="417">
      <formula>#REF!="142≠143+144"</formula>
    </cfRule>
  </conditionalFormatting>
  <conditionalFormatting sqref="K20">
    <cfRule type="expression" dxfId="578" priority="418">
      <formula>#REF!="20≠12+13+14+15+16+17+19"</formula>
    </cfRule>
  </conditionalFormatting>
  <conditionalFormatting sqref="N20">
    <cfRule type="expression" dxfId="577" priority="353">
      <formula>#REF!="20≠21+22"</formula>
    </cfRule>
  </conditionalFormatting>
  <conditionalFormatting sqref="N32">
    <cfRule type="expression" dxfId="576" priority="354">
      <formula>#REF!="32≠24+25+26+27+28+29+31"</formula>
    </cfRule>
    <cfRule type="expression" dxfId="575" priority="355">
      <formula>#REF!="32≠33+34"</formula>
    </cfRule>
  </conditionalFormatting>
  <conditionalFormatting sqref="N44">
    <cfRule type="expression" dxfId="574" priority="356">
      <formula>#REF!="44≠36+37+38+39+40+41+43"</formula>
    </cfRule>
    <cfRule type="expression" dxfId="573" priority="357">
      <formula>#REF!="44≠45+46"</formula>
    </cfRule>
  </conditionalFormatting>
  <conditionalFormatting sqref="N56">
    <cfRule type="expression" dxfId="572" priority="358">
      <formula>#REF!="56≠48+49+50+51+52+53+55"</formula>
    </cfRule>
    <cfRule type="expression" dxfId="571" priority="359">
      <formula>#REF!="56≠57+58"</formula>
    </cfRule>
  </conditionalFormatting>
  <conditionalFormatting sqref="N68">
    <cfRule type="expression" dxfId="570" priority="360">
      <formula>#REF!="68≠60+61+62+63+64+65+67"</formula>
    </cfRule>
    <cfRule type="expression" dxfId="569" priority="361">
      <formula>#REF!="68≠69+70"</formula>
    </cfRule>
  </conditionalFormatting>
  <conditionalFormatting sqref="N80">
    <cfRule type="expression" dxfId="568" priority="362">
      <formula>#REF!="80≠72+73+74+75+76+77+79"</formula>
    </cfRule>
    <cfRule type="expression" dxfId="567" priority="363">
      <formula>#REF!="80≠81+82"</formula>
    </cfRule>
  </conditionalFormatting>
  <conditionalFormatting sqref="N92">
    <cfRule type="expression" dxfId="566" priority="364">
      <formula>#REF!="92≠84+85+86+87+88+89+91"</formula>
    </cfRule>
    <cfRule type="expression" dxfId="565" priority="365">
      <formula>#REF!="92≠93+94"</formula>
    </cfRule>
  </conditionalFormatting>
  <conditionalFormatting sqref="N104">
    <cfRule type="expression" dxfId="564" priority="366">
      <formula>#REF!="104≠96+97+98+99+100+101+103"</formula>
    </cfRule>
    <cfRule type="expression" dxfId="563" priority="367">
      <formula>#REF!="104≠105+106"</formula>
    </cfRule>
  </conditionalFormatting>
  <conditionalFormatting sqref="N116">
    <cfRule type="expression" dxfId="562" priority="368">
      <formula>#REF!="116≠108+109+110+111+112+113+115"</formula>
    </cfRule>
    <cfRule type="expression" dxfId="561" priority="369">
      <formula>#REF!="116≠117+118"</formula>
    </cfRule>
  </conditionalFormatting>
  <conditionalFormatting sqref="N130">
    <cfRule type="expression" dxfId="560" priority="370">
      <formula>#REF!="130≠122+123+124+125+126+127+129"</formula>
    </cfRule>
    <cfRule type="expression" dxfId="559" priority="371">
      <formula>#REF!="130≠131+132"</formula>
    </cfRule>
  </conditionalFormatting>
  <conditionalFormatting sqref="N142">
    <cfRule type="expression" dxfId="558" priority="372">
      <formula>#REF!="142≠134+135+136+137+138+139+141"</formula>
    </cfRule>
    <cfRule type="expression" dxfId="557" priority="373">
      <formula>#REF!="142≠143+144"</formula>
    </cfRule>
  </conditionalFormatting>
  <conditionalFormatting sqref="N20">
    <cfRule type="expression" dxfId="556" priority="374">
      <formula>#REF!="20≠12+13+14+15+16+17+19"</formula>
    </cfRule>
  </conditionalFormatting>
  <conditionalFormatting sqref="Q20">
    <cfRule type="expression" dxfId="555" priority="309">
      <formula>#REF!="20≠21+22"</formula>
    </cfRule>
  </conditionalFormatting>
  <conditionalFormatting sqref="Q32">
    <cfRule type="expression" dxfId="554" priority="310">
      <formula>#REF!="32≠24+25+26+27+28+29+31"</formula>
    </cfRule>
    <cfRule type="expression" dxfId="553" priority="311">
      <formula>#REF!="32≠33+34"</formula>
    </cfRule>
  </conditionalFormatting>
  <conditionalFormatting sqref="Q44">
    <cfRule type="expression" dxfId="552" priority="312">
      <formula>#REF!="44≠36+37+38+39+40+41+43"</formula>
    </cfRule>
    <cfRule type="expression" dxfId="551" priority="313">
      <formula>#REF!="44≠45+46"</formula>
    </cfRule>
  </conditionalFormatting>
  <conditionalFormatting sqref="Q56">
    <cfRule type="expression" dxfId="550" priority="314">
      <formula>#REF!="56≠48+49+50+51+52+53+55"</formula>
    </cfRule>
    <cfRule type="expression" dxfId="549" priority="315">
      <formula>#REF!="56≠57+58"</formula>
    </cfRule>
  </conditionalFormatting>
  <conditionalFormatting sqref="Q68">
    <cfRule type="expression" dxfId="548" priority="316">
      <formula>#REF!="68≠60+61+62+63+64+65+67"</formula>
    </cfRule>
    <cfRule type="expression" dxfId="547" priority="317">
      <formula>#REF!="68≠69+70"</formula>
    </cfRule>
  </conditionalFormatting>
  <conditionalFormatting sqref="Q80">
    <cfRule type="expression" dxfId="546" priority="318">
      <formula>#REF!="80≠72+73+74+75+76+77+79"</formula>
    </cfRule>
    <cfRule type="expression" dxfId="545" priority="319">
      <formula>#REF!="80≠81+82"</formula>
    </cfRule>
  </conditionalFormatting>
  <conditionalFormatting sqref="Q92">
    <cfRule type="expression" dxfId="544" priority="320">
      <formula>#REF!="92≠84+85+86+87+88+89+91"</formula>
    </cfRule>
    <cfRule type="expression" dxfId="543" priority="321">
      <formula>#REF!="92≠93+94"</formula>
    </cfRule>
  </conditionalFormatting>
  <conditionalFormatting sqref="Q104">
    <cfRule type="expression" dxfId="542" priority="322">
      <formula>#REF!="104≠96+97+98+99+100+101+103"</formula>
    </cfRule>
    <cfRule type="expression" dxfId="541" priority="323">
      <formula>#REF!="104≠105+106"</formula>
    </cfRule>
  </conditionalFormatting>
  <conditionalFormatting sqref="Q116">
    <cfRule type="expression" dxfId="540" priority="324">
      <formula>#REF!="116≠108+109+110+111+112+113+115"</formula>
    </cfRule>
    <cfRule type="expression" dxfId="539" priority="325">
      <formula>#REF!="116≠117+118"</formula>
    </cfRule>
  </conditionalFormatting>
  <conditionalFormatting sqref="Q130">
    <cfRule type="expression" dxfId="538" priority="326">
      <formula>#REF!="130≠122+123+124+125+126+127+129"</formula>
    </cfRule>
    <cfRule type="expression" dxfId="537" priority="327">
      <formula>#REF!="130≠131+132"</formula>
    </cfRule>
  </conditionalFormatting>
  <conditionalFormatting sqref="Q142">
    <cfRule type="expression" dxfId="536" priority="328">
      <formula>#REF!="142≠134+135+136+137+138+139+141"</formula>
    </cfRule>
    <cfRule type="expression" dxfId="535" priority="329">
      <formula>#REF!="142≠143+144"</formula>
    </cfRule>
  </conditionalFormatting>
  <conditionalFormatting sqref="Q20">
    <cfRule type="expression" dxfId="534" priority="330">
      <formula>#REF!="20≠12+13+14+15+16+17+19"</formula>
    </cfRule>
  </conditionalFormatting>
  <conditionalFormatting sqref="AF20">
    <cfRule type="expression" dxfId="533" priority="265">
      <formula>#REF!="20≠21+22"</formula>
    </cfRule>
  </conditionalFormatting>
  <conditionalFormatting sqref="AF32">
    <cfRule type="expression" dxfId="532" priority="266">
      <formula>#REF!="32≠24+25+26+27+28+29+31"</formula>
    </cfRule>
    <cfRule type="expression" dxfId="531" priority="267">
      <formula>#REF!="32≠33+34"</formula>
    </cfRule>
  </conditionalFormatting>
  <conditionalFormatting sqref="AF44">
    <cfRule type="expression" dxfId="530" priority="268">
      <formula>#REF!="44≠36+37+38+39+40+41+43"</formula>
    </cfRule>
    <cfRule type="expression" dxfId="529" priority="269">
      <formula>#REF!="44≠45+46"</formula>
    </cfRule>
  </conditionalFormatting>
  <conditionalFormatting sqref="AF56">
    <cfRule type="expression" dxfId="528" priority="270">
      <formula>#REF!="56≠48+49+50+51+52+53+55"</formula>
    </cfRule>
    <cfRule type="expression" dxfId="527" priority="271">
      <formula>#REF!="56≠57+58"</formula>
    </cfRule>
  </conditionalFormatting>
  <conditionalFormatting sqref="AF68">
    <cfRule type="expression" dxfId="526" priority="272">
      <formula>#REF!="68≠60+61+62+63+64+65+67"</formula>
    </cfRule>
    <cfRule type="expression" dxfId="525" priority="273">
      <formula>#REF!="68≠69+70"</formula>
    </cfRule>
  </conditionalFormatting>
  <conditionalFormatting sqref="AF80">
    <cfRule type="expression" dxfId="524" priority="274">
      <formula>#REF!="80≠72+73+74+75+76+77+79"</formula>
    </cfRule>
    <cfRule type="expression" dxfId="523" priority="275">
      <formula>#REF!="80≠81+82"</formula>
    </cfRule>
  </conditionalFormatting>
  <conditionalFormatting sqref="AF92">
    <cfRule type="expression" dxfId="522" priority="276">
      <formula>#REF!="92≠84+85+86+87+88+89+91"</formula>
    </cfRule>
    <cfRule type="expression" dxfId="521" priority="277">
      <formula>#REF!="92≠93+94"</formula>
    </cfRule>
  </conditionalFormatting>
  <conditionalFormatting sqref="AF104">
    <cfRule type="expression" dxfId="520" priority="278">
      <formula>#REF!="104≠96+97+98+99+100+101+103"</formula>
    </cfRule>
    <cfRule type="expression" dxfId="519" priority="279">
      <formula>#REF!="104≠105+106"</formula>
    </cfRule>
  </conditionalFormatting>
  <conditionalFormatting sqref="AF116">
    <cfRule type="expression" dxfId="518" priority="280">
      <formula>#REF!="116≠108+109+110+111+112+113+115"</formula>
    </cfRule>
    <cfRule type="expression" dxfId="517" priority="281">
      <formula>#REF!="116≠117+118"</formula>
    </cfRule>
  </conditionalFormatting>
  <conditionalFormatting sqref="AF130">
    <cfRule type="expression" dxfId="516" priority="282">
      <formula>#REF!="130≠122+123+124+125+126+127+129"</formula>
    </cfRule>
    <cfRule type="expression" dxfId="515" priority="283">
      <formula>#REF!="130≠131+132"</formula>
    </cfRule>
  </conditionalFormatting>
  <conditionalFormatting sqref="AF142">
    <cfRule type="expression" dxfId="514" priority="284">
      <formula>#REF!="142≠134+135+136+137+138+139+141"</formula>
    </cfRule>
    <cfRule type="expression" dxfId="513" priority="285">
      <formula>#REF!="142≠143+144"</formula>
    </cfRule>
  </conditionalFormatting>
  <conditionalFormatting sqref="AF20">
    <cfRule type="expression" dxfId="512" priority="286">
      <formula>#REF!="20≠12+13+14+15+16+17+19"</formula>
    </cfRule>
  </conditionalFormatting>
  <conditionalFormatting sqref="T20">
    <cfRule type="expression" dxfId="511" priority="221">
      <formula>#REF!="20≠21+22"</formula>
    </cfRule>
  </conditionalFormatting>
  <conditionalFormatting sqref="T32">
    <cfRule type="expression" dxfId="510" priority="222">
      <formula>#REF!="32≠24+25+26+27+28+29+31"</formula>
    </cfRule>
    <cfRule type="expression" dxfId="509" priority="223">
      <formula>#REF!="32≠33+34"</formula>
    </cfRule>
  </conditionalFormatting>
  <conditionalFormatting sqref="T44">
    <cfRule type="expression" dxfId="508" priority="224">
      <formula>#REF!="44≠36+37+38+39+40+41+43"</formula>
    </cfRule>
    <cfRule type="expression" dxfId="507" priority="225">
      <formula>#REF!="44≠45+46"</formula>
    </cfRule>
  </conditionalFormatting>
  <conditionalFormatting sqref="T56">
    <cfRule type="expression" dxfId="506" priority="226">
      <formula>#REF!="56≠48+49+50+51+52+53+55"</formula>
    </cfRule>
    <cfRule type="expression" dxfId="505" priority="227">
      <formula>#REF!="56≠57+58"</formula>
    </cfRule>
  </conditionalFormatting>
  <conditionalFormatting sqref="T68">
    <cfRule type="expression" dxfId="504" priority="228">
      <formula>#REF!="68≠60+61+62+63+64+65+67"</formula>
    </cfRule>
    <cfRule type="expression" dxfId="503" priority="229">
      <formula>#REF!="68≠69+70"</formula>
    </cfRule>
  </conditionalFormatting>
  <conditionalFormatting sqref="T80">
    <cfRule type="expression" dxfId="502" priority="230">
      <formula>#REF!="80≠72+73+74+75+76+77+79"</formula>
    </cfRule>
    <cfRule type="expression" dxfId="501" priority="231">
      <formula>#REF!="80≠81+82"</formula>
    </cfRule>
  </conditionalFormatting>
  <conditionalFormatting sqref="T92">
    <cfRule type="expression" dxfId="500" priority="232">
      <formula>#REF!="92≠84+85+86+87+88+89+91"</formula>
    </cfRule>
    <cfRule type="expression" dxfId="499" priority="233">
      <formula>#REF!="92≠93+94"</formula>
    </cfRule>
  </conditionalFormatting>
  <conditionalFormatting sqref="T104">
    <cfRule type="expression" dxfId="498" priority="234">
      <formula>#REF!="104≠96+97+98+99+100+101+103"</formula>
    </cfRule>
    <cfRule type="expression" dxfId="497" priority="235">
      <formula>#REF!="104≠105+106"</formula>
    </cfRule>
  </conditionalFormatting>
  <conditionalFormatting sqref="T116">
    <cfRule type="expression" dxfId="496" priority="236">
      <formula>#REF!="116≠108+109+110+111+112+113+115"</formula>
    </cfRule>
    <cfRule type="expression" dxfId="495" priority="237">
      <formula>#REF!="116≠117+118"</formula>
    </cfRule>
  </conditionalFormatting>
  <conditionalFormatting sqref="T130">
    <cfRule type="expression" dxfId="494" priority="238">
      <formula>#REF!="130≠122+123+124+125+126+127+129"</formula>
    </cfRule>
    <cfRule type="expression" dxfId="493" priority="239">
      <formula>#REF!="130≠131+132"</formula>
    </cfRule>
  </conditionalFormatting>
  <conditionalFormatting sqref="T142">
    <cfRule type="expression" dxfId="492" priority="240">
      <formula>#REF!="142≠134+135+136+137+138+139+141"</formula>
    </cfRule>
    <cfRule type="expression" dxfId="491" priority="241">
      <formula>#REF!="142≠143+144"</formula>
    </cfRule>
  </conditionalFormatting>
  <conditionalFormatting sqref="T20">
    <cfRule type="expression" dxfId="490" priority="242">
      <formula>#REF!="20≠12+13+14+15+16+17+19"</formula>
    </cfRule>
  </conditionalFormatting>
  <conditionalFormatting sqref="W20">
    <cfRule type="expression" dxfId="489" priority="177">
      <formula>#REF!="20≠21+22"</formula>
    </cfRule>
  </conditionalFormatting>
  <conditionalFormatting sqref="W32">
    <cfRule type="expression" dxfId="488" priority="178">
      <formula>#REF!="32≠24+25+26+27+28+29+31"</formula>
    </cfRule>
    <cfRule type="expression" dxfId="487" priority="179">
      <formula>#REF!="32≠33+34"</formula>
    </cfRule>
  </conditionalFormatting>
  <conditionalFormatting sqref="W44">
    <cfRule type="expression" dxfId="486" priority="180">
      <formula>#REF!="44≠36+37+38+39+40+41+43"</formula>
    </cfRule>
    <cfRule type="expression" dxfId="485" priority="181">
      <formula>#REF!="44≠45+46"</formula>
    </cfRule>
  </conditionalFormatting>
  <conditionalFormatting sqref="W56">
    <cfRule type="expression" dxfId="484" priority="182">
      <formula>#REF!="56≠48+49+50+51+52+53+55"</formula>
    </cfRule>
    <cfRule type="expression" dxfId="483" priority="183">
      <formula>#REF!="56≠57+58"</formula>
    </cfRule>
  </conditionalFormatting>
  <conditionalFormatting sqref="W68">
    <cfRule type="expression" dxfId="482" priority="184">
      <formula>#REF!="68≠60+61+62+63+64+65+67"</formula>
    </cfRule>
    <cfRule type="expression" dxfId="481" priority="185">
      <formula>#REF!="68≠69+70"</formula>
    </cfRule>
  </conditionalFormatting>
  <conditionalFormatting sqref="W80">
    <cfRule type="expression" dxfId="480" priority="186">
      <formula>#REF!="80≠72+73+74+75+76+77+79"</formula>
    </cfRule>
    <cfRule type="expression" dxfId="479" priority="187">
      <formula>#REF!="80≠81+82"</formula>
    </cfRule>
  </conditionalFormatting>
  <conditionalFormatting sqref="W92">
    <cfRule type="expression" dxfId="478" priority="188">
      <formula>#REF!="92≠84+85+86+87+88+89+91"</formula>
    </cfRule>
    <cfRule type="expression" dxfId="477" priority="189">
      <formula>#REF!="92≠93+94"</formula>
    </cfRule>
  </conditionalFormatting>
  <conditionalFormatting sqref="W104">
    <cfRule type="expression" dxfId="476" priority="190">
      <formula>#REF!="104≠96+97+98+99+100+101+103"</formula>
    </cfRule>
    <cfRule type="expression" dxfId="475" priority="191">
      <formula>#REF!="104≠105+106"</formula>
    </cfRule>
  </conditionalFormatting>
  <conditionalFormatting sqref="W116">
    <cfRule type="expression" dxfId="474" priority="192">
      <formula>#REF!="116≠108+109+110+111+112+113+115"</formula>
    </cfRule>
    <cfRule type="expression" dxfId="473" priority="193">
      <formula>#REF!="116≠117+118"</formula>
    </cfRule>
  </conditionalFormatting>
  <conditionalFormatting sqref="W130">
    <cfRule type="expression" dxfId="472" priority="194">
      <formula>#REF!="130≠122+123+124+125+126+127+129"</formula>
    </cfRule>
    <cfRule type="expression" dxfId="471" priority="195">
      <formula>#REF!="130≠131+132"</formula>
    </cfRule>
  </conditionalFormatting>
  <conditionalFormatting sqref="W142">
    <cfRule type="expression" dxfId="470" priority="196">
      <formula>#REF!="142≠134+135+136+137+138+139+141"</formula>
    </cfRule>
    <cfRule type="expression" dxfId="469" priority="197">
      <formula>#REF!="142≠143+144"</formula>
    </cfRule>
  </conditionalFormatting>
  <conditionalFormatting sqref="W20">
    <cfRule type="expression" dxfId="468" priority="198">
      <formula>#REF!="20≠12+13+14+15+16+17+19"</formula>
    </cfRule>
  </conditionalFormatting>
  <conditionalFormatting sqref="Z20">
    <cfRule type="expression" dxfId="467" priority="133">
      <formula>#REF!="20≠21+22"</formula>
    </cfRule>
  </conditionalFormatting>
  <conditionalFormatting sqref="Z32">
    <cfRule type="expression" dxfId="466" priority="134">
      <formula>#REF!="32≠24+25+26+27+28+29+31"</formula>
    </cfRule>
    <cfRule type="expression" dxfId="465" priority="135">
      <formula>#REF!="32≠33+34"</formula>
    </cfRule>
  </conditionalFormatting>
  <conditionalFormatting sqref="Z44">
    <cfRule type="expression" dxfId="464" priority="136">
      <formula>#REF!="44≠36+37+38+39+40+41+43"</formula>
    </cfRule>
    <cfRule type="expression" dxfId="463" priority="137">
      <formula>#REF!="44≠45+46"</formula>
    </cfRule>
  </conditionalFormatting>
  <conditionalFormatting sqref="Z56">
    <cfRule type="expression" dxfId="462" priority="138">
      <formula>#REF!="56≠48+49+50+51+52+53+55"</formula>
    </cfRule>
    <cfRule type="expression" dxfId="461" priority="139">
      <formula>#REF!="56≠57+58"</formula>
    </cfRule>
  </conditionalFormatting>
  <conditionalFormatting sqref="Z68">
    <cfRule type="expression" dxfId="460" priority="140">
      <formula>#REF!="68≠60+61+62+63+64+65+67"</formula>
    </cfRule>
    <cfRule type="expression" dxfId="459" priority="141">
      <formula>#REF!="68≠69+70"</formula>
    </cfRule>
  </conditionalFormatting>
  <conditionalFormatting sqref="Z80">
    <cfRule type="expression" dxfId="458" priority="142">
      <formula>#REF!="80≠72+73+74+75+76+77+79"</formula>
    </cfRule>
    <cfRule type="expression" dxfId="457" priority="143">
      <formula>#REF!="80≠81+82"</formula>
    </cfRule>
  </conditionalFormatting>
  <conditionalFormatting sqref="Z92">
    <cfRule type="expression" dxfId="456" priority="144">
      <formula>#REF!="92≠84+85+86+87+88+89+91"</formula>
    </cfRule>
    <cfRule type="expression" dxfId="455" priority="145">
      <formula>#REF!="92≠93+94"</formula>
    </cfRule>
  </conditionalFormatting>
  <conditionalFormatting sqref="Z104">
    <cfRule type="expression" dxfId="454" priority="146">
      <formula>#REF!="104≠96+97+98+99+100+101+103"</formula>
    </cfRule>
    <cfRule type="expression" dxfId="453" priority="147">
      <formula>#REF!="104≠105+106"</formula>
    </cfRule>
  </conditionalFormatting>
  <conditionalFormatting sqref="Z116">
    <cfRule type="expression" dxfId="452" priority="148">
      <formula>#REF!="116≠108+109+110+111+112+113+115"</formula>
    </cfRule>
    <cfRule type="expression" dxfId="451" priority="149">
      <formula>#REF!="116≠117+118"</formula>
    </cfRule>
  </conditionalFormatting>
  <conditionalFormatting sqref="Z130">
    <cfRule type="expression" dxfId="450" priority="150">
      <formula>#REF!="130≠122+123+124+125+126+127+129"</formula>
    </cfRule>
    <cfRule type="expression" dxfId="449" priority="151">
      <formula>#REF!="130≠131+132"</formula>
    </cfRule>
  </conditionalFormatting>
  <conditionalFormatting sqref="Z142">
    <cfRule type="expression" dxfId="448" priority="152">
      <formula>#REF!="142≠134+135+136+137+138+139+141"</formula>
    </cfRule>
    <cfRule type="expression" dxfId="447" priority="153">
      <formula>#REF!="142≠143+144"</formula>
    </cfRule>
  </conditionalFormatting>
  <conditionalFormatting sqref="Z20">
    <cfRule type="expression" dxfId="446" priority="154">
      <formula>#REF!="20≠12+13+14+15+16+17+19"</formula>
    </cfRule>
  </conditionalFormatting>
  <conditionalFormatting sqref="AC20">
    <cfRule type="expression" dxfId="445" priority="89">
      <formula>#REF!="20≠21+22"</formula>
    </cfRule>
  </conditionalFormatting>
  <conditionalFormatting sqref="AC32">
    <cfRule type="expression" dxfId="444" priority="90">
      <formula>#REF!="32≠24+25+26+27+28+29+31"</formula>
    </cfRule>
    <cfRule type="expression" dxfId="443" priority="91">
      <formula>#REF!="32≠33+34"</formula>
    </cfRule>
  </conditionalFormatting>
  <conditionalFormatting sqref="AC44">
    <cfRule type="expression" dxfId="442" priority="92">
      <formula>#REF!="44≠36+37+38+39+40+41+43"</formula>
    </cfRule>
    <cfRule type="expression" dxfId="441" priority="93">
      <formula>#REF!="44≠45+46"</formula>
    </cfRule>
  </conditionalFormatting>
  <conditionalFormatting sqref="AC56">
    <cfRule type="expression" dxfId="440" priority="94">
      <formula>#REF!="56≠48+49+50+51+52+53+55"</formula>
    </cfRule>
    <cfRule type="expression" dxfId="439" priority="95">
      <formula>#REF!="56≠57+58"</formula>
    </cfRule>
  </conditionalFormatting>
  <conditionalFormatting sqref="AC68">
    <cfRule type="expression" dxfId="438" priority="96">
      <formula>#REF!="68≠60+61+62+63+64+65+67"</formula>
    </cfRule>
    <cfRule type="expression" dxfId="437" priority="97">
      <formula>#REF!="68≠69+70"</formula>
    </cfRule>
  </conditionalFormatting>
  <conditionalFormatting sqref="AC80">
    <cfRule type="expression" dxfId="436" priority="98">
      <formula>#REF!="80≠72+73+74+75+76+77+79"</formula>
    </cfRule>
    <cfRule type="expression" dxfId="435" priority="99">
      <formula>#REF!="80≠81+82"</formula>
    </cfRule>
  </conditionalFormatting>
  <conditionalFormatting sqref="AC92">
    <cfRule type="expression" dxfId="434" priority="100">
      <formula>#REF!="92≠84+85+86+87+88+89+91"</formula>
    </cfRule>
    <cfRule type="expression" dxfId="433" priority="101">
      <formula>#REF!="92≠93+94"</formula>
    </cfRule>
  </conditionalFormatting>
  <conditionalFormatting sqref="AC104">
    <cfRule type="expression" dxfId="432" priority="102">
      <formula>#REF!="104≠96+97+98+99+100+101+103"</formula>
    </cfRule>
    <cfRule type="expression" dxfId="431" priority="103">
      <formula>#REF!="104≠105+106"</formula>
    </cfRule>
  </conditionalFormatting>
  <conditionalFormatting sqref="AC116">
    <cfRule type="expression" dxfId="430" priority="104">
      <formula>#REF!="116≠108+109+110+111+112+113+115"</formula>
    </cfRule>
    <cfRule type="expression" dxfId="429" priority="105">
      <formula>#REF!="116≠117+118"</formula>
    </cfRule>
  </conditionalFormatting>
  <conditionalFormatting sqref="AC130">
    <cfRule type="expression" dxfId="428" priority="106">
      <formula>#REF!="130≠122+123+124+125+126+127+129"</formula>
    </cfRule>
    <cfRule type="expression" dxfId="427" priority="107">
      <formula>#REF!="130≠131+132"</formula>
    </cfRule>
  </conditionalFormatting>
  <conditionalFormatting sqref="AC142">
    <cfRule type="expression" dxfId="426" priority="108">
      <formula>#REF!="142≠134+135+136+137+138+139+141"</formula>
    </cfRule>
    <cfRule type="expression" dxfId="425" priority="109">
      <formula>#REF!="142≠143+144"</formula>
    </cfRule>
  </conditionalFormatting>
  <conditionalFormatting sqref="AC20">
    <cfRule type="expression" dxfId="424" priority="110">
      <formula>#REF!="20≠12+13+14+15+16+17+19"</formula>
    </cfRule>
  </conditionalFormatting>
  <conditionalFormatting sqref="AI20">
    <cfRule type="expression" dxfId="423" priority="45">
      <formula>#REF!="20≠21+22"</formula>
    </cfRule>
  </conditionalFormatting>
  <conditionalFormatting sqref="AI32">
    <cfRule type="expression" dxfId="422" priority="46">
      <formula>#REF!="32≠24+25+26+27+28+29+31"</formula>
    </cfRule>
    <cfRule type="expression" dxfId="421" priority="47">
      <formula>#REF!="32≠33+34"</formula>
    </cfRule>
  </conditionalFormatting>
  <conditionalFormatting sqref="AI44">
    <cfRule type="expression" dxfId="420" priority="48">
      <formula>#REF!="44≠36+37+38+39+40+41+43"</formula>
    </cfRule>
    <cfRule type="expression" dxfId="419" priority="49">
      <formula>#REF!="44≠45+46"</formula>
    </cfRule>
  </conditionalFormatting>
  <conditionalFormatting sqref="AI56">
    <cfRule type="expression" dxfId="418" priority="50">
      <formula>#REF!="56≠48+49+50+51+52+53+55"</formula>
    </cfRule>
    <cfRule type="expression" dxfId="417" priority="51">
      <formula>#REF!="56≠57+58"</formula>
    </cfRule>
  </conditionalFormatting>
  <conditionalFormatting sqref="AI68">
    <cfRule type="expression" dxfId="416" priority="52">
      <formula>#REF!="68≠60+61+62+63+64+65+67"</formula>
    </cfRule>
    <cfRule type="expression" dxfId="415" priority="53">
      <formula>#REF!="68≠69+70"</formula>
    </cfRule>
  </conditionalFormatting>
  <conditionalFormatting sqref="AI80">
    <cfRule type="expression" dxfId="414" priority="54">
      <formula>#REF!="80≠72+73+74+75+76+77+79"</formula>
    </cfRule>
    <cfRule type="expression" dxfId="413" priority="55">
      <formula>#REF!="80≠81+82"</formula>
    </cfRule>
  </conditionalFormatting>
  <conditionalFormatting sqref="AI92">
    <cfRule type="expression" dxfId="412" priority="56">
      <formula>#REF!="92≠84+85+86+87+88+89+91"</formula>
    </cfRule>
    <cfRule type="expression" dxfId="411" priority="57">
      <formula>#REF!="92≠93+94"</formula>
    </cfRule>
  </conditionalFormatting>
  <conditionalFormatting sqref="AI104">
    <cfRule type="expression" dxfId="410" priority="58">
      <formula>#REF!="104≠96+97+98+99+100+101+103"</formula>
    </cfRule>
    <cfRule type="expression" dxfId="409" priority="59">
      <formula>#REF!="104≠105+106"</formula>
    </cfRule>
  </conditionalFormatting>
  <conditionalFormatting sqref="AI116">
    <cfRule type="expression" dxfId="408" priority="60">
      <formula>#REF!="116≠108+109+110+111+112+113+115"</formula>
    </cfRule>
    <cfRule type="expression" dxfId="407" priority="61">
      <formula>#REF!="116≠117+118"</formula>
    </cfRule>
  </conditionalFormatting>
  <conditionalFormatting sqref="AI130">
    <cfRule type="expression" dxfId="406" priority="62">
      <formula>#REF!="130≠122+123+124+125+126+127+129"</formula>
    </cfRule>
    <cfRule type="expression" dxfId="405" priority="63">
      <formula>#REF!="130≠131+132"</formula>
    </cfRule>
  </conditionalFormatting>
  <conditionalFormatting sqref="AI142">
    <cfRule type="expression" dxfId="404" priority="64">
      <formula>#REF!="142≠134+135+136+137+138+139+141"</formula>
    </cfRule>
    <cfRule type="expression" dxfId="403" priority="65">
      <formula>#REF!="142≠143+144"</formula>
    </cfRule>
  </conditionalFormatting>
  <conditionalFormatting sqref="AI20">
    <cfRule type="expression" dxfId="402" priority="66">
      <formula>#REF!="20≠12+13+14+15+16+17+19"</formula>
    </cfRule>
  </conditionalFormatting>
  <conditionalFormatting sqref="AL20">
    <cfRule type="expression" dxfId="401" priority="1">
      <formula>#REF!="20≠21+22"</formula>
    </cfRule>
  </conditionalFormatting>
  <conditionalFormatting sqref="AL32">
    <cfRule type="expression" dxfId="400" priority="2">
      <formula>#REF!="32≠24+25+26+27+28+29+31"</formula>
    </cfRule>
    <cfRule type="expression" dxfId="399" priority="3">
      <formula>#REF!="32≠33+34"</formula>
    </cfRule>
  </conditionalFormatting>
  <conditionalFormatting sqref="AL44">
    <cfRule type="expression" dxfId="398" priority="4">
      <formula>#REF!="44≠36+37+38+39+40+41+43"</formula>
    </cfRule>
    <cfRule type="expression" dxfId="397" priority="5">
      <formula>#REF!="44≠45+46"</formula>
    </cfRule>
  </conditionalFormatting>
  <conditionalFormatting sqref="AL56">
    <cfRule type="expression" dxfId="396" priority="6">
      <formula>#REF!="56≠48+49+50+51+52+53+55"</formula>
    </cfRule>
    <cfRule type="expression" dxfId="395" priority="7">
      <formula>#REF!="56≠57+58"</formula>
    </cfRule>
  </conditionalFormatting>
  <conditionalFormatting sqref="AL68">
    <cfRule type="expression" dxfId="394" priority="8">
      <formula>#REF!="68≠60+61+62+63+64+65+67"</formula>
    </cfRule>
    <cfRule type="expression" dxfId="393" priority="9">
      <formula>#REF!="68≠69+70"</formula>
    </cfRule>
  </conditionalFormatting>
  <conditionalFormatting sqref="AL80">
    <cfRule type="expression" dxfId="392" priority="10">
      <formula>#REF!="80≠72+73+74+75+76+77+79"</formula>
    </cfRule>
    <cfRule type="expression" dxfId="391" priority="11">
      <formula>#REF!="80≠81+82"</formula>
    </cfRule>
  </conditionalFormatting>
  <conditionalFormatting sqref="AL92">
    <cfRule type="expression" dxfId="390" priority="12">
      <formula>#REF!="92≠84+85+86+87+88+89+91"</formula>
    </cfRule>
    <cfRule type="expression" dxfId="389" priority="13">
      <formula>#REF!="92≠93+94"</formula>
    </cfRule>
  </conditionalFormatting>
  <conditionalFormatting sqref="AL104">
    <cfRule type="expression" dxfId="388" priority="14">
      <formula>#REF!="104≠96+97+98+99+100+101+103"</formula>
    </cfRule>
    <cfRule type="expression" dxfId="387" priority="15">
      <formula>#REF!="104≠105+106"</formula>
    </cfRule>
  </conditionalFormatting>
  <conditionalFormatting sqref="AL116">
    <cfRule type="expression" dxfId="386" priority="16">
      <formula>#REF!="116≠108+109+110+111+112+113+115"</formula>
    </cfRule>
    <cfRule type="expression" dxfId="385" priority="17">
      <formula>#REF!="116≠117+118"</formula>
    </cfRule>
  </conditionalFormatting>
  <conditionalFormatting sqref="AL130">
    <cfRule type="expression" dxfId="384" priority="18">
      <formula>#REF!="130≠122+123+124+125+126+127+129"</formula>
    </cfRule>
    <cfRule type="expression" dxfId="383" priority="19">
      <formula>#REF!="130≠131+132"</formula>
    </cfRule>
  </conditionalFormatting>
  <conditionalFormatting sqref="AL142">
    <cfRule type="expression" dxfId="382" priority="20">
      <formula>#REF!="142≠134+135+136+137+138+139+141"</formula>
    </cfRule>
    <cfRule type="expression" dxfId="381" priority="21">
      <formula>#REF!="142≠143+144"</formula>
    </cfRule>
  </conditionalFormatting>
  <conditionalFormatting sqref="AL20">
    <cfRule type="expression" dxfId="380" priority="22">
      <formula>#REF!="20≠12+13+14+15+16+17+19"</formula>
    </cfRule>
  </conditionalFormatting>
  <conditionalFormatting sqref="F20 C20 I20 L20 O20 R20 AG20 U20 X20 AA20 AD20 AJ20 AM20">
    <cfRule type="expression" dxfId="379" priority="1343">
      <formula>#REF!="20≠21+22"</formula>
    </cfRule>
  </conditionalFormatting>
  <conditionalFormatting sqref="F32 C32 I32 L32 O32 R32 AG32 U32 X32 AA32 AD32 AJ32 AM32">
    <cfRule type="expression" dxfId="378" priority="1344">
      <formula>#REF!="32≠24+25+26+27+28+29+31"</formula>
    </cfRule>
    <cfRule type="expression" dxfId="377" priority="1345">
      <formula>#REF!="32≠33+34"</formula>
    </cfRule>
  </conditionalFormatting>
  <conditionalFormatting sqref="F44 C44 I44 L44 O44 R44 AG44 U44 X44 AA44 AD44 AJ44 AM44">
    <cfRule type="expression" dxfId="376" priority="1346">
      <formula>#REF!="44≠36+37+38+39+40+41+43"</formula>
    </cfRule>
    <cfRule type="expression" dxfId="375" priority="1347">
      <formula>#REF!="44≠45+46"</formula>
    </cfRule>
  </conditionalFormatting>
  <conditionalFormatting sqref="F56 C56 I56 L56 O56 R56 AG56 U56 X56 AA56 AD56 AJ56 AM56">
    <cfRule type="expression" dxfId="374" priority="1348">
      <formula>#REF!="56≠48+49+50+51+52+53+55"</formula>
    </cfRule>
    <cfRule type="expression" dxfId="373" priority="1349">
      <formula>#REF!="56≠57+58"</formula>
    </cfRule>
  </conditionalFormatting>
  <conditionalFormatting sqref="F68 C68 I68 L68 O68 R68 AG68 U68 X68 AA68 AD68 AJ68 AM68">
    <cfRule type="expression" dxfId="372" priority="1350">
      <formula>#REF!="68≠60+61+62+63+64+65+67"</formula>
    </cfRule>
    <cfRule type="expression" dxfId="371" priority="1351">
      <formula>#REF!="68≠69+70"</formula>
    </cfRule>
  </conditionalFormatting>
  <conditionalFormatting sqref="F80 C80 I80 L80 O80 R80 AG80 U80 X80 AA80 AD80 AJ80 AM80">
    <cfRule type="expression" dxfId="370" priority="1352">
      <formula>#REF!="80≠72+73+74+75+76+77+79"</formula>
    </cfRule>
    <cfRule type="expression" dxfId="369" priority="1353">
      <formula>#REF!="80≠81+82"</formula>
    </cfRule>
  </conditionalFormatting>
  <conditionalFormatting sqref="F92 C92 I92 L92 O92 R92 AG92 U92 X92 AA92 AD92 AJ92 AM92">
    <cfRule type="expression" dxfId="368" priority="1354">
      <formula>#REF!="92≠84+85+86+87+88+89+91"</formula>
    </cfRule>
    <cfRule type="expression" dxfId="367" priority="1355">
      <formula>#REF!="92≠93+94"</formula>
    </cfRule>
  </conditionalFormatting>
  <conditionalFormatting sqref="F104 C104 I104 L104 O104 R104 AG104 U104 X104 AA104 AD104 AJ104 AM104">
    <cfRule type="expression" dxfId="366" priority="1356">
      <formula>#REF!="104≠96+97+98+99+100+101+103"</formula>
    </cfRule>
    <cfRule type="expression" dxfId="365" priority="1357">
      <formula>#REF!="104≠105+106"</formula>
    </cfRule>
  </conditionalFormatting>
  <conditionalFormatting sqref="F116 C116 I116 L116 O116 R116 AG116 U116 X116 AA116 AD116 AJ116 AM116">
    <cfRule type="expression" dxfId="364" priority="1358">
      <formula>#REF!="116≠108+109+110+111+112+113+115"</formula>
    </cfRule>
    <cfRule type="expression" dxfId="363" priority="1359">
      <formula>#REF!="116≠117+118"</formula>
    </cfRule>
  </conditionalFormatting>
  <conditionalFormatting sqref="F130 C130 I130 L130 O130 R130 AG130 U130 X130 AA130 AD130 AJ130 AM130">
    <cfRule type="expression" dxfId="362" priority="1360">
      <formula>#REF!="130≠122+123+124+125+126+127+129"</formula>
    </cfRule>
    <cfRule type="expression" dxfId="361" priority="1361">
      <formula>#REF!="130≠131+132"</formula>
    </cfRule>
  </conditionalFormatting>
  <conditionalFormatting sqref="F142 C142 I142 L142 O142 R142 AG142 U142 X142 AA142 AD142 AJ142 AM142">
    <cfRule type="expression" dxfId="360" priority="1362">
      <formula>#REF!="142≠134+135+136+137+138+139+141"</formula>
    </cfRule>
    <cfRule type="expression" dxfId="359" priority="1363">
      <formula>#REF!="142≠143+144"</formula>
    </cfRule>
  </conditionalFormatting>
  <conditionalFormatting sqref="F20 C20 I20 L20 O20 R20 AG20 U20 X20 AA20 AD20 AJ20 AM20">
    <cfRule type="expression" dxfId="358" priority="1364">
      <formula>#REF!="20≠12+13+14+15+16+17+19"</formula>
    </cfRule>
  </conditionalFormatting>
  <hyperlinks>
    <hyperlink ref="B1" location="Innhold!A1" display="Tilbake" xr:uid="{00000000-0004-0000-2000-000000000000}"/>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6" min="1" max="108" man="1"/>
    <brk id="4" min="1" max="108" man="1"/>
    <brk id="31" min="1" max="108" man="1"/>
    <brk id="37" min="1" max="10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X130"/>
  <sheetViews>
    <sheetView showGridLines="0" zoomScale="70" zoomScaleNormal="7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546875" defaultRowHeight="15.6" x14ac:dyDescent="0.3"/>
  <cols>
    <col min="1" max="1" width="55.5546875" style="614" customWidth="1"/>
    <col min="2" max="46" width="11.6640625" style="614" customWidth="1"/>
    <col min="47" max="16384" width="12.5546875" style="614"/>
  </cols>
  <sheetData>
    <row r="1" spans="1:50" ht="20.25" customHeight="1" x14ac:dyDescent="0.35">
      <c r="A1" s="562" t="s">
        <v>173</v>
      </c>
      <c r="B1" s="466" t="s">
        <v>52</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row>
    <row r="2" spans="1:50" ht="20.100000000000001" customHeight="1" x14ac:dyDescent="0.35">
      <c r="A2" s="615" t="s">
        <v>262</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row>
    <row r="3" spans="1:50" ht="20.100000000000001" customHeight="1" x14ac:dyDescent="0.35">
      <c r="A3" s="616" t="s">
        <v>397</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row>
    <row r="4" spans="1:50" ht="20.100000000000001" customHeight="1" x14ac:dyDescent="0.35">
      <c r="A4" s="659" t="s">
        <v>398</v>
      </c>
      <c r="B4" s="618"/>
      <c r="C4" s="613"/>
      <c r="D4" s="613"/>
      <c r="E4" s="618"/>
      <c r="F4" s="618"/>
      <c r="G4" s="618"/>
      <c r="H4" s="613"/>
      <c r="I4" s="613"/>
      <c r="J4" s="613"/>
      <c r="K4" s="613"/>
      <c r="L4" s="613"/>
      <c r="M4" s="613"/>
      <c r="N4" s="613"/>
      <c r="O4" s="613"/>
      <c r="P4" s="613"/>
      <c r="Q4" s="613"/>
      <c r="R4" s="613"/>
      <c r="S4" s="613"/>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3"/>
      <c r="AS4" s="613"/>
      <c r="AT4" s="613"/>
      <c r="AU4" s="618"/>
      <c r="AV4" s="613"/>
      <c r="AW4" s="613"/>
      <c r="AX4" s="613"/>
    </row>
    <row r="5" spans="1:50" ht="18.75" customHeight="1" x14ac:dyDescent="0.35">
      <c r="A5" s="660" t="s">
        <v>360</v>
      </c>
      <c r="B5" s="620"/>
      <c r="C5" s="620"/>
      <c r="D5" s="621"/>
      <c r="E5" s="622"/>
      <c r="F5" s="620"/>
      <c r="G5" s="621"/>
      <c r="H5" s="622"/>
      <c r="I5" s="620"/>
      <c r="J5" s="621"/>
      <c r="K5" s="622"/>
      <c r="L5" s="620"/>
      <c r="M5" s="621"/>
      <c r="N5" s="622"/>
      <c r="O5" s="620"/>
      <c r="P5" s="621"/>
      <c r="Q5" s="622"/>
      <c r="R5" s="620"/>
      <c r="S5" s="621"/>
      <c r="T5" s="622"/>
      <c r="U5" s="620"/>
      <c r="V5" s="621"/>
      <c r="W5" s="622"/>
      <c r="X5" s="620"/>
      <c r="Y5" s="621"/>
      <c r="Z5" s="622"/>
      <c r="AA5" s="620"/>
      <c r="AB5" s="621"/>
      <c r="AC5" s="622"/>
      <c r="AD5" s="620"/>
      <c r="AE5" s="621"/>
      <c r="AF5" s="622"/>
      <c r="AG5" s="620"/>
      <c r="AH5" s="621"/>
      <c r="AI5" s="622"/>
      <c r="AJ5" s="620"/>
      <c r="AK5" s="621"/>
      <c r="AL5" s="622"/>
      <c r="AM5" s="620"/>
      <c r="AN5" s="621"/>
      <c r="AO5" s="622"/>
      <c r="AP5" s="620"/>
      <c r="AQ5" s="621"/>
      <c r="AR5" s="622"/>
      <c r="AS5" s="620"/>
      <c r="AT5" s="621"/>
      <c r="AU5" s="618"/>
      <c r="AV5" s="618"/>
      <c r="AW5" s="613"/>
      <c r="AX5" s="613"/>
    </row>
    <row r="6" spans="1:50" ht="18.75" customHeight="1" x14ac:dyDescent="0.35">
      <c r="A6" s="623" t="s">
        <v>101</v>
      </c>
      <c r="B6" s="986" t="s">
        <v>176</v>
      </c>
      <c r="C6" s="987"/>
      <c r="D6" s="988"/>
      <c r="E6" s="986" t="s">
        <v>177</v>
      </c>
      <c r="F6" s="987"/>
      <c r="G6" s="988"/>
      <c r="H6" s="986" t="s">
        <v>177</v>
      </c>
      <c r="I6" s="987"/>
      <c r="J6" s="988"/>
      <c r="K6" s="986" t="s">
        <v>481</v>
      </c>
      <c r="L6" s="987"/>
      <c r="M6" s="988"/>
      <c r="N6" s="986" t="s">
        <v>178</v>
      </c>
      <c r="O6" s="987"/>
      <c r="P6" s="988"/>
      <c r="Q6" s="986" t="s">
        <v>179</v>
      </c>
      <c r="R6" s="987"/>
      <c r="S6" s="988"/>
      <c r="T6" s="986" t="s">
        <v>180</v>
      </c>
      <c r="U6" s="987"/>
      <c r="V6" s="988"/>
      <c r="W6" s="858" t="s">
        <v>180</v>
      </c>
      <c r="X6" s="859"/>
      <c r="Y6" s="860"/>
      <c r="Z6" s="858"/>
      <c r="AA6" s="859"/>
      <c r="AB6" s="860"/>
      <c r="AC6" s="986" t="s">
        <v>181</v>
      </c>
      <c r="AD6" s="987"/>
      <c r="AE6" s="988"/>
      <c r="AF6" s="858"/>
      <c r="AG6" s="859"/>
      <c r="AH6" s="860"/>
      <c r="AI6" s="971" t="s">
        <v>68</v>
      </c>
      <c r="AJ6" s="972"/>
      <c r="AK6" s="973"/>
      <c r="AL6" s="986" t="s">
        <v>73</v>
      </c>
      <c r="AM6" s="987"/>
      <c r="AN6" s="988"/>
      <c r="AO6" s="989" t="s">
        <v>2</v>
      </c>
      <c r="AP6" s="990"/>
      <c r="AQ6" s="991"/>
      <c r="AR6" s="986" t="s">
        <v>2</v>
      </c>
      <c r="AS6" s="987"/>
      <c r="AT6" s="988"/>
      <c r="AU6" s="618"/>
      <c r="AV6" s="618"/>
      <c r="AW6" s="613"/>
      <c r="AX6" s="613"/>
    </row>
    <row r="7" spans="1:50" ht="18.75" customHeight="1" x14ac:dyDescent="0.35">
      <c r="A7" s="624"/>
      <c r="B7" s="983" t="s">
        <v>182</v>
      </c>
      <c r="C7" s="984"/>
      <c r="D7" s="985"/>
      <c r="E7" s="983" t="s">
        <v>496</v>
      </c>
      <c r="F7" s="984"/>
      <c r="G7" s="985"/>
      <c r="H7" s="983" t="s">
        <v>183</v>
      </c>
      <c r="I7" s="984"/>
      <c r="J7" s="985"/>
      <c r="K7" s="983" t="s">
        <v>183</v>
      </c>
      <c r="L7" s="984"/>
      <c r="M7" s="985"/>
      <c r="N7" s="983" t="s">
        <v>183</v>
      </c>
      <c r="O7" s="984"/>
      <c r="P7" s="985"/>
      <c r="Q7" s="983" t="s">
        <v>184</v>
      </c>
      <c r="R7" s="984"/>
      <c r="S7" s="985"/>
      <c r="T7" s="983" t="s">
        <v>91</v>
      </c>
      <c r="U7" s="984"/>
      <c r="V7" s="985"/>
      <c r="W7" s="983" t="s">
        <v>63</v>
      </c>
      <c r="X7" s="984"/>
      <c r="Y7" s="985"/>
      <c r="Z7" s="983" t="s">
        <v>66</v>
      </c>
      <c r="AA7" s="984"/>
      <c r="AB7" s="985"/>
      <c r="AC7" s="983" t="s">
        <v>182</v>
      </c>
      <c r="AD7" s="984"/>
      <c r="AE7" s="985"/>
      <c r="AF7" s="983" t="s">
        <v>72</v>
      </c>
      <c r="AG7" s="984"/>
      <c r="AH7" s="985"/>
      <c r="AI7" s="965" t="s">
        <v>497</v>
      </c>
      <c r="AJ7" s="966"/>
      <c r="AK7" s="967"/>
      <c r="AL7" s="983" t="s">
        <v>183</v>
      </c>
      <c r="AM7" s="984"/>
      <c r="AN7" s="985"/>
      <c r="AO7" s="977" t="s">
        <v>286</v>
      </c>
      <c r="AP7" s="978"/>
      <c r="AQ7" s="979"/>
      <c r="AR7" s="980" t="s">
        <v>287</v>
      </c>
      <c r="AS7" s="981"/>
      <c r="AT7" s="982"/>
      <c r="AU7" s="618"/>
      <c r="AV7" s="618"/>
      <c r="AW7" s="613"/>
      <c r="AX7" s="613"/>
    </row>
    <row r="8" spans="1:50" ht="18.75" customHeight="1" x14ac:dyDescent="0.35">
      <c r="A8" s="624"/>
      <c r="B8" s="574"/>
      <c r="C8" s="574"/>
      <c r="D8" s="575" t="s">
        <v>81</v>
      </c>
      <c r="E8" s="574"/>
      <c r="F8" s="574"/>
      <c r="G8" s="575" t="s">
        <v>81</v>
      </c>
      <c r="H8" s="574"/>
      <c r="I8" s="574"/>
      <c r="J8" s="575" t="s">
        <v>81</v>
      </c>
      <c r="K8" s="574"/>
      <c r="L8" s="574"/>
      <c r="M8" s="575" t="s">
        <v>81</v>
      </c>
      <c r="N8" s="574"/>
      <c r="O8" s="574"/>
      <c r="P8" s="575" t="s">
        <v>81</v>
      </c>
      <c r="Q8" s="574"/>
      <c r="R8" s="574"/>
      <c r="S8" s="575" t="s">
        <v>81</v>
      </c>
      <c r="T8" s="574"/>
      <c r="U8" s="574"/>
      <c r="V8" s="575" t="s">
        <v>81</v>
      </c>
      <c r="W8" s="574"/>
      <c r="X8" s="574"/>
      <c r="Y8" s="575" t="s">
        <v>81</v>
      </c>
      <c r="Z8" s="574"/>
      <c r="AA8" s="574"/>
      <c r="AB8" s="575" t="s">
        <v>81</v>
      </c>
      <c r="AC8" s="574"/>
      <c r="AD8" s="574"/>
      <c r="AE8" s="575" t="s">
        <v>81</v>
      </c>
      <c r="AF8" s="574"/>
      <c r="AG8" s="574"/>
      <c r="AH8" s="575" t="s">
        <v>81</v>
      </c>
      <c r="AI8" s="574"/>
      <c r="AJ8" s="574"/>
      <c r="AK8" s="575" t="s">
        <v>81</v>
      </c>
      <c r="AL8" s="574"/>
      <c r="AM8" s="574"/>
      <c r="AN8" s="575" t="s">
        <v>81</v>
      </c>
      <c r="AO8" s="574"/>
      <c r="AP8" s="574"/>
      <c r="AQ8" s="575" t="s">
        <v>81</v>
      </c>
      <c r="AR8" s="574"/>
      <c r="AS8" s="574"/>
      <c r="AT8" s="575" t="s">
        <v>81</v>
      </c>
      <c r="AU8" s="618"/>
      <c r="AV8" s="618"/>
      <c r="AW8" s="613"/>
      <c r="AX8" s="613"/>
    </row>
    <row r="9" spans="1:50" ht="18.75" customHeight="1" x14ac:dyDescent="0.35">
      <c r="A9" s="625" t="s">
        <v>288</v>
      </c>
      <c r="B9" s="577">
        <v>2020</v>
      </c>
      <c r="C9" s="577">
        <v>2021</v>
      </c>
      <c r="D9" s="578" t="s">
        <v>83</v>
      </c>
      <c r="E9" s="661">
        <f>$B$9</f>
        <v>2020</v>
      </c>
      <c r="F9" s="577">
        <f>$C$9</f>
        <v>2021</v>
      </c>
      <c r="G9" s="578" t="s">
        <v>83</v>
      </c>
      <c r="H9" s="661">
        <f>$B$9</f>
        <v>2020</v>
      </c>
      <c r="I9" s="577">
        <f>$C$9</f>
        <v>2021</v>
      </c>
      <c r="J9" s="578" t="s">
        <v>83</v>
      </c>
      <c r="K9" s="661">
        <f>$B$9</f>
        <v>2020</v>
      </c>
      <c r="L9" s="577">
        <f>$C$9</f>
        <v>2021</v>
      </c>
      <c r="M9" s="578" t="s">
        <v>83</v>
      </c>
      <c r="N9" s="661">
        <f>$B$9</f>
        <v>2020</v>
      </c>
      <c r="O9" s="577">
        <f>$C$9</f>
        <v>2021</v>
      </c>
      <c r="P9" s="578" t="s">
        <v>83</v>
      </c>
      <c r="Q9" s="661">
        <f>$B$9</f>
        <v>2020</v>
      </c>
      <c r="R9" s="577">
        <f>$C$9</f>
        <v>2021</v>
      </c>
      <c r="S9" s="578" t="s">
        <v>83</v>
      </c>
      <c r="T9" s="661">
        <f>$B$9</f>
        <v>2020</v>
      </c>
      <c r="U9" s="577">
        <f>$C$9</f>
        <v>2021</v>
      </c>
      <c r="V9" s="578" t="s">
        <v>83</v>
      </c>
      <c r="W9" s="661">
        <f>$B$9</f>
        <v>2020</v>
      </c>
      <c r="X9" s="577">
        <f>$C$9</f>
        <v>2021</v>
      </c>
      <c r="Y9" s="578" t="s">
        <v>83</v>
      </c>
      <c r="Z9" s="661">
        <f>$B$9</f>
        <v>2020</v>
      </c>
      <c r="AA9" s="577">
        <f>$C$9</f>
        <v>2021</v>
      </c>
      <c r="AB9" s="578" t="s">
        <v>83</v>
      </c>
      <c r="AC9" s="661">
        <f>$B$9</f>
        <v>2020</v>
      </c>
      <c r="AD9" s="577">
        <f>$C$9</f>
        <v>2021</v>
      </c>
      <c r="AE9" s="578" t="s">
        <v>83</v>
      </c>
      <c r="AF9" s="661">
        <f>$B$9</f>
        <v>2020</v>
      </c>
      <c r="AG9" s="577">
        <f>$C$9</f>
        <v>2021</v>
      </c>
      <c r="AH9" s="578" t="s">
        <v>83</v>
      </c>
      <c r="AI9" s="661">
        <f>$B$9</f>
        <v>2020</v>
      </c>
      <c r="AJ9" s="577">
        <f>$C$9</f>
        <v>2021</v>
      </c>
      <c r="AK9" s="578" t="s">
        <v>83</v>
      </c>
      <c r="AL9" s="661">
        <f>$B$9</f>
        <v>2020</v>
      </c>
      <c r="AM9" s="577">
        <f>$C$9</f>
        <v>2021</v>
      </c>
      <c r="AN9" s="578" t="s">
        <v>83</v>
      </c>
      <c r="AO9" s="661">
        <f>$B$9</f>
        <v>2020</v>
      </c>
      <c r="AP9" s="577">
        <f>$C$9</f>
        <v>2021</v>
      </c>
      <c r="AQ9" s="578" t="s">
        <v>83</v>
      </c>
      <c r="AR9" s="661">
        <f>$B$9</f>
        <v>2020</v>
      </c>
      <c r="AS9" s="577">
        <f>$C$9</f>
        <v>2021</v>
      </c>
      <c r="AT9" s="578" t="s">
        <v>83</v>
      </c>
      <c r="AU9" s="618"/>
      <c r="AV9" s="618"/>
      <c r="AW9" s="613"/>
      <c r="AX9" s="613"/>
    </row>
    <row r="10" spans="1:50" ht="18.75" customHeight="1" x14ac:dyDescent="0.35">
      <c r="A10" s="626"/>
      <c r="B10" s="826"/>
      <c r="C10" s="826"/>
      <c r="D10" s="627"/>
      <c r="E10" s="825"/>
      <c r="F10" s="826"/>
      <c r="G10" s="628"/>
      <c r="H10" s="826"/>
      <c r="I10" s="826"/>
      <c r="J10" s="628"/>
      <c r="K10" s="826"/>
      <c r="L10" s="826"/>
      <c r="M10" s="629"/>
      <c r="N10" s="826"/>
      <c r="O10" s="826"/>
      <c r="P10" s="629"/>
      <c r="Q10" s="826"/>
      <c r="R10" s="826"/>
      <c r="S10" s="627"/>
      <c r="T10" s="826"/>
      <c r="U10" s="826"/>
      <c r="V10" s="628"/>
      <c r="W10" s="826"/>
      <c r="X10" s="826"/>
      <c r="Y10" s="628"/>
      <c r="Z10" s="826"/>
      <c r="AA10" s="826"/>
      <c r="AB10" s="628"/>
      <c r="AC10" s="825"/>
      <c r="AD10" s="826"/>
      <c r="AE10" s="628"/>
      <c r="AF10" s="826"/>
      <c r="AG10" s="826"/>
      <c r="AH10" s="628"/>
      <c r="AI10" s="826"/>
      <c r="AJ10" s="826"/>
      <c r="AK10" s="628"/>
      <c r="AL10" s="826"/>
      <c r="AM10" s="826"/>
      <c r="AN10" s="628"/>
      <c r="AO10" s="627"/>
      <c r="AP10" s="627"/>
      <c r="AQ10" s="628"/>
      <c r="AR10" s="631"/>
      <c r="AS10" s="631"/>
      <c r="AT10" s="628"/>
      <c r="AU10" s="618"/>
      <c r="AV10" s="618"/>
      <c r="AW10" s="613"/>
      <c r="AX10" s="613"/>
    </row>
    <row r="11" spans="1:50" ht="18.75" customHeight="1" x14ac:dyDescent="0.35">
      <c r="A11" s="662" t="s">
        <v>399</v>
      </c>
      <c r="B11" s="834"/>
      <c r="C11" s="834"/>
      <c r="D11" s="664"/>
      <c r="E11" s="833"/>
      <c r="F11" s="834"/>
      <c r="G11" s="665"/>
      <c r="H11" s="834"/>
      <c r="I11" s="834"/>
      <c r="J11" s="665"/>
      <c r="K11" s="834"/>
      <c r="L11" s="834"/>
      <c r="M11" s="665"/>
      <c r="N11" s="834"/>
      <c r="O11" s="834"/>
      <c r="P11" s="665"/>
      <c r="Q11" s="834"/>
      <c r="R11" s="834"/>
      <c r="S11" s="664"/>
      <c r="T11" s="834"/>
      <c r="U11" s="834"/>
      <c r="V11" s="665"/>
      <c r="W11" s="834"/>
      <c r="X11" s="834"/>
      <c r="Y11" s="665"/>
      <c r="Z11" s="834"/>
      <c r="AA11" s="834"/>
      <c r="AB11" s="665"/>
      <c r="AC11" s="833"/>
      <c r="AD11" s="834"/>
      <c r="AE11" s="665"/>
      <c r="AF11" s="834"/>
      <c r="AG11" s="834"/>
      <c r="AH11" s="665"/>
      <c r="AI11" s="834"/>
      <c r="AJ11" s="834"/>
      <c r="AK11" s="665"/>
      <c r="AL11" s="834"/>
      <c r="AM11" s="834"/>
      <c r="AN11" s="665"/>
      <c r="AO11" s="664"/>
      <c r="AP11" s="664"/>
      <c r="AQ11" s="665"/>
      <c r="AR11" s="663"/>
      <c r="AS11" s="663"/>
      <c r="AT11" s="665"/>
      <c r="AU11" s="618"/>
      <c r="AV11" s="618"/>
      <c r="AW11" s="613"/>
      <c r="AX11" s="613"/>
    </row>
    <row r="12" spans="1:50" s="636" customFormat="1" ht="18.75" customHeight="1" x14ac:dyDescent="0.35">
      <c r="A12" s="588" t="s">
        <v>366</v>
      </c>
      <c r="B12" s="822">
        <v>1.0999999999999999E-2</v>
      </c>
      <c r="C12" s="822">
        <v>2.7E-2</v>
      </c>
      <c r="D12" s="634">
        <f>IF(B12=0, "    ---- ", IF(ABS(ROUND(100/B12*C12-100,1))&lt;999,ROUND(100/B12*C12-100,1),IF(ROUND(100/B12*C12-100,1)&gt;999,999,-999)))</f>
        <v>145.5</v>
      </c>
      <c r="E12" s="821"/>
      <c r="F12" s="822"/>
      <c r="G12" s="635"/>
      <c r="H12" s="822">
        <v>-1</v>
      </c>
      <c r="I12" s="822">
        <v>1.9683823247007033</v>
      </c>
      <c r="J12" s="635">
        <f>IF(H12=0, "    ---- ", IF(ABS(ROUND(100/H12*I12-100,1))&lt;999,ROUND(100/H12*I12-100,1),IF(ROUND(100/H12*I12-100,1)&gt;999,999,-999)))</f>
        <v>-296.8</v>
      </c>
      <c r="K12" s="822">
        <v>36</v>
      </c>
      <c r="L12" s="596">
        <v>48388.08279</v>
      </c>
      <c r="M12" s="635">
        <f>IF(K12=0, "    ---- ", IF(ABS(ROUND(100/K12*L12-100,1))&lt;999,ROUND(100/K12*L12-100,1),IF(ROUND(100/K12*L12-100,1)&gt;999,999,-999)))</f>
        <v>999</v>
      </c>
      <c r="N12" s="822">
        <v>3.786</v>
      </c>
      <c r="O12" s="822">
        <v>13.462</v>
      </c>
      <c r="P12" s="635">
        <f t="shared" ref="P12:P34" si="0">IF(N12=0, "    ---- ", IF(ABS(ROUND(100/N12*O12-100,1))&lt;999,ROUND(100/N12*O12-100,1),IF(ROUND(100/N12*O12-100,1)&gt;999,999,-999)))</f>
        <v>255.6</v>
      </c>
      <c r="Q12" s="822"/>
      <c r="R12" s="822"/>
      <c r="S12" s="634"/>
      <c r="T12" s="822">
        <v>0.56734041480610098</v>
      </c>
      <c r="U12" s="822">
        <v>0.20907136471683599</v>
      </c>
      <c r="V12" s="635">
        <f t="shared" ref="V12:V22" si="1">IF(T12=0, "    ---- ", IF(ABS(ROUND(100/T12*U12-100,1))&lt;999,ROUND(100/T12*U12-100,1),IF(ROUND(100/T12*U12-100,1)&gt;999,999,-999)))</f>
        <v>-63.1</v>
      </c>
      <c r="W12" s="822"/>
      <c r="X12" s="822"/>
      <c r="Y12" s="635"/>
      <c r="Z12" s="822"/>
      <c r="AA12" s="822"/>
      <c r="AB12" s="635"/>
      <c r="AC12" s="821"/>
      <c r="AD12" s="822"/>
      <c r="AE12" s="635"/>
      <c r="AF12" s="822"/>
      <c r="AG12" s="822"/>
      <c r="AH12" s="635"/>
      <c r="AI12" s="822">
        <v>1</v>
      </c>
      <c r="AJ12" s="822">
        <v>4</v>
      </c>
      <c r="AK12" s="635">
        <f t="shared" ref="AK12:AK22" si="2">IF(AI12=0, "    ---- ", IF(ABS(ROUND(100/AI12*AJ12-100,1))&lt;999,ROUND(100/AI12*AJ12-100,1),IF(ROUND(100/AI12*AJ12-100,1)&gt;999,999,-999)))</f>
        <v>300</v>
      </c>
      <c r="AL12" s="822">
        <v>22</v>
      </c>
      <c r="AM12" s="822">
        <f>30</f>
        <v>30</v>
      </c>
      <c r="AN12" s="635">
        <f>IF(AL12=0, "    ---- ", IF(ABS(ROUND(100/AL12*AM12-100,1))&lt;999,ROUND(100/AL12*AM12-100,1),IF(ROUND(100/AL12*AM12-100,1)&gt;999,999,-999)))</f>
        <v>36.4</v>
      </c>
      <c r="AO12" s="634">
        <f t="shared" ref="AO12:AO22" si="3">B12+H12+K12+N12+Q12+W12+E12+Z12+AC12+AI12+AL12</f>
        <v>61.797000000000004</v>
      </c>
      <c r="AP12" s="634">
        <f t="shared" ref="AP12:AP22" si="4">C12+I12+L12+O12+R12+X12+F12+AA12+AD12+AJ12+AM12</f>
        <v>48437.540172324698</v>
      </c>
      <c r="AQ12" s="635">
        <f t="shared" ref="AQ12:AQ22" si="5">IF(AO12=0, "    ---- ", IF(ABS(ROUND(100/AO12*AP12-100,1))&lt;999,ROUND(100/AO12*AP12-100,1),IF(ROUND(100/AO12*AP12-100,1)&gt;999,999,-999)))</f>
        <v>999</v>
      </c>
      <c r="AR12" s="596">
        <f t="shared" ref="AR12:AR22" si="6">+B12+H12+K12+N12+Q12+T12+W12+E12+Z12+AC12+AF12+AI12+AL12</f>
        <v>62.364340414806108</v>
      </c>
      <c r="AS12" s="596">
        <f t="shared" ref="AS12:AS22" si="7">+C12+I12+L12+O12+R12+U12+X12+F12+AA12+AD12+AG12+AJ12+AM12</f>
        <v>48437.749243689417</v>
      </c>
      <c r="AT12" s="635">
        <f t="shared" ref="AT12:AT22" si="8">IF(AR12=0, "    ---- ", IF(ABS(ROUND(100/AR12*AS12-100,1))&lt;999,ROUND(100/AR12*AS12-100,1),IF(ROUND(100/AR12*AS12-100,1)&gt;999,999,-999)))</f>
        <v>999</v>
      </c>
      <c r="AU12" s="618"/>
      <c r="AV12" s="618"/>
      <c r="AW12" s="613"/>
      <c r="AX12" s="613"/>
    </row>
    <row r="13" spans="1:50" s="636" customFormat="1" ht="18.75" customHeight="1" x14ac:dyDescent="0.35">
      <c r="A13" s="588" t="s">
        <v>367</v>
      </c>
      <c r="B13" s="822"/>
      <c r="C13" s="822"/>
      <c r="D13" s="634"/>
      <c r="E13" s="821"/>
      <c r="F13" s="822"/>
      <c r="G13" s="635"/>
      <c r="H13" s="822"/>
      <c r="I13" s="822"/>
      <c r="J13" s="635"/>
      <c r="K13" s="822"/>
      <c r="L13" s="596"/>
      <c r="M13" s="635"/>
      <c r="N13" s="822"/>
      <c r="O13" s="822"/>
      <c r="P13" s="635"/>
      <c r="Q13" s="822"/>
      <c r="R13" s="822"/>
      <c r="S13" s="634"/>
      <c r="T13" s="822"/>
      <c r="U13" s="822"/>
      <c r="V13" s="635"/>
      <c r="W13" s="822"/>
      <c r="X13" s="822"/>
      <c r="Y13" s="635"/>
      <c r="Z13" s="822"/>
      <c r="AA13" s="822"/>
      <c r="AB13" s="635"/>
      <c r="AC13" s="821"/>
      <c r="AD13" s="822"/>
      <c r="AE13" s="635"/>
      <c r="AF13" s="822"/>
      <c r="AG13" s="822"/>
      <c r="AH13" s="635"/>
      <c r="AI13" s="822"/>
      <c r="AJ13" s="822"/>
      <c r="AK13" s="635"/>
      <c r="AL13" s="822"/>
      <c r="AM13" s="822"/>
      <c r="AN13" s="635"/>
      <c r="AO13" s="634">
        <f t="shared" si="3"/>
        <v>0</v>
      </c>
      <c r="AP13" s="634">
        <f t="shared" si="4"/>
        <v>0</v>
      </c>
      <c r="AQ13" s="635" t="str">
        <f t="shared" si="5"/>
        <v xml:space="preserve">    ---- </v>
      </c>
      <c r="AR13" s="596">
        <f t="shared" si="6"/>
        <v>0</v>
      </c>
      <c r="AS13" s="596">
        <f t="shared" si="7"/>
        <v>0</v>
      </c>
      <c r="AT13" s="635" t="str">
        <f t="shared" si="8"/>
        <v xml:space="preserve">    ---- </v>
      </c>
      <c r="AU13" s="618"/>
      <c r="AV13" s="618"/>
      <c r="AW13" s="613"/>
      <c r="AX13" s="613"/>
    </row>
    <row r="14" spans="1:50" s="636" customFormat="1" ht="18.75" customHeight="1" x14ac:dyDescent="0.35">
      <c r="A14" s="588" t="s">
        <v>368</v>
      </c>
      <c r="B14" s="822">
        <v>-8.5000000000000006E-2</v>
      </c>
      <c r="C14" s="822">
        <v>-0.26600000000000001</v>
      </c>
      <c r="D14" s="634">
        <f>IF(B14=0, "    ---- ", IF(ABS(ROUND(100/B14*C14-100,1))&lt;999,ROUND(100/B14*C14-100,1),IF(ROUND(100/B14*C14-100,1)&gt;999,999,-999)))</f>
        <v>212.9</v>
      </c>
      <c r="E14" s="821"/>
      <c r="F14" s="822"/>
      <c r="G14" s="635"/>
      <c r="H14" s="822">
        <v>22</v>
      </c>
      <c r="I14" s="822">
        <v>26.887539764293301</v>
      </c>
      <c r="J14" s="635">
        <f>IF(H14=0, "    ---- ", IF(ABS(ROUND(100/H14*I14-100,1))&lt;999,ROUND(100/H14*I14-100,1),IF(ROUND(100/H14*I14-100,1)&gt;999,999,-999)))</f>
        <v>22.2</v>
      </c>
      <c r="K14" s="822">
        <v>-44</v>
      </c>
      <c r="L14" s="596">
        <v>-18041.390760000006</v>
      </c>
      <c r="M14" s="635">
        <f>IF(K14=0, "    ---- ", IF(ABS(ROUND(100/K14*L14-100,1))&lt;999,ROUND(100/K14*L14-100,1),IF(ROUND(100/K14*L14-100,1)&gt;999,999,-999)))</f>
        <v>999</v>
      </c>
      <c r="N14" s="822">
        <v>-14.907999999999999</v>
      </c>
      <c r="O14" s="822">
        <v>-13.419</v>
      </c>
      <c r="P14" s="635">
        <f t="shared" si="0"/>
        <v>-10</v>
      </c>
      <c r="Q14" s="822"/>
      <c r="R14" s="822"/>
      <c r="S14" s="634"/>
      <c r="T14" s="822">
        <v>-2.4397476880922602</v>
      </c>
      <c r="U14" s="822">
        <v>-2.4199030000000001</v>
      </c>
      <c r="V14" s="635">
        <f t="shared" si="1"/>
        <v>-0.8</v>
      </c>
      <c r="W14" s="822">
        <v>-1.1027983708014264</v>
      </c>
      <c r="X14" s="822">
        <v>0</v>
      </c>
      <c r="Y14" s="635">
        <f t="shared" ref="Y14:Y22" si="9">IF(W14=0, "    ---- ", IF(ABS(ROUND(100/W14*X14-100,1))&lt;999,ROUND(100/W14*X14-100,1),IF(ROUND(100/W14*X14-100,1)&gt;999,999,-999)))</f>
        <v>-100</v>
      </c>
      <c r="Z14" s="822"/>
      <c r="AA14" s="822"/>
      <c r="AB14" s="635"/>
      <c r="AC14" s="821"/>
      <c r="AD14" s="822"/>
      <c r="AE14" s="635"/>
      <c r="AF14" s="822"/>
      <c r="AG14" s="822"/>
      <c r="AH14" s="635"/>
      <c r="AI14" s="822">
        <v>2</v>
      </c>
      <c r="AJ14" s="822">
        <v>1</v>
      </c>
      <c r="AK14" s="635">
        <f t="shared" si="2"/>
        <v>-50</v>
      </c>
      <c r="AL14" s="822">
        <v>14</v>
      </c>
      <c r="AM14" s="822">
        <v>21</v>
      </c>
      <c r="AN14" s="635">
        <f>IF(AL14=0, "    ---- ", IF(ABS(ROUND(100/AL14*AM14-100,1))&lt;999,ROUND(100/AL14*AM14-100,1),IF(ROUND(100/AL14*AM14-100,1)&gt;999,999,-999)))</f>
        <v>50</v>
      </c>
      <c r="AO14" s="634">
        <f t="shared" si="3"/>
        <v>-22.095798370801425</v>
      </c>
      <c r="AP14" s="634">
        <f t="shared" si="4"/>
        <v>-18006.188220235716</v>
      </c>
      <c r="AQ14" s="635">
        <f t="shared" si="5"/>
        <v>999</v>
      </c>
      <c r="AR14" s="596">
        <f t="shared" si="6"/>
        <v>-24.535546058893686</v>
      </c>
      <c r="AS14" s="596">
        <f t="shared" si="7"/>
        <v>-18008.608123235717</v>
      </c>
      <c r="AT14" s="635">
        <f t="shared" si="8"/>
        <v>999</v>
      </c>
      <c r="AU14" s="618"/>
      <c r="AV14" s="618"/>
      <c r="AW14" s="613"/>
      <c r="AX14" s="613"/>
    </row>
    <row r="15" spans="1:50" s="636" customFormat="1" ht="18.75" customHeight="1" x14ac:dyDescent="0.35">
      <c r="A15" s="588" t="s">
        <v>369</v>
      </c>
      <c r="B15" s="822"/>
      <c r="C15" s="822"/>
      <c r="D15" s="634"/>
      <c r="E15" s="821"/>
      <c r="F15" s="822"/>
      <c r="G15" s="635"/>
      <c r="H15" s="822"/>
      <c r="I15" s="822"/>
      <c r="J15" s="635"/>
      <c r="K15" s="822"/>
      <c r="L15" s="596"/>
      <c r="M15" s="635"/>
      <c r="N15" s="822"/>
      <c r="O15" s="822"/>
      <c r="P15" s="635"/>
      <c r="Q15" s="822"/>
      <c r="R15" s="822"/>
      <c r="S15" s="634"/>
      <c r="T15" s="822"/>
      <c r="U15" s="841"/>
      <c r="V15" s="635"/>
      <c r="W15" s="822"/>
      <c r="X15" s="822"/>
      <c r="Y15" s="635"/>
      <c r="Z15" s="822"/>
      <c r="AA15" s="822"/>
      <c r="AB15" s="635"/>
      <c r="AC15" s="821"/>
      <c r="AD15" s="822"/>
      <c r="AE15" s="635"/>
      <c r="AF15" s="822"/>
      <c r="AG15" s="822"/>
      <c r="AH15" s="635"/>
      <c r="AI15" s="822"/>
      <c r="AJ15" s="822"/>
      <c r="AK15" s="635"/>
      <c r="AL15" s="822"/>
      <c r="AM15" s="822"/>
      <c r="AN15" s="635"/>
      <c r="AO15" s="634">
        <f t="shared" si="3"/>
        <v>0</v>
      </c>
      <c r="AP15" s="634">
        <f t="shared" si="4"/>
        <v>0</v>
      </c>
      <c r="AQ15" s="635" t="str">
        <f t="shared" si="5"/>
        <v xml:space="preserve">    ---- </v>
      </c>
      <c r="AR15" s="596">
        <f t="shared" si="6"/>
        <v>0</v>
      </c>
      <c r="AS15" s="596">
        <f t="shared" si="7"/>
        <v>0</v>
      </c>
      <c r="AT15" s="635" t="str">
        <f t="shared" si="8"/>
        <v xml:space="preserve">    ---- </v>
      </c>
      <c r="AU15" s="618"/>
      <c r="AV15" s="618"/>
      <c r="AW15" s="613"/>
      <c r="AX15" s="613"/>
    </row>
    <row r="16" spans="1:50" s="636" customFormat="1" ht="18.75" customHeight="1" x14ac:dyDescent="0.35">
      <c r="A16" s="588" t="s">
        <v>370</v>
      </c>
      <c r="B16" s="822"/>
      <c r="C16" s="822"/>
      <c r="D16" s="634"/>
      <c r="E16" s="821"/>
      <c r="F16" s="822"/>
      <c r="G16" s="635"/>
      <c r="H16" s="822"/>
      <c r="I16" s="822"/>
      <c r="J16" s="635"/>
      <c r="K16" s="822"/>
      <c r="L16" s="596"/>
      <c r="M16" s="635"/>
      <c r="N16" s="822"/>
      <c r="O16" s="822"/>
      <c r="P16" s="635"/>
      <c r="Q16" s="822"/>
      <c r="R16" s="822"/>
      <c r="S16" s="634"/>
      <c r="T16" s="822"/>
      <c r="U16" s="822"/>
      <c r="V16" s="635"/>
      <c r="W16" s="822"/>
      <c r="X16" s="822"/>
      <c r="Y16" s="635"/>
      <c r="Z16" s="822"/>
      <c r="AA16" s="822"/>
      <c r="AB16" s="635"/>
      <c r="AC16" s="821"/>
      <c r="AD16" s="822"/>
      <c r="AE16" s="635"/>
      <c r="AF16" s="822"/>
      <c r="AG16" s="822"/>
      <c r="AH16" s="635"/>
      <c r="AI16" s="822"/>
      <c r="AJ16" s="822"/>
      <c r="AK16" s="635"/>
      <c r="AL16" s="822"/>
      <c r="AM16" s="822"/>
      <c r="AN16" s="635"/>
      <c r="AO16" s="634">
        <f t="shared" si="3"/>
        <v>0</v>
      </c>
      <c r="AP16" s="634">
        <f t="shared" si="4"/>
        <v>0</v>
      </c>
      <c r="AQ16" s="635" t="str">
        <f t="shared" si="5"/>
        <v xml:space="preserve">    ---- </v>
      </c>
      <c r="AR16" s="596">
        <f t="shared" si="6"/>
        <v>0</v>
      </c>
      <c r="AS16" s="596">
        <f t="shared" si="7"/>
        <v>0</v>
      </c>
      <c r="AT16" s="635" t="str">
        <f t="shared" si="8"/>
        <v xml:space="preserve">    ---- </v>
      </c>
      <c r="AU16" s="618"/>
      <c r="AV16" s="618"/>
      <c r="AW16" s="613"/>
      <c r="AX16" s="613"/>
    </row>
    <row r="17" spans="1:50" s="636" customFormat="1" ht="18.75" customHeight="1" x14ac:dyDescent="0.35">
      <c r="A17" s="588" t="s">
        <v>371</v>
      </c>
      <c r="B17" s="822">
        <v>1.5089999999999999</v>
      </c>
      <c r="C17" s="822">
        <v>2.1749999999999998</v>
      </c>
      <c r="D17" s="634">
        <f>IF(B17=0, "    ---- ", IF(ABS(ROUND(100/B17*C17-100,1))&lt;999,ROUND(100/B17*C17-100,1),IF(ROUND(100/B17*C17-100,1)&gt;999,999,-999)))</f>
        <v>44.1</v>
      </c>
      <c r="E17" s="821"/>
      <c r="F17" s="822"/>
      <c r="G17" s="635"/>
      <c r="H17" s="822">
        <v>32</v>
      </c>
      <c r="I17" s="822">
        <v>102.60807370125934</v>
      </c>
      <c r="J17" s="635">
        <f>IF(H17=0, "    ---- ", IF(ABS(ROUND(100/H17*I17-100,1))&lt;999,ROUND(100/H17*I17-100,1),IF(ROUND(100/H17*I17-100,1)&gt;999,999,-999)))</f>
        <v>220.7</v>
      </c>
      <c r="K17" s="822">
        <v>-96</v>
      </c>
      <c r="L17" s="596">
        <v>80709.956220000022</v>
      </c>
      <c r="M17" s="635">
        <f>IF(K17=0, "    ---- ", IF(ABS(ROUND(100/K17*L17-100,1))&lt;999,ROUND(100/K17*L17-100,1),IF(ROUND(100/K17*L17-100,1)&gt;999,999,-999)))</f>
        <v>-999</v>
      </c>
      <c r="N17" s="822">
        <v>15.77</v>
      </c>
      <c r="O17" s="822">
        <v>15.047000000000001</v>
      </c>
      <c r="P17" s="635">
        <f t="shared" si="0"/>
        <v>-4.5999999999999996</v>
      </c>
      <c r="Q17" s="822"/>
      <c r="R17" s="822"/>
      <c r="S17" s="634"/>
      <c r="T17" s="822">
        <v>-0.43498751000000002</v>
      </c>
      <c r="U17" s="822">
        <v>2.0472350000000001</v>
      </c>
      <c r="V17" s="635">
        <f t="shared" si="1"/>
        <v>-570.6</v>
      </c>
      <c r="W17" s="822">
        <v>-1.8741870636824625</v>
      </c>
      <c r="X17" s="822">
        <v>0.5</v>
      </c>
      <c r="Y17" s="635">
        <f t="shared" si="9"/>
        <v>-126.7</v>
      </c>
      <c r="Z17" s="822"/>
      <c r="AA17" s="822"/>
      <c r="AB17" s="635"/>
      <c r="AC17" s="821"/>
      <c r="AD17" s="822"/>
      <c r="AE17" s="635"/>
      <c r="AF17" s="822"/>
      <c r="AG17" s="822"/>
      <c r="AH17" s="635"/>
      <c r="AI17" s="822">
        <v>2</v>
      </c>
      <c r="AJ17" s="822">
        <v>34</v>
      </c>
      <c r="AK17" s="635">
        <f t="shared" si="2"/>
        <v>999</v>
      </c>
      <c r="AL17" s="822">
        <v>-138</v>
      </c>
      <c r="AM17" s="822">
        <v>-84</v>
      </c>
      <c r="AN17" s="635">
        <f>IF(AL17=0, "    ---- ", IF(ABS(ROUND(100/AL17*AM17-100,1))&lt;999,ROUND(100/AL17*AM17-100,1),IF(ROUND(100/AL17*AM17-100,1)&gt;999,999,-999)))</f>
        <v>-39.1</v>
      </c>
      <c r="AO17" s="634">
        <f t="shared" si="3"/>
        <v>-184.59518706368246</v>
      </c>
      <c r="AP17" s="634">
        <f t="shared" si="4"/>
        <v>80780.286293701283</v>
      </c>
      <c r="AQ17" s="635">
        <f t="shared" si="5"/>
        <v>-999</v>
      </c>
      <c r="AR17" s="596">
        <f t="shared" si="6"/>
        <v>-185.03017457368247</v>
      </c>
      <c r="AS17" s="596">
        <f t="shared" si="7"/>
        <v>80782.333528701289</v>
      </c>
      <c r="AT17" s="635">
        <f t="shared" si="8"/>
        <v>-999</v>
      </c>
      <c r="AU17" s="618"/>
      <c r="AV17" s="618"/>
      <c r="AW17" s="613"/>
      <c r="AX17" s="613"/>
    </row>
    <row r="18" spans="1:50" s="636" customFormat="1" ht="18.75" customHeight="1" x14ac:dyDescent="0.35">
      <c r="A18" s="588" t="s">
        <v>372</v>
      </c>
      <c r="B18" s="822"/>
      <c r="C18" s="822"/>
      <c r="D18" s="634"/>
      <c r="E18" s="821"/>
      <c r="F18" s="822"/>
      <c r="G18" s="635"/>
      <c r="H18" s="822"/>
      <c r="I18" s="822"/>
      <c r="J18" s="635"/>
      <c r="K18" s="822"/>
      <c r="L18" s="596"/>
      <c r="M18" s="635"/>
      <c r="N18" s="822"/>
      <c r="O18" s="822"/>
      <c r="P18" s="635"/>
      <c r="Q18" s="822"/>
      <c r="R18" s="822"/>
      <c r="S18" s="634"/>
      <c r="T18" s="822"/>
      <c r="U18" s="822"/>
      <c r="V18" s="635"/>
      <c r="W18" s="822"/>
      <c r="X18" s="822"/>
      <c r="Y18" s="635"/>
      <c r="Z18" s="822"/>
      <c r="AA18" s="822"/>
      <c r="AB18" s="635"/>
      <c r="AC18" s="821"/>
      <c r="AD18" s="822"/>
      <c r="AE18" s="635"/>
      <c r="AF18" s="822"/>
      <c r="AG18" s="822"/>
      <c r="AH18" s="635"/>
      <c r="AI18" s="822"/>
      <c r="AJ18" s="822"/>
      <c r="AK18" s="635"/>
      <c r="AL18" s="822"/>
      <c r="AM18" s="822"/>
      <c r="AN18" s="635"/>
      <c r="AO18" s="634">
        <f t="shared" si="3"/>
        <v>0</v>
      </c>
      <c r="AP18" s="634">
        <f t="shared" si="4"/>
        <v>0</v>
      </c>
      <c r="AQ18" s="635" t="str">
        <f t="shared" si="5"/>
        <v xml:space="preserve">    ---- </v>
      </c>
      <c r="AR18" s="596">
        <f t="shared" si="6"/>
        <v>0</v>
      </c>
      <c r="AS18" s="596">
        <f t="shared" si="7"/>
        <v>0</v>
      </c>
      <c r="AT18" s="635" t="str">
        <f t="shared" si="8"/>
        <v xml:space="preserve">    ---- </v>
      </c>
      <c r="AU18" s="618"/>
      <c r="AV18" s="618"/>
      <c r="AW18" s="613"/>
      <c r="AX18" s="613"/>
    </row>
    <row r="19" spans="1:50" s="636" customFormat="1" ht="18.75" customHeight="1" x14ac:dyDescent="0.35">
      <c r="A19" s="588" t="s">
        <v>373</v>
      </c>
      <c r="B19" s="822"/>
      <c r="C19" s="822"/>
      <c r="D19" s="634"/>
      <c r="E19" s="821"/>
      <c r="F19" s="822"/>
      <c r="G19" s="635"/>
      <c r="H19" s="822"/>
      <c r="I19" s="822"/>
      <c r="J19" s="635"/>
      <c r="K19" s="822"/>
      <c r="L19" s="596"/>
      <c r="M19" s="635"/>
      <c r="N19" s="822">
        <v>-7.2999999999999995E-2</v>
      </c>
      <c r="O19" s="822"/>
      <c r="P19" s="635">
        <f t="shared" si="0"/>
        <v>-100</v>
      </c>
      <c r="Q19" s="822"/>
      <c r="R19" s="822"/>
      <c r="S19" s="634"/>
      <c r="T19" s="822"/>
      <c r="U19" s="822"/>
      <c r="V19" s="635"/>
      <c r="W19" s="822"/>
      <c r="X19" s="822"/>
      <c r="Y19" s="635"/>
      <c r="Z19" s="822"/>
      <c r="AA19" s="822"/>
      <c r="AB19" s="635"/>
      <c r="AC19" s="821"/>
      <c r="AD19" s="822"/>
      <c r="AE19" s="635"/>
      <c r="AF19" s="822"/>
      <c r="AG19" s="822"/>
      <c r="AH19" s="635"/>
      <c r="AI19" s="822"/>
      <c r="AJ19" s="822"/>
      <c r="AK19" s="635"/>
      <c r="AL19" s="822"/>
      <c r="AM19" s="822"/>
      <c r="AN19" s="635"/>
      <c r="AO19" s="634">
        <f t="shared" si="3"/>
        <v>-7.2999999999999995E-2</v>
      </c>
      <c r="AP19" s="634">
        <f t="shared" si="4"/>
        <v>0</v>
      </c>
      <c r="AQ19" s="635">
        <f t="shared" si="5"/>
        <v>-100</v>
      </c>
      <c r="AR19" s="596">
        <f t="shared" si="6"/>
        <v>-7.2999999999999995E-2</v>
      </c>
      <c r="AS19" s="596">
        <f t="shared" si="7"/>
        <v>0</v>
      </c>
      <c r="AT19" s="635">
        <f t="shared" si="8"/>
        <v>-100</v>
      </c>
      <c r="AU19" s="618"/>
      <c r="AV19" s="618"/>
      <c r="AW19" s="613"/>
      <c r="AX19" s="613"/>
    </row>
    <row r="20" spans="1:50" s="639" customFormat="1" ht="18.75" customHeight="1" x14ac:dyDescent="0.3">
      <c r="A20" s="583" t="s">
        <v>374</v>
      </c>
      <c r="B20" s="820">
        <f>SUM(B12:B17)+B19</f>
        <v>1.4349999999999998</v>
      </c>
      <c r="C20" s="820">
        <f>SUM(C12:C17)+C19</f>
        <v>1.9359999999999997</v>
      </c>
      <c r="D20" s="632">
        <f>IF(B20=0, "    ---- ", IF(ABS(ROUND(100/B20*C20-100,1))&lt;999,ROUND(100/B20*C20-100,1),IF(ROUND(100/B20*C20-100,1)&gt;999,999,-999)))</f>
        <v>34.9</v>
      </c>
      <c r="E20" s="819"/>
      <c r="F20" s="820"/>
      <c r="G20" s="633"/>
      <c r="H20" s="820">
        <f>SUM(H12:H17)+H19</f>
        <v>53</v>
      </c>
      <c r="I20" s="820">
        <f>SUM(I12:I17)+I19</f>
        <v>131.46399579025334</v>
      </c>
      <c r="J20" s="633">
        <f>IF(H20=0, "    ---- ", IF(ABS(ROUND(100/H20*I20-100,1))&lt;999,ROUND(100/H20*I20-100,1),IF(ROUND(100/H20*I20-100,1)&gt;999,999,-999)))</f>
        <v>148</v>
      </c>
      <c r="K20" s="820">
        <f>SUM(K12:K17)+K19</f>
        <v>-104</v>
      </c>
      <c r="L20" s="598">
        <v>111056.64825000001</v>
      </c>
      <c r="M20" s="633">
        <f>IF(K20=0, "    ---- ", IF(ABS(ROUND(100/K20*L20-100,1))&lt;999,ROUND(100/K20*L20-100,1),IF(ROUND(100/K20*L20-100,1)&gt;999,999,-999)))</f>
        <v>-999</v>
      </c>
      <c r="N20" s="820">
        <f>SUM(N12:N17)+N19</f>
        <v>4.5749999999999993</v>
      </c>
      <c r="O20" s="820">
        <f>SUM(O12:O17)+O19</f>
        <v>15.09</v>
      </c>
      <c r="P20" s="633">
        <f t="shared" si="0"/>
        <v>229.8</v>
      </c>
      <c r="Q20" s="820"/>
      <c r="R20" s="820"/>
      <c r="S20" s="632"/>
      <c r="T20" s="820">
        <f>SUM(T12:T17)+T19</f>
        <v>-2.307394783286159</v>
      </c>
      <c r="U20" s="820">
        <f>SUM(U12:U17)+U19</f>
        <v>-0.16359663528316393</v>
      </c>
      <c r="V20" s="633">
        <f t="shared" si="1"/>
        <v>-92.9</v>
      </c>
      <c r="W20" s="820">
        <f>SUM(W12:W17)+W19</f>
        <v>-2.9769854344838889</v>
      </c>
      <c r="X20" s="820">
        <v>0.5</v>
      </c>
      <c r="Y20" s="633">
        <f t="shared" si="9"/>
        <v>-116.8</v>
      </c>
      <c r="Z20" s="820"/>
      <c r="AA20" s="820"/>
      <c r="AB20" s="633"/>
      <c r="AC20" s="819"/>
      <c r="AD20" s="820"/>
      <c r="AE20" s="633"/>
      <c r="AF20" s="820"/>
      <c r="AG20" s="820"/>
      <c r="AH20" s="633"/>
      <c r="AI20" s="820">
        <f>SUM(AI12:AI17)+AI19</f>
        <v>5</v>
      </c>
      <c r="AJ20" s="820">
        <f>SUM(AJ12:AJ17)+AJ19</f>
        <v>39</v>
      </c>
      <c r="AK20" s="633">
        <f t="shared" si="2"/>
        <v>680</v>
      </c>
      <c r="AL20" s="820">
        <f>SUM(AL12:AL17)+AL19</f>
        <v>-102</v>
      </c>
      <c r="AM20" s="820">
        <f>SUM(AM12:AM17)+AM19</f>
        <v>-33</v>
      </c>
      <c r="AN20" s="633">
        <f>IF(AL20=0, "    ---- ", IF(ABS(ROUND(100/AL20*AM20-100,1))&lt;999,ROUND(100/AL20*AM20-100,1),IF(ROUND(100/AL20*AM20-100,1)&gt;999,999,-999)))</f>
        <v>-67.599999999999994</v>
      </c>
      <c r="AO20" s="632">
        <f t="shared" si="3"/>
        <v>-144.96698543448389</v>
      </c>
      <c r="AP20" s="632">
        <f t="shared" si="4"/>
        <v>111211.63824579027</v>
      </c>
      <c r="AQ20" s="633">
        <f t="shared" si="5"/>
        <v>-999</v>
      </c>
      <c r="AR20" s="598">
        <f t="shared" si="6"/>
        <v>-147.27438021777004</v>
      </c>
      <c r="AS20" s="598">
        <f t="shared" si="7"/>
        <v>111211.47464915499</v>
      </c>
      <c r="AT20" s="633">
        <f t="shared" si="8"/>
        <v>-999</v>
      </c>
      <c r="AU20" s="616"/>
      <c r="AV20" s="616"/>
      <c r="AW20" s="638"/>
      <c r="AX20" s="638"/>
    </row>
    <row r="21" spans="1:50" s="636" customFormat="1" ht="18.75" customHeight="1" x14ac:dyDescent="0.35">
      <c r="A21" s="588" t="s">
        <v>375</v>
      </c>
      <c r="B21" s="822"/>
      <c r="C21" s="822"/>
      <c r="D21" s="634"/>
      <c r="E21" s="821"/>
      <c r="F21" s="822"/>
      <c r="G21" s="635"/>
      <c r="H21" s="822">
        <v>0</v>
      </c>
      <c r="I21" s="822">
        <v>0</v>
      </c>
      <c r="J21" s="635" t="str">
        <f>IF(H21=0, "    ---- ", IF(ABS(ROUND(100/H21*I21-100,1))&lt;999,ROUND(100/H21*I21-100,1),IF(ROUND(100/H21*I21-100,1)&gt;999,999,-999)))</f>
        <v xml:space="preserve">    ---- </v>
      </c>
      <c r="K21" s="822"/>
      <c r="L21" s="596"/>
      <c r="M21" s="635"/>
      <c r="N21" s="822"/>
      <c r="O21" s="822"/>
      <c r="P21" s="635"/>
      <c r="Q21" s="822"/>
      <c r="R21" s="822"/>
      <c r="S21" s="634"/>
      <c r="T21" s="822"/>
      <c r="U21" s="822"/>
      <c r="V21" s="635"/>
      <c r="W21" s="822"/>
      <c r="X21" s="822"/>
      <c r="Y21" s="635"/>
      <c r="Z21" s="822"/>
      <c r="AA21" s="822"/>
      <c r="AB21" s="635"/>
      <c r="AC21" s="821"/>
      <c r="AD21" s="822"/>
      <c r="AE21" s="635"/>
      <c r="AF21" s="822"/>
      <c r="AG21" s="822"/>
      <c r="AH21" s="635"/>
      <c r="AI21" s="822"/>
      <c r="AJ21" s="822"/>
      <c r="AK21" s="635"/>
      <c r="AL21" s="822"/>
      <c r="AM21" s="822"/>
      <c r="AN21" s="635"/>
      <c r="AO21" s="634">
        <f t="shared" si="3"/>
        <v>0</v>
      </c>
      <c r="AP21" s="634">
        <f t="shared" si="4"/>
        <v>0</v>
      </c>
      <c r="AQ21" s="635" t="str">
        <f t="shared" si="5"/>
        <v xml:space="preserve">    ---- </v>
      </c>
      <c r="AR21" s="596">
        <f t="shared" si="6"/>
        <v>0</v>
      </c>
      <c r="AS21" s="596">
        <f t="shared" si="7"/>
        <v>0</v>
      </c>
      <c r="AT21" s="635" t="str">
        <f t="shared" si="8"/>
        <v xml:space="preserve">    ---- </v>
      </c>
      <c r="AU21" s="618"/>
      <c r="AV21" s="618"/>
      <c r="AW21" s="613"/>
      <c r="AX21" s="613"/>
    </row>
    <row r="22" spans="1:50" s="636" customFormat="1" ht="18.75" customHeight="1" x14ac:dyDescent="0.35">
      <c r="A22" s="588" t="s">
        <v>376</v>
      </c>
      <c r="B22" s="822">
        <v>1.4350000000000001</v>
      </c>
      <c r="C22" s="822">
        <v>1.9359999999999999</v>
      </c>
      <c r="D22" s="634">
        <f>IF(B22=0, "    ---- ", IF(ABS(ROUND(100/B22*C22-100,1))&lt;999,ROUND(100/B22*C22-100,1),IF(ROUND(100/B22*C22-100,1)&gt;999,999,-999)))</f>
        <v>34.9</v>
      </c>
      <c r="E22" s="821"/>
      <c r="F22" s="822"/>
      <c r="G22" s="635"/>
      <c r="H22" s="822">
        <v>53</v>
      </c>
      <c r="I22" s="822">
        <v>131.46399579025336</v>
      </c>
      <c r="J22" s="635">
        <f>IF(H22=0, "    ---- ", IF(ABS(ROUND(100/H22*I22-100,1))&lt;999,ROUND(100/H22*I22-100,1),IF(ROUND(100/H22*I22-100,1)&gt;999,999,-999)))</f>
        <v>148</v>
      </c>
      <c r="K22" s="822">
        <f>+K20</f>
        <v>-104</v>
      </c>
      <c r="L22" s="596">
        <v>111056.64825000001</v>
      </c>
      <c r="M22" s="635">
        <f>IF(K22=0, "    ---- ", IF(ABS(ROUND(100/K22*L22-100,1))&lt;999,ROUND(100/K22*L22-100,1),IF(ROUND(100/K22*L22-100,1)&gt;999,999,-999)))</f>
        <v>-999</v>
      </c>
      <c r="N22" s="822">
        <v>4.5750000000000002</v>
      </c>
      <c r="O22" s="822">
        <v>15.097</v>
      </c>
      <c r="P22" s="635">
        <f t="shared" si="0"/>
        <v>230</v>
      </c>
      <c r="Q22" s="822"/>
      <c r="R22" s="822"/>
      <c r="S22" s="634"/>
      <c r="T22" s="822">
        <v>-2.2999999999999998</v>
      </c>
      <c r="U22" s="822">
        <v>-0.16359663528316393</v>
      </c>
      <c r="V22" s="635">
        <f t="shared" si="1"/>
        <v>-92.9</v>
      </c>
      <c r="W22" s="822">
        <v>-2.9769854344838889</v>
      </c>
      <c r="X22" s="822">
        <v>0.5</v>
      </c>
      <c r="Y22" s="635">
        <f t="shared" si="9"/>
        <v>-116.8</v>
      </c>
      <c r="Z22" s="822"/>
      <c r="AA22" s="822"/>
      <c r="AB22" s="635"/>
      <c r="AC22" s="821"/>
      <c r="AD22" s="822"/>
      <c r="AE22" s="635"/>
      <c r="AF22" s="822"/>
      <c r="AG22" s="822"/>
      <c r="AH22" s="635"/>
      <c r="AI22" s="822">
        <v>5</v>
      </c>
      <c r="AJ22" s="822">
        <v>39</v>
      </c>
      <c r="AK22" s="635">
        <f t="shared" si="2"/>
        <v>680</v>
      </c>
      <c r="AL22" s="822">
        <v>-102</v>
      </c>
      <c r="AM22" s="822">
        <v>-33</v>
      </c>
      <c r="AN22" s="635">
        <f>IF(AL22=0, "    ---- ", IF(ABS(ROUND(100/AL22*AM22-100,1))&lt;999,ROUND(100/AL22*AM22-100,1),IF(ROUND(100/AL22*AM22-100,1)&gt;999,999,-999)))</f>
        <v>-67.599999999999994</v>
      </c>
      <c r="AO22" s="634">
        <f t="shared" si="3"/>
        <v>-144.96698543448389</v>
      </c>
      <c r="AP22" s="634">
        <f t="shared" si="4"/>
        <v>111211.64524579026</v>
      </c>
      <c r="AQ22" s="635">
        <f t="shared" si="5"/>
        <v>-999</v>
      </c>
      <c r="AR22" s="596">
        <f t="shared" si="6"/>
        <v>-147.26698543448387</v>
      </c>
      <c r="AS22" s="596">
        <f t="shared" si="7"/>
        <v>111211.48164915499</v>
      </c>
      <c r="AT22" s="635">
        <f t="shared" si="8"/>
        <v>-999</v>
      </c>
      <c r="AU22" s="618"/>
      <c r="AV22" s="618"/>
      <c r="AW22" s="613"/>
      <c r="AX22" s="613"/>
    </row>
    <row r="23" spans="1:50" s="636" customFormat="1" ht="18.75" customHeight="1" x14ac:dyDescent="0.35">
      <c r="A23" s="583" t="s">
        <v>400</v>
      </c>
      <c r="B23" s="830"/>
      <c r="C23" s="830"/>
      <c r="D23" s="634"/>
      <c r="E23" s="829"/>
      <c r="F23" s="830"/>
      <c r="G23" s="635"/>
      <c r="H23" s="830"/>
      <c r="I23" s="830"/>
      <c r="J23" s="635"/>
      <c r="K23" s="830"/>
      <c r="L23" s="632"/>
      <c r="M23" s="635"/>
      <c r="N23" s="830"/>
      <c r="O23" s="830"/>
      <c r="P23" s="635"/>
      <c r="Q23" s="830"/>
      <c r="R23" s="830"/>
      <c r="S23" s="634"/>
      <c r="T23" s="830"/>
      <c r="U23" s="830"/>
      <c r="V23" s="635"/>
      <c r="W23" s="830"/>
      <c r="X23" s="830"/>
      <c r="Y23" s="635"/>
      <c r="Z23" s="830"/>
      <c r="AA23" s="830"/>
      <c r="AB23" s="635"/>
      <c r="AC23" s="829"/>
      <c r="AD23" s="830"/>
      <c r="AE23" s="635"/>
      <c r="AF23" s="830"/>
      <c r="AG23" s="830"/>
      <c r="AH23" s="635"/>
      <c r="AI23" s="830"/>
      <c r="AJ23" s="830"/>
      <c r="AK23" s="635"/>
      <c r="AL23" s="830"/>
      <c r="AM23" s="830"/>
      <c r="AN23" s="635"/>
      <c r="AO23" s="634"/>
      <c r="AP23" s="634"/>
      <c r="AQ23" s="635"/>
      <c r="AR23" s="596"/>
      <c r="AS23" s="596"/>
      <c r="AT23" s="635"/>
      <c r="AU23" s="618"/>
      <c r="AV23" s="618"/>
      <c r="AW23" s="613"/>
      <c r="AX23" s="613"/>
    </row>
    <row r="24" spans="1:50" s="636" customFormat="1" ht="18.75" customHeight="1" x14ac:dyDescent="0.35">
      <c r="A24" s="588" t="s">
        <v>366</v>
      </c>
      <c r="B24" s="828">
        <v>1.0369999999999999</v>
      </c>
      <c r="C24" s="828">
        <v>0.90200000000000002</v>
      </c>
      <c r="D24" s="634">
        <f>IF(B24=0, "    ---- ", IF(ABS(ROUND(100/B24*C24-100,1))&lt;999,ROUND(100/B24*C24-100,1),IF(ROUND(100/B24*C24-100,1)&gt;999,999,-999)))</f>
        <v>-13</v>
      </c>
      <c r="E24" s="827"/>
      <c r="F24" s="828"/>
      <c r="G24" s="635"/>
      <c r="H24" s="828">
        <v>-12</v>
      </c>
      <c r="I24" s="828">
        <v>20.861618205591409</v>
      </c>
      <c r="J24" s="635">
        <f>IF(H24=0, "    ---- ", IF(ABS(ROUND(100/H24*I24-100,1))&lt;999,ROUND(100/H24*I24-100,1),IF(ROUND(100/H24*I24-100,1)&gt;999,999,-999)))</f>
        <v>-273.8</v>
      </c>
      <c r="K24" s="828">
        <v>8</v>
      </c>
      <c r="L24" s="634">
        <v>11288.98905</v>
      </c>
      <c r="M24" s="635">
        <f>IF(K24=0, "    ---- ", IF(ABS(ROUND(100/K24*L24-100,1))&lt;999,ROUND(100/K24*L24-100,1),IF(ROUND(100/K24*L24-100,1)&gt;999,999,-999)))</f>
        <v>999</v>
      </c>
      <c r="N24" s="828">
        <v>7.8230000000000004</v>
      </c>
      <c r="O24" s="828">
        <v>14.927</v>
      </c>
      <c r="P24" s="635">
        <f t="shared" si="0"/>
        <v>90.8</v>
      </c>
      <c r="Q24" s="828"/>
      <c r="R24" s="828"/>
      <c r="S24" s="635"/>
      <c r="T24" s="828"/>
      <c r="U24" s="828"/>
      <c r="V24" s="635"/>
      <c r="W24" s="828"/>
      <c r="X24" s="828"/>
      <c r="Y24" s="635"/>
      <c r="Z24" s="828">
        <v>1</v>
      </c>
      <c r="AA24" s="828">
        <v>2.27</v>
      </c>
      <c r="AB24" s="635">
        <f t="shared" ref="AB24:AB34" si="10">IF(Z24=0, "    ---- ", IF(ABS(ROUND(100/Z24*AA24-100,1))&lt;999,ROUND(100/Z24*AA24-100,1),IF(ROUND(100/Z24*AA24-100,1)&gt;999,999,-999)))</f>
        <v>127</v>
      </c>
      <c r="AC24" s="827"/>
      <c r="AD24" s="828"/>
      <c r="AE24" s="635"/>
      <c r="AF24" s="828"/>
      <c r="AG24" s="828"/>
      <c r="AH24" s="635"/>
      <c r="AI24" s="828"/>
      <c r="AJ24" s="828"/>
      <c r="AK24" s="635"/>
      <c r="AL24" s="828">
        <v>6</v>
      </c>
      <c r="AM24" s="828">
        <v>13.5</v>
      </c>
      <c r="AN24" s="635">
        <f>IF(AL24=0, "    ---- ", IF(ABS(ROUND(100/AL24*AM24-100,1))&lt;999,ROUND(100/AL24*AM24-100,1),IF(ROUND(100/AL24*AM24-100,1)&gt;999,999,-999)))</f>
        <v>125</v>
      </c>
      <c r="AO24" s="634">
        <f t="shared" ref="AO24:AO34" si="11">B24+H24+K24+N24+Q24+W24+E24+Z24+AC24+AI24+AL24</f>
        <v>11.86</v>
      </c>
      <c r="AP24" s="634">
        <f t="shared" ref="AP24:AP34" si="12">C24+I24+L24+O24+R24+X24+F24+AA24+AD24+AJ24+AM24</f>
        <v>11341.449668205592</v>
      </c>
      <c r="AQ24" s="635">
        <f>IF(AO24=0, "    ---- ", IF(ABS(ROUND(100/AO24*AP24-100,1))&lt;999,ROUND(100/AO24*AP24-100,1),IF(ROUND(100/AO24*AP24-100,1)&gt;999,999,-999)))</f>
        <v>999</v>
      </c>
      <c r="AR24" s="596">
        <f t="shared" ref="AR24:AR34" si="13">+B24+H24+K24+N24+Q24+T24+W24+E24+Z24+AC24+AF24+AI24+AL24</f>
        <v>11.86</v>
      </c>
      <c r="AS24" s="596">
        <f t="shared" ref="AS24:AS34" si="14">+C24+I24+L24+O24+R24+U24+X24+F24+AA24+AD24+AG24+AJ24+AM24</f>
        <v>11341.449668205592</v>
      </c>
      <c r="AT24" s="635">
        <f>IF(AR24=0, "    ---- ", IF(ABS(ROUND(100/AR24*AS24-100,1))&lt;999,ROUND(100/AR24*AS24-100,1),IF(ROUND(100/AR24*AS24-100,1)&gt;999,999,-999)))</f>
        <v>999</v>
      </c>
      <c r="AU24" s="618"/>
      <c r="AV24" s="618"/>
      <c r="AW24" s="613"/>
      <c r="AX24" s="613"/>
    </row>
    <row r="25" spans="1:50" s="636" customFormat="1" ht="18.75" customHeight="1" x14ac:dyDescent="0.35">
      <c r="A25" s="588" t="s">
        <v>367</v>
      </c>
      <c r="B25" s="828"/>
      <c r="C25" s="828"/>
      <c r="D25" s="634"/>
      <c r="E25" s="827"/>
      <c r="F25" s="828"/>
      <c r="G25" s="635"/>
      <c r="H25" s="828"/>
      <c r="I25" s="828"/>
      <c r="J25" s="635"/>
      <c r="K25" s="828"/>
      <c r="L25" s="634"/>
      <c r="M25" s="635"/>
      <c r="N25" s="828"/>
      <c r="O25" s="828"/>
      <c r="P25" s="635"/>
      <c r="Q25" s="828"/>
      <c r="R25" s="828"/>
      <c r="S25" s="634"/>
      <c r="T25" s="828"/>
      <c r="U25" s="828"/>
      <c r="V25" s="635"/>
      <c r="W25" s="828"/>
      <c r="X25" s="828"/>
      <c r="Y25" s="635"/>
      <c r="Z25" s="828"/>
      <c r="AA25" s="828"/>
      <c r="AB25" s="635"/>
      <c r="AC25" s="827"/>
      <c r="AD25" s="828"/>
      <c r="AE25" s="635"/>
      <c r="AF25" s="828"/>
      <c r="AG25" s="828"/>
      <c r="AH25" s="635"/>
      <c r="AI25" s="828"/>
      <c r="AJ25" s="828"/>
      <c r="AK25" s="635"/>
      <c r="AL25" s="828"/>
      <c r="AM25" s="828"/>
      <c r="AN25" s="635"/>
      <c r="AO25" s="634">
        <f t="shared" si="11"/>
        <v>0</v>
      </c>
      <c r="AP25" s="634">
        <f t="shared" si="12"/>
        <v>0</v>
      </c>
      <c r="AQ25" s="635" t="str">
        <f t="shared" ref="AQ25:AQ34" si="15">IF(AO25=0, "    ---- ", IF(ABS(ROUND(100/AO25*AP25-100,1))&lt;999,ROUND(100/AO25*AP25-100,1),IF(ROUND(100/AO25*AP25-100,1)&gt;999,999,-999)))</f>
        <v xml:space="preserve">    ---- </v>
      </c>
      <c r="AR25" s="596">
        <f t="shared" si="13"/>
        <v>0</v>
      </c>
      <c r="AS25" s="596">
        <f t="shared" si="14"/>
        <v>0</v>
      </c>
      <c r="AT25" s="635" t="str">
        <f t="shared" ref="AT25:AT34" si="16">IF(AR25=0, "    ---- ", IF(ABS(ROUND(100/AR25*AS25-100,1))&lt;999,ROUND(100/AR25*AS25-100,1),IF(ROUND(100/AR25*AS25-100,1)&gt;999,999,-999)))</f>
        <v xml:space="preserve">    ---- </v>
      </c>
      <c r="AU25" s="618"/>
      <c r="AV25" s="618"/>
      <c r="AW25" s="613"/>
      <c r="AX25" s="613"/>
    </row>
    <row r="26" spans="1:50" s="636" customFormat="1" ht="18.75" customHeight="1" x14ac:dyDescent="0.35">
      <c r="A26" s="588" t="s">
        <v>368</v>
      </c>
      <c r="B26" s="828">
        <v>-2.7290000000000001</v>
      </c>
      <c r="C26" s="828">
        <v>-0.93300000000000005</v>
      </c>
      <c r="D26" s="634">
        <f>IF(B26=0, "    ---- ", IF(ABS(ROUND(100/B26*C26-100,1))&lt;999,ROUND(100/B26*C26-100,1),IF(ROUND(100/B26*C26-100,1)&gt;999,999,-999)))</f>
        <v>-65.8</v>
      </c>
      <c r="E26" s="827"/>
      <c r="F26" s="828"/>
      <c r="G26" s="635"/>
      <c r="H26" s="828">
        <v>16.399999999999999</v>
      </c>
      <c r="I26" s="828">
        <v>16.628838873528494</v>
      </c>
      <c r="J26" s="635">
        <f>IF(H26=0, "    ---- ", IF(ABS(ROUND(100/H26*I26-100,1))&lt;999,ROUND(100/H26*I26-100,1),IF(ROUND(100/H26*I26-100,1)&gt;999,999,-999)))</f>
        <v>1.4</v>
      </c>
      <c r="K26" s="828">
        <v>-35</v>
      </c>
      <c r="L26" s="634">
        <v>-8539.7760199999811</v>
      </c>
      <c r="M26" s="635">
        <f>IF(K26=0, "    ---- ", IF(ABS(ROUND(100/K26*L26-100,1))&lt;999,ROUND(100/K26*L26-100,1),IF(ROUND(100/K26*L26-100,1)&gt;999,999,-999)))</f>
        <v>999</v>
      </c>
      <c r="N26" s="828">
        <v>-0.60599999999999998</v>
      </c>
      <c r="O26" s="828">
        <v>-3.6560000000000001</v>
      </c>
      <c r="P26" s="635">
        <f t="shared" si="0"/>
        <v>503.3</v>
      </c>
      <c r="Q26" s="828"/>
      <c r="R26" s="828"/>
      <c r="S26" s="634"/>
      <c r="T26" s="828"/>
      <c r="U26" s="828"/>
      <c r="V26" s="635"/>
      <c r="W26" s="828"/>
      <c r="X26" s="828"/>
      <c r="Y26" s="635"/>
      <c r="Z26" s="828">
        <v>32</v>
      </c>
      <c r="AA26" s="828">
        <v>28.38</v>
      </c>
      <c r="AB26" s="635">
        <f t="shared" si="10"/>
        <v>-11.3</v>
      </c>
      <c r="AC26" s="827"/>
      <c r="AD26" s="828"/>
      <c r="AE26" s="635"/>
      <c r="AF26" s="828"/>
      <c r="AG26" s="828"/>
      <c r="AH26" s="635"/>
      <c r="AI26" s="828"/>
      <c r="AJ26" s="828"/>
      <c r="AK26" s="635"/>
      <c r="AL26" s="828">
        <v>-13</v>
      </c>
      <c r="AM26" s="828">
        <v>4</v>
      </c>
      <c r="AN26" s="635">
        <f>IF(AL26=0, "    ---- ", IF(ABS(ROUND(100/AL26*AM26-100,1))&lt;999,ROUND(100/AL26*AM26-100,1),IF(ROUND(100/AL26*AM26-100,1)&gt;999,999,-999)))</f>
        <v>-130.80000000000001</v>
      </c>
      <c r="AO26" s="634">
        <f t="shared" si="11"/>
        <v>-2.9350000000000023</v>
      </c>
      <c r="AP26" s="634">
        <f t="shared" si="12"/>
        <v>-8495.3561811264535</v>
      </c>
      <c r="AQ26" s="635">
        <f t="shared" si="15"/>
        <v>999</v>
      </c>
      <c r="AR26" s="596">
        <f t="shared" si="13"/>
        <v>-2.9350000000000023</v>
      </c>
      <c r="AS26" s="596">
        <f t="shared" si="14"/>
        <v>-8495.3561811264535</v>
      </c>
      <c r="AT26" s="635">
        <f t="shared" si="16"/>
        <v>999</v>
      </c>
      <c r="AU26" s="618"/>
      <c r="AV26" s="618"/>
      <c r="AW26" s="613"/>
      <c r="AX26" s="613"/>
    </row>
    <row r="27" spans="1:50" s="636" customFormat="1" ht="18.75" customHeight="1" x14ac:dyDescent="0.35">
      <c r="A27" s="588" t="s">
        <v>369</v>
      </c>
      <c r="B27" s="828"/>
      <c r="C27" s="828"/>
      <c r="D27" s="634"/>
      <c r="E27" s="827"/>
      <c r="F27" s="828"/>
      <c r="G27" s="635"/>
      <c r="H27" s="828"/>
      <c r="I27" s="828"/>
      <c r="J27" s="635"/>
      <c r="K27" s="828"/>
      <c r="L27" s="634"/>
      <c r="M27" s="635"/>
      <c r="N27" s="828"/>
      <c r="O27" s="828"/>
      <c r="P27" s="635"/>
      <c r="Q27" s="828"/>
      <c r="R27" s="828"/>
      <c r="S27" s="634"/>
      <c r="T27" s="828"/>
      <c r="U27" s="828"/>
      <c r="V27" s="635"/>
      <c r="W27" s="828"/>
      <c r="X27" s="828"/>
      <c r="Y27" s="635"/>
      <c r="Z27" s="828"/>
      <c r="AA27" s="828"/>
      <c r="AB27" s="635"/>
      <c r="AC27" s="827"/>
      <c r="AD27" s="828"/>
      <c r="AE27" s="635"/>
      <c r="AF27" s="828"/>
      <c r="AG27" s="828"/>
      <c r="AH27" s="635"/>
      <c r="AI27" s="828"/>
      <c r="AJ27" s="828"/>
      <c r="AK27" s="635"/>
      <c r="AL27" s="828"/>
      <c r="AM27" s="828"/>
      <c r="AN27" s="635"/>
      <c r="AO27" s="634">
        <f t="shared" si="11"/>
        <v>0</v>
      </c>
      <c r="AP27" s="634">
        <f t="shared" si="12"/>
        <v>0</v>
      </c>
      <c r="AQ27" s="635" t="str">
        <f t="shared" si="15"/>
        <v xml:space="preserve">    ---- </v>
      </c>
      <c r="AR27" s="596">
        <f t="shared" si="13"/>
        <v>0</v>
      </c>
      <c r="AS27" s="596">
        <f t="shared" si="14"/>
        <v>0</v>
      </c>
      <c r="AT27" s="635" t="str">
        <f t="shared" si="16"/>
        <v xml:space="preserve">    ---- </v>
      </c>
      <c r="AU27" s="618"/>
      <c r="AV27" s="618"/>
      <c r="AW27" s="613"/>
      <c r="AX27" s="613"/>
    </row>
    <row r="28" spans="1:50" s="636" customFormat="1" ht="18.75" customHeight="1" x14ac:dyDescent="0.35">
      <c r="A28" s="588" t="s">
        <v>370</v>
      </c>
      <c r="B28" s="828"/>
      <c r="C28" s="828"/>
      <c r="D28" s="634"/>
      <c r="E28" s="827"/>
      <c r="F28" s="828"/>
      <c r="G28" s="635"/>
      <c r="H28" s="828"/>
      <c r="I28" s="828"/>
      <c r="J28" s="635"/>
      <c r="K28" s="828"/>
      <c r="L28" s="634"/>
      <c r="M28" s="635"/>
      <c r="N28" s="828"/>
      <c r="O28" s="828"/>
      <c r="P28" s="635"/>
      <c r="Q28" s="828"/>
      <c r="R28" s="828"/>
      <c r="S28" s="634"/>
      <c r="T28" s="828"/>
      <c r="U28" s="828"/>
      <c r="V28" s="635"/>
      <c r="W28" s="828"/>
      <c r="X28" s="828"/>
      <c r="Y28" s="635"/>
      <c r="Z28" s="828"/>
      <c r="AA28" s="828"/>
      <c r="AB28" s="635"/>
      <c r="AC28" s="827"/>
      <c r="AD28" s="828"/>
      <c r="AE28" s="635"/>
      <c r="AF28" s="828"/>
      <c r="AG28" s="828"/>
      <c r="AH28" s="635"/>
      <c r="AI28" s="828"/>
      <c r="AJ28" s="828"/>
      <c r="AK28" s="635"/>
      <c r="AL28" s="828"/>
      <c r="AM28" s="828"/>
      <c r="AN28" s="635"/>
      <c r="AO28" s="634">
        <f t="shared" si="11"/>
        <v>0</v>
      </c>
      <c r="AP28" s="634">
        <f t="shared" si="12"/>
        <v>0</v>
      </c>
      <c r="AQ28" s="635" t="str">
        <f t="shared" si="15"/>
        <v xml:space="preserve">    ---- </v>
      </c>
      <c r="AR28" s="596">
        <f t="shared" si="13"/>
        <v>0</v>
      </c>
      <c r="AS28" s="596">
        <f t="shared" si="14"/>
        <v>0</v>
      </c>
      <c r="AT28" s="635" t="str">
        <f t="shared" si="16"/>
        <v xml:space="preserve">    ---- </v>
      </c>
      <c r="AU28" s="618"/>
      <c r="AV28" s="618"/>
      <c r="AW28" s="613"/>
      <c r="AX28" s="613"/>
    </row>
    <row r="29" spans="1:50" s="636" customFormat="1" ht="18.75" customHeight="1" x14ac:dyDescent="0.35">
      <c r="A29" s="588" t="s">
        <v>371</v>
      </c>
      <c r="B29" s="828">
        <v>14.018000000000001</v>
      </c>
      <c r="C29" s="828">
        <v>16.422999999999998</v>
      </c>
      <c r="D29" s="634">
        <f>IF(B29=0, "    ---- ", IF(ABS(ROUND(100/B29*C29-100,1))&lt;999,ROUND(100/B29*C29-100,1),IF(ROUND(100/B29*C29-100,1)&gt;999,999,-999)))</f>
        <v>17.2</v>
      </c>
      <c r="E29" s="827"/>
      <c r="F29" s="828"/>
      <c r="G29" s="635"/>
      <c r="H29" s="828">
        <v>-30.5</v>
      </c>
      <c r="I29" s="828">
        <v>-104.63312549502757</v>
      </c>
      <c r="J29" s="635">
        <f>IF(H29=0, "    ---- ", IF(ABS(ROUND(100/H29*I29-100,1))&lt;999,ROUND(100/H29*I29-100,1),IF(ROUND(100/H29*I29-100,1)&gt;999,999,-999)))</f>
        <v>243.1</v>
      </c>
      <c r="K29" s="828">
        <v>6</v>
      </c>
      <c r="L29" s="634">
        <v>50883.19225</v>
      </c>
      <c r="M29" s="635">
        <f>IF(K29=0, "    ---- ", IF(ABS(ROUND(100/K29*L29-100,1))&lt;999,ROUND(100/K29*L29-100,1),IF(ROUND(100/K29*L29-100,1)&gt;999,999,-999)))</f>
        <v>999</v>
      </c>
      <c r="N29" s="828">
        <v>9.7189999999999994</v>
      </c>
      <c r="O29" s="828">
        <v>68.733999999999995</v>
      </c>
      <c r="P29" s="635">
        <f t="shared" si="0"/>
        <v>607.20000000000005</v>
      </c>
      <c r="Q29" s="828"/>
      <c r="R29" s="828"/>
      <c r="S29" s="635"/>
      <c r="T29" s="828"/>
      <c r="U29" s="828"/>
      <c r="V29" s="635"/>
      <c r="W29" s="828"/>
      <c r="X29" s="828"/>
      <c r="Y29" s="635"/>
      <c r="Z29" s="828">
        <v>43</v>
      </c>
      <c r="AA29" s="828">
        <v>44.47</v>
      </c>
      <c r="AB29" s="635">
        <f t="shared" si="10"/>
        <v>3.4</v>
      </c>
      <c r="AC29" s="827"/>
      <c r="AD29" s="828"/>
      <c r="AE29" s="635"/>
      <c r="AF29" s="828"/>
      <c r="AG29" s="828"/>
      <c r="AH29" s="635"/>
      <c r="AI29" s="828"/>
      <c r="AJ29" s="828"/>
      <c r="AK29" s="635"/>
      <c r="AL29" s="828">
        <v>-27</v>
      </c>
      <c r="AM29" s="828">
        <v>33</v>
      </c>
      <c r="AN29" s="635">
        <f>IF(AL29=0, "    ---- ", IF(ABS(ROUND(100/AL29*AM29-100,1))&lt;999,ROUND(100/AL29*AM29-100,1),IF(ROUND(100/AL29*AM29-100,1)&gt;999,999,-999)))</f>
        <v>-222.2</v>
      </c>
      <c r="AO29" s="634">
        <f t="shared" si="11"/>
        <v>15.237000000000002</v>
      </c>
      <c r="AP29" s="634">
        <f t="shared" si="12"/>
        <v>50941.186124504973</v>
      </c>
      <c r="AQ29" s="635">
        <f t="shared" si="15"/>
        <v>999</v>
      </c>
      <c r="AR29" s="596">
        <f t="shared" si="13"/>
        <v>15.237000000000002</v>
      </c>
      <c r="AS29" s="596">
        <f t="shared" si="14"/>
        <v>50941.186124504973</v>
      </c>
      <c r="AT29" s="635">
        <f t="shared" si="16"/>
        <v>999</v>
      </c>
      <c r="AU29" s="618"/>
      <c r="AV29" s="618"/>
      <c r="AW29" s="613"/>
      <c r="AX29" s="613"/>
    </row>
    <row r="30" spans="1:50" s="636" customFormat="1" ht="18.75" customHeight="1" x14ac:dyDescent="0.35">
      <c r="A30" s="588" t="s">
        <v>372</v>
      </c>
      <c r="B30" s="828"/>
      <c r="C30" s="828"/>
      <c r="D30" s="634"/>
      <c r="E30" s="827"/>
      <c r="F30" s="828"/>
      <c r="G30" s="635"/>
      <c r="H30" s="828"/>
      <c r="I30" s="828"/>
      <c r="J30" s="635"/>
      <c r="K30" s="828"/>
      <c r="L30" s="634"/>
      <c r="M30" s="635"/>
      <c r="N30" s="828"/>
      <c r="O30" s="828"/>
      <c r="P30" s="635"/>
      <c r="Q30" s="828"/>
      <c r="R30" s="828"/>
      <c r="S30" s="634"/>
      <c r="T30" s="828"/>
      <c r="U30" s="828"/>
      <c r="V30" s="635"/>
      <c r="W30" s="828"/>
      <c r="X30" s="828"/>
      <c r="Y30" s="635"/>
      <c r="Z30" s="828"/>
      <c r="AA30" s="828"/>
      <c r="AB30" s="635"/>
      <c r="AC30" s="827"/>
      <c r="AD30" s="828"/>
      <c r="AE30" s="635"/>
      <c r="AF30" s="828"/>
      <c r="AG30" s="828"/>
      <c r="AH30" s="635"/>
      <c r="AI30" s="828"/>
      <c r="AJ30" s="828"/>
      <c r="AK30" s="635"/>
      <c r="AL30" s="828"/>
      <c r="AM30" s="828"/>
      <c r="AN30" s="635"/>
      <c r="AO30" s="634">
        <f t="shared" si="11"/>
        <v>0</v>
      </c>
      <c r="AP30" s="634">
        <f t="shared" si="12"/>
        <v>0</v>
      </c>
      <c r="AQ30" s="635" t="str">
        <f t="shared" si="15"/>
        <v xml:space="preserve">    ---- </v>
      </c>
      <c r="AR30" s="596">
        <f t="shared" si="13"/>
        <v>0</v>
      </c>
      <c r="AS30" s="596">
        <f t="shared" si="14"/>
        <v>0</v>
      </c>
      <c r="AT30" s="635" t="str">
        <f t="shared" si="16"/>
        <v xml:space="preserve">    ---- </v>
      </c>
      <c r="AU30" s="618"/>
      <c r="AV30" s="618"/>
      <c r="AW30" s="613"/>
      <c r="AX30" s="613"/>
    </row>
    <row r="31" spans="1:50" s="636" customFormat="1" ht="18.75" customHeight="1" x14ac:dyDescent="0.35">
      <c r="A31" s="588" t="s">
        <v>373</v>
      </c>
      <c r="B31" s="828"/>
      <c r="C31" s="828"/>
      <c r="D31" s="634"/>
      <c r="E31" s="827"/>
      <c r="F31" s="828"/>
      <c r="G31" s="635"/>
      <c r="H31" s="828"/>
      <c r="I31" s="828"/>
      <c r="J31" s="635"/>
      <c r="K31" s="828"/>
      <c r="L31" s="634"/>
      <c r="M31" s="635"/>
      <c r="N31" s="828">
        <v>-0.125</v>
      </c>
      <c r="O31" s="828"/>
      <c r="P31" s="635">
        <f t="shared" si="0"/>
        <v>-100</v>
      </c>
      <c r="Q31" s="828"/>
      <c r="R31" s="828"/>
      <c r="S31" s="634"/>
      <c r="T31" s="828"/>
      <c r="U31" s="828"/>
      <c r="V31" s="635"/>
      <c r="W31" s="828"/>
      <c r="X31" s="828"/>
      <c r="Y31" s="635"/>
      <c r="Z31" s="828">
        <v>0</v>
      </c>
      <c r="AA31" s="828">
        <v>0</v>
      </c>
      <c r="AB31" s="635" t="str">
        <f t="shared" si="10"/>
        <v xml:space="preserve">    ---- </v>
      </c>
      <c r="AC31" s="827"/>
      <c r="AD31" s="828"/>
      <c r="AE31" s="635"/>
      <c r="AF31" s="828"/>
      <c r="AG31" s="828"/>
      <c r="AH31" s="635"/>
      <c r="AI31" s="828"/>
      <c r="AJ31" s="828"/>
      <c r="AK31" s="635"/>
      <c r="AL31" s="828"/>
      <c r="AM31" s="828"/>
      <c r="AN31" s="635"/>
      <c r="AO31" s="634">
        <f t="shared" si="11"/>
        <v>-0.125</v>
      </c>
      <c r="AP31" s="634">
        <f t="shared" si="12"/>
        <v>0</v>
      </c>
      <c r="AQ31" s="635">
        <f t="shared" si="15"/>
        <v>-100</v>
      </c>
      <c r="AR31" s="596">
        <f t="shared" si="13"/>
        <v>-0.125</v>
      </c>
      <c r="AS31" s="596">
        <f t="shared" si="14"/>
        <v>0</v>
      </c>
      <c r="AT31" s="635">
        <f t="shared" si="16"/>
        <v>-100</v>
      </c>
      <c r="AU31" s="618"/>
      <c r="AV31" s="618"/>
      <c r="AW31" s="613"/>
      <c r="AX31" s="613"/>
    </row>
    <row r="32" spans="1:50" s="639" customFormat="1" ht="18.75" customHeight="1" x14ac:dyDescent="0.3">
      <c r="A32" s="583" t="s">
        <v>374</v>
      </c>
      <c r="B32" s="830">
        <f>SUM(B24:B29)+B31</f>
        <v>12.326000000000001</v>
      </c>
      <c r="C32" s="830">
        <f>SUM(C24:C29)+C31</f>
        <v>16.391999999999999</v>
      </c>
      <c r="D32" s="632">
        <f>IF(B32=0, "    ---- ", IF(ABS(ROUND(100/B32*C32-100,1))&lt;999,ROUND(100/B32*C32-100,1),IF(ROUND(100/B32*C32-100,1)&gt;999,999,-999)))</f>
        <v>33</v>
      </c>
      <c r="E32" s="829"/>
      <c r="F32" s="830"/>
      <c r="G32" s="633"/>
      <c r="H32" s="830">
        <f>SUM(H24:H29)+H31</f>
        <v>-26.1</v>
      </c>
      <c r="I32" s="830">
        <f>SUM(I24:I29)+I31</f>
        <v>-67.142668415907664</v>
      </c>
      <c r="J32" s="633">
        <f>IF(H32=0, "    ---- ", IF(ABS(ROUND(100/H32*I32-100,1))&lt;999,ROUND(100/H32*I32-100,1),IF(ROUND(100/H32*I32-100,1)&gt;999,999,-999)))</f>
        <v>157.30000000000001</v>
      </c>
      <c r="K32" s="830">
        <f>SUM(K24:K29)+K31</f>
        <v>-21</v>
      </c>
      <c r="L32" s="632">
        <f>SUM(L24:L29)+L31</f>
        <v>53632.405280000021</v>
      </c>
      <c r="M32" s="633">
        <f>IF(K32=0, "    ---- ", IF(ABS(ROUND(100/K32*L32-100,1))&lt;999,ROUND(100/K32*L32-100,1),IF(ROUND(100/K32*L32-100,1)&gt;999,999,-999)))</f>
        <v>-999</v>
      </c>
      <c r="N32" s="830">
        <f>SUM(N24:N29)+N31</f>
        <v>16.811</v>
      </c>
      <c r="O32" s="830">
        <f>SUM(O24:O29)+O31</f>
        <v>80.004999999999995</v>
      </c>
      <c r="P32" s="633">
        <f t="shared" si="0"/>
        <v>375.9</v>
      </c>
      <c r="Q32" s="830"/>
      <c r="R32" s="830"/>
      <c r="S32" s="632"/>
      <c r="T32" s="830"/>
      <c r="U32" s="830"/>
      <c r="V32" s="633"/>
      <c r="W32" s="830"/>
      <c r="X32" s="830"/>
      <c r="Y32" s="633"/>
      <c r="Z32" s="830">
        <f>SUM(Z24:Z29)+Z31</f>
        <v>76</v>
      </c>
      <c r="AA32" s="830">
        <f>SUM(AA24:AA29)+AA31</f>
        <v>75.12</v>
      </c>
      <c r="AB32" s="633">
        <f t="shared" si="10"/>
        <v>-1.2</v>
      </c>
      <c r="AC32" s="829"/>
      <c r="AD32" s="830"/>
      <c r="AE32" s="633"/>
      <c r="AF32" s="830"/>
      <c r="AG32" s="830"/>
      <c r="AH32" s="633"/>
      <c r="AI32" s="830"/>
      <c r="AJ32" s="830"/>
      <c r="AK32" s="633"/>
      <c r="AL32" s="830">
        <f>SUM(AL24:AL29)+AL31</f>
        <v>-34</v>
      </c>
      <c r="AM32" s="830">
        <f>SUM(AM24:AM29)+AM31</f>
        <v>50.5</v>
      </c>
      <c r="AN32" s="633">
        <f>IF(AL32=0, "    ---- ", IF(ABS(ROUND(100/AL32*AM32-100,1))&lt;999,ROUND(100/AL32*AM32-100,1),IF(ROUND(100/AL32*AM32-100,1)&gt;999,999,-999)))</f>
        <v>-248.5</v>
      </c>
      <c r="AO32" s="632">
        <f t="shared" si="11"/>
        <v>24.036999999999999</v>
      </c>
      <c r="AP32" s="632">
        <f t="shared" si="12"/>
        <v>53787.279611584112</v>
      </c>
      <c r="AQ32" s="633">
        <f t="shared" si="15"/>
        <v>999</v>
      </c>
      <c r="AR32" s="598">
        <f t="shared" si="13"/>
        <v>24.036999999999999</v>
      </c>
      <c r="AS32" s="598">
        <f t="shared" si="14"/>
        <v>53787.279611584112</v>
      </c>
      <c r="AT32" s="633">
        <f t="shared" si="16"/>
        <v>999</v>
      </c>
      <c r="AU32" s="616"/>
      <c r="AV32" s="616"/>
      <c r="AW32" s="638"/>
      <c r="AX32" s="638"/>
    </row>
    <row r="33" spans="1:50" s="636" customFormat="1" ht="18.75" customHeight="1" x14ac:dyDescent="0.35">
      <c r="A33" s="588" t="s">
        <v>375</v>
      </c>
      <c r="B33" s="828"/>
      <c r="C33" s="828"/>
      <c r="D33" s="634"/>
      <c r="E33" s="827"/>
      <c r="F33" s="828"/>
      <c r="G33" s="635"/>
      <c r="H33" s="828">
        <v>0</v>
      </c>
      <c r="I33" s="828">
        <v>0</v>
      </c>
      <c r="J33" s="635" t="str">
        <f>IF(H33=0, "    ---- ", IF(ABS(ROUND(100/H33*I33-100,1))&lt;999,ROUND(100/H33*I33-100,1),IF(ROUND(100/H33*I33-100,1)&gt;999,999,-999)))</f>
        <v xml:space="preserve">    ---- </v>
      </c>
      <c r="K33" s="828"/>
      <c r="L33" s="828"/>
      <c r="M33" s="635"/>
      <c r="N33" s="828"/>
      <c r="O33" s="828"/>
      <c r="P33" s="635"/>
      <c r="Q33" s="828"/>
      <c r="R33" s="828"/>
      <c r="S33" s="634"/>
      <c r="T33" s="828"/>
      <c r="U33" s="828"/>
      <c r="V33" s="635"/>
      <c r="W33" s="828"/>
      <c r="X33" s="828"/>
      <c r="Y33" s="635"/>
      <c r="Z33" s="828"/>
      <c r="AA33" s="828">
        <v>0</v>
      </c>
      <c r="AB33" s="635"/>
      <c r="AC33" s="827"/>
      <c r="AD33" s="828"/>
      <c r="AE33" s="635"/>
      <c r="AF33" s="828"/>
      <c r="AG33" s="828"/>
      <c r="AH33" s="635"/>
      <c r="AI33" s="828"/>
      <c r="AJ33" s="828"/>
      <c r="AK33" s="635"/>
      <c r="AL33" s="828"/>
      <c r="AM33" s="828"/>
      <c r="AN33" s="635"/>
      <c r="AO33" s="634">
        <f t="shared" si="11"/>
        <v>0</v>
      </c>
      <c r="AP33" s="634">
        <f t="shared" si="12"/>
        <v>0</v>
      </c>
      <c r="AQ33" s="635" t="str">
        <f t="shared" si="15"/>
        <v xml:space="preserve">    ---- </v>
      </c>
      <c r="AR33" s="596">
        <f t="shared" si="13"/>
        <v>0</v>
      </c>
      <c r="AS33" s="596">
        <f t="shared" si="14"/>
        <v>0</v>
      </c>
      <c r="AT33" s="635" t="str">
        <f t="shared" si="16"/>
        <v xml:space="preserve">    ---- </v>
      </c>
      <c r="AU33" s="618"/>
      <c r="AV33" s="618"/>
      <c r="AW33" s="613"/>
      <c r="AX33" s="613"/>
    </row>
    <row r="34" spans="1:50" s="636" customFormat="1" ht="18.75" customHeight="1" x14ac:dyDescent="0.35">
      <c r="A34" s="588" t="s">
        <v>376</v>
      </c>
      <c r="B34" s="828">
        <v>12.326000000000001</v>
      </c>
      <c r="C34" s="828">
        <v>16.391999999999999</v>
      </c>
      <c r="D34" s="634">
        <f>IF(B34=0, "    ---- ", IF(ABS(ROUND(100/B34*C34-100,1))&lt;999,ROUND(100/B34*C34-100,1),IF(ROUND(100/B34*C34-100,1)&gt;999,999,-999)))</f>
        <v>33</v>
      </c>
      <c r="E34" s="827"/>
      <c r="F34" s="828"/>
      <c r="G34" s="635"/>
      <c r="H34" s="828">
        <v>-26</v>
      </c>
      <c r="I34" s="828">
        <v>-67.142668415907664</v>
      </c>
      <c r="J34" s="635">
        <f>IF(H34=0, "    ---- ", IF(ABS(ROUND(100/H34*I34-100,1))&lt;999,ROUND(100/H34*I34-100,1),IF(ROUND(100/H34*I34-100,1)&gt;999,999,-999)))</f>
        <v>158.19999999999999</v>
      </c>
      <c r="K34" s="828">
        <f>+K32</f>
        <v>-21</v>
      </c>
      <c r="L34" s="828">
        <f>+L32</f>
        <v>53632.405280000021</v>
      </c>
      <c r="M34" s="635">
        <f>IF(K34=0, "    ---- ", IF(ABS(ROUND(100/K34*L34-100,1))&lt;999,ROUND(100/K34*L34-100,1),IF(ROUND(100/K34*L34-100,1)&gt;999,999,-999)))</f>
        <v>-999</v>
      </c>
      <c r="N34" s="828">
        <v>16.811</v>
      </c>
      <c r="O34" s="828">
        <v>80.013000000000005</v>
      </c>
      <c r="P34" s="635">
        <f t="shared" si="0"/>
        <v>376</v>
      </c>
      <c r="Q34" s="828"/>
      <c r="R34" s="828"/>
      <c r="S34" s="634"/>
      <c r="T34" s="828"/>
      <c r="U34" s="828"/>
      <c r="V34" s="635"/>
      <c r="W34" s="828"/>
      <c r="X34" s="828"/>
      <c r="Y34" s="635"/>
      <c r="Z34" s="828">
        <v>76</v>
      </c>
      <c r="AA34" s="828">
        <v>75.13</v>
      </c>
      <c r="AB34" s="635">
        <f t="shared" si="10"/>
        <v>-1.1000000000000001</v>
      </c>
      <c r="AC34" s="827"/>
      <c r="AD34" s="828"/>
      <c r="AE34" s="635"/>
      <c r="AF34" s="828"/>
      <c r="AG34" s="828"/>
      <c r="AH34" s="635"/>
      <c r="AI34" s="828"/>
      <c r="AJ34" s="828"/>
      <c r="AK34" s="635"/>
      <c r="AL34" s="828">
        <v>-34</v>
      </c>
      <c r="AM34" s="828">
        <v>51</v>
      </c>
      <c r="AN34" s="635">
        <f>IF(AL34=0, "    ---- ", IF(ABS(ROUND(100/AL34*AM34-100,1))&lt;999,ROUND(100/AL34*AM34-100,1),IF(ROUND(100/AL34*AM34-100,1)&gt;999,999,-999)))</f>
        <v>-250</v>
      </c>
      <c r="AO34" s="634">
        <f t="shared" si="11"/>
        <v>24.137</v>
      </c>
      <c r="AP34" s="634">
        <f t="shared" si="12"/>
        <v>53787.797611584108</v>
      </c>
      <c r="AQ34" s="635">
        <f t="shared" si="15"/>
        <v>999</v>
      </c>
      <c r="AR34" s="596">
        <f t="shared" si="13"/>
        <v>24.137</v>
      </c>
      <c r="AS34" s="596">
        <f t="shared" si="14"/>
        <v>53787.797611584108</v>
      </c>
      <c r="AT34" s="635">
        <f t="shared" si="16"/>
        <v>999</v>
      </c>
      <c r="AU34" s="618"/>
      <c r="AV34" s="618"/>
      <c r="AW34" s="613"/>
      <c r="AX34" s="613"/>
    </row>
    <row r="35" spans="1:50" s="636" customFormat="1" ht="18.75" customHeight="1" x14ac:dyDescent="0.35">
      <c r="A35" s="600"/>
      <c r="B35" s="832"/>
      <c r="C35" s="832"/>
      <c r="D35" s="648"/>
      <c r="E35" s="831"/>
      <c r="F35" s="832"/>
      <c r="G35" s="649"/>
      <c r="H35" s="832"/>
      <c r="I35" s="832"/>
      <c r="J35" s="649"/>
      <c r="K35" s="832"/>
      <c r="L35" s="832"/>
      <c r="M35" s="649"/>
      <c r="N35" s="832"/>
      <c r="O35" s="832"/>
      <c r="P35" s="649"/>
      <c r="Q35" s="832"/>
      <c r="R35" s="832"/>
      <c r="S35" s="648"/>
      <c r="T35" s="832"/>
      <c r="U35" s="832"/>
      <c r="V35" s="649"/>
      <c r="W35" s="832"/>
      <c r="X35" s="832"/>
      <c r="Y35" s="649"/>
      <c r="Z35" s="832"/>
      <c r="AA35" s="832"/>
      <c r="AB35" s="649"/>
      <c r="AC35" s="831"/>
      <c r="AD35" s="832"/>
      <c r="AE35" s="649"/>
      <c r="AF35" s="832"/>
      <c r="AG35" s="832"/>
      <c r="AH35" s="649"/>
      <c r="AI35" s="832"/>
      <c r="AJ35" s="832"/>
      <c r="AK35" s="649"/>
      <c r="AL35" s="832"/>
      <c r="AM35" s="832"/>
      <c r="AN35" s="649"/>
      <c r="AO35" s="649"/>
      <c r="AP35" s="649"/>
      <c r="AQ35" s="649"/>
      <c r="AR35" s="603"/>
      <c r="AS35" s="603"/>
      <c r="AT35" s="649"/>
      <c r="AU35" s="618"/>
      <c r="AV35" s="618"/>
      <c r="AW35" s="613"/>
      <c r="AX35" s="613"/>
    </row>
    <row r="36" spans="1:50" s="636" customFormat="1" ht="18.75" customHeight="1" x14ac:dyDescent="0.35">
      <c r="A36" s="604"/>
      <c r="B36" s="828"/>
      <c r="C36" s="828"/>
      <c r="D36" s="634"/>
      <c r="E36" s="828"/>
      <c r="F36" s="828"/>
      <c r="G36" s="635"/>
      <c r="H36" s="828"/>
      <c r="I36" s="828"/>
      <c r="J36" s="635"/>
      <c r="K36" s="828"/>
      <c r="L36" s="828"/>
      <c r="M36" s="635"/>
      <c r="N36" s="828"/>
      <c r="O36" s="828"/>
      <c r="P36" s="635"/>
      <c r="Q36" s="828"/>
      <c r="R36" s="828"/>
      <c r="S36" s="634"/>
      <c r="T36" s="828"/>
      <c r="U36" s="828"/>
      <c r="V36" s="635"/>
      <c r="W36" s="828"/>
      <c r="X36" s="828"/>
      <c r="Y36" s="635"/>
      <c r="Z36" s="828"/>
      <c r="AA36" s="828"/>
      <c r="AB36" s="635"/>
      <c r="AC36" s="828"/>
      <c r="AD36" s="828"/>
      <c r="AE36" s="635"/>
      <c r="AF36" s="828"/>
      <c r="AG36" s="828"/>
      <c r="AH36" s="635"/>
      <c r="AI36" s="828"/>
      <c r="AJ36" s="828"/>
      <c r="AK36" s="635"/>
      <c r="AL36" s="828"/>
      <c r="AM36" s="828"/>
      <c r="AN36" s="635"/>
      <c r="AO36" s="634"/>
      <c r="AP36" s="634"/>
      <c r="AQ36" s="635"/>
      <c r="AR36" s="596"/>
      <c r="AS36" s="596"/>
      <c r="AT36" s="635"/>
      <c r="AU36" s="618"/>
      <c r="AV36" s="618"/>
      <c r="AW36" s="613"/>
      <c r="AX36" s="613"/>
    </row>
    <row r="37" spans="1:50" s="636" customFormat="1" ht="18.75" customHeight="1" x14ac:dyDescent="0.35">
      <c r="A37" s="583" t="s">
        <v>401</v>
      </c>
      <c r="B37" s="828"/>
      <c r="C37" s="828"/>
      <c r="D37" s="634"/>
      <c r="E37" s="828"/>
      <c r="F37" s="828"/>
      <c r="G37" s="635"/>
      <c r="H37" s="828"/>
      <c r="I37" s="828"/>
      <c r="J37" s="635"/>
      <c r="K37" s="828"/>
      <c r="L37" s="828"/>
      <c r="M37" s="635"/>
      <c r="N37" s="828"/>
      <c r="O37" s="828"/>
      <c r="P37" s="635"/>
      <c r="Q37" s="828"/>
      <c r="R37" s="828"/>
      <c r="S37" s="634"/>
      <c r="T37" s="828"/>
      <c r="U37" s="828"/>
      <c r="V37" s="635"/>
      <c r="W37" s="828"/>
      <c r="X37" s="828"/>
      <c r="Y37" s="635"/>
      <c r="Z37" s="828"/>
      <c r="AA37" s="828"/>
      <c r="AB37" s="635"/>
      <c r="AC37" s="828"/>
      <c r="AD37" s="828"/>
      <c r="AE37" s="635"/>
      <c r="AF37" s="828"/>
      <c r="AG37" s="828"/>
      <c r="AH37" s="635"/>
      <c r="AI37" s="828"/>
      <c r="AJ37" s="828"/>
      <c r="AK37" s="635"/>
      <c r="AL37" s="828"/>
      <c r="AM37" s="828"/>
      <c r="AN37" s="635"/>
      <c r="AO37" s="634"/>
      <c r="AP37" s="634"/>
      <c r="AQ37" s="635"/>
      <c r="AR37" s="596"/>
      <c r="AS37" s="596"/>
      <c r="AT37" s="635"/>
      <c r="AU37" s="618"/>
      <c r="AV37" s="618"/>
      <c r="AW37" s="613"/>
      <c r="AX37" s="613"/>
    </row>
    <row r="38" spans="1:50" s="636" customFormat="1" ht="18.75" customHeight="1" x14ac:dyDescent="0.35">
      <c r="A38" s="588" t="s">
        <v>366</v>
      </c>
      <c r="B38" s="634">
        <f>'Tabell 5.1'!B12+'Tabell 5.1'!B24+'Tabell 5.1'!B36+'Tabell 5.1'!B48+'Tabell 5.1'!B62+'Tabell 5.1'!B74+'Tabell 5.1'!B86+'Tabell 5.1'!B98+'Tabell 5.2'!B12+'Tabell 5.2'!B24+'Tabell 5.2'!B36+'Tabell 5.2'!B48+'Tabell 5.2'!B84+'Tabell 5.2'!B96+'Tabell 5.2'!B122+'Tabell 5.2'!B134+B12+B24+'Tabell 5.2'!B60+'Tabell 5.2'!B72+'Tabell 5.2'!B108</f>
        <v>14.033000000000001</v>
      </c>
      <c r="C38" s="634">
        <f>'Tabell 5.1'!C12+'Tabell 5.1'!C24+'Tabell 5.1'!C36+'Tabell 5.1'!C48+'Tabell 5.1'!C62+'Tabell 5.1'!C74+'Tabell 5.1'!C86+'Tabell 5.1'!C98+'Tabell 5.2'!C12+'Tabell 5.2'!C24+'Tabell 5.2'!C36+'Tabell 5.2'!C48+'Tabell 5.2'!C84+'Tabell 5.2'!C96+'Tabell 5.2'!C122+'Tabell 5.2'!C134+C12+C24+'Tabell 5.2'!C60+'Tabell 5.2'!C72+'Tabell 5.2'!C108</f>
        <v>16.282999999999998</v>
      </c>
      <c r="D38" s="634">
        <f t="shared" ref="D38:D48" si="17">IF(B38=0, "    ---- ", IF(ABS(ROUND(100/B38*C38-100,1))&lt;999,ROUND(100/B38*C38-100,1),IF(ROUND(100/B38*C38-100,1)&gt;999,999,-999)))</f>
        <v>16</v>
      </c>
      <c r="E38" s="634">
        <f>'Tabell 5.1'!E12+'Tabell 5.1'!E24+'Tabell 5.1'!E36+'Tabell 5.1'!E48+'Tabell 5.1'!E62+'Tabell 5.1'!E74+'Tabell 5.1'!E86+'Tabell 5.1'!E98+'Tabell 5.2'!E12+'Tabell 5.2'!E24+'Tabell 5.2'!E36+'Tabell 5.2'!E48+'Tabell 5.2'!E84+'Tabell 5.2'!E96+'Tabell 5.2'!E122+'Tabell 5.2'!E134+E12+E24+'Tabell 5.2'!E60+'Tabell 5.2'!E72+'Tabell 5.2'!E108</f>
        <v>18</v>
      </c>
      <c r="F38" s="634"/>
      <c r="G38" s="634">
        <f t="shared" ref="G38:G48" si="18">IF(E38=0, "    ---- ", IF(ABS(ROUND(100/E38*F38-100,1))&lt;999,ROUND(100/E38*F38-100,1),IF(ROUND(100/E38*F38-100,1)&gt;999,999,-999)))</f>
        <v>-100</v>
      </c>
      <c r="H38" s="634">
        <f>'Tabell 5.1'!H12+'Tabell 5.1'!H24+'Tabell 5.1'!H36+'Tabell 5.1'!H48+'Tabell 5.1'!H62+'Tabell 5.1'!H74+'Tabell 5.1'!H86+'Tabell 5.1'!H98+'Tabell 5.2'!H12+'Tabell 5.2'!H24+'Tabell 5.2'!H36+'Tabell 5.2'!H48+'Tabell 5.2'!H84+'Tabell 5.2'!H96+'Tabell 5.2'!H122+'Tabell 5.2'!H134+H12+H24+'Tabell 5.2'!H60+'Tabell 5.2'!H72+'Tabell 5.2'!H108</f>
        <v>7099</v>
      </c>
      <c r="I38" s="634">
        <f>'Tabell 5.1'!I12+'Tabell 5.1'!I24+'Tabell 5.1'!I36+'Tabell 5.1'!I48+'Tabell 5.1'!I62+'Tabell 5.1'!I74+'Tabell 5.1'!I86+'Tabell 5.1'!I98+'Tabell 5.2'!I12+'Tabell 5.2'!I24+'Tabell 5.2'!I36+'Tabell 5.2'!I48+'Tabell 5.2'!I84+'Tabell 5.2'!I96+'Tabell 5.2'!I122+'Tabell 5.2'!I134+I12+I24+'Tabell 5.2'!I60+'Tabell 5.2'!I72+'Tabell 5.2'!I108</f>
        <v>16951.725697407426</v>
      </c>
      <c r="J38" s="634">
        <f t="shared" ref="J38:J48" si="19">IF(H38=0, "    ---- ", IF(ABS(ROUND(100/H38*I38-100,1))&lt;999,ROUND(100/H38*I38-100,1),IF(ROUND(100/H38*I38-100,1)&gt;999,999,-999)))</f>
        <v>138.80000000000001</v>
      </c>
      <c r="K38" s="634">
        <f>'Tabell 5.1'!K12+'Tabell 5.1'!K24+'Tabell 5.1'!K36+'Tabell 5.1'!K48+'Tabell 5.1'!K62+'Tabell 5.1'!K74+'Tabell 5.1'!K86+'Tabell 5.1'!K98+'Tabell 5.2'!K12+'Tabell 5.2'!K24+'Tabell 5.2'!K36+'Tabell 5.2'!K48+'Tabell 5.2'!K84+'Tabell 5.2'!K96+'Tabell 5.2'!K122+'Tabell 5.2'!K134+K12+K24+'Tabell 5.2'!K60+'Tabell 5.2'!K72+'Tabell 5.2'!K108</f>
        <v>51.9</v>
      </c>
      <c r="L38" s="634">
        <f>'Tabell 5.1'!L12+'Tabell 5.1'!L24+'Tabell 5.1'!L36+'Tabell 5.1'!L48+'Tabell 5.1'!L62+'Tabell 5.1'!L74+'Tabell 5.1'!L86+'Tabell 5.1'!L98+'Tabell 5.2'!L12+'Tabell 5.2'!L24+'Tabell 5.2'!L36+'Tabell 5.2'!L48+'Tabell 5.2'!L84+'Tabell 5.2'!L96+'Tabell 5.2'!L122+'Tabell 5.2'!L134+L12+L24+'Tabell 5.2'!L60+'Tabell 5.2'!L72+'Tabell 5.2'!L108</f>
        <v>70621.201430000001</v>
      </c>
      <c r="M38" s="634">
        <f t="shared" ref="M38:M48" si="20">IF(K38=0, "    ---- ", IF(ABS(ROUND(100/K38*L38-100,1))&lt;999,ROUND(100/K38*L38-100,1),IF(ROUND(100/K38*L38-100,1)&gt;999,999,-999)))</f>
        <v>999</v>
      </c>
      <c r="N38" s="634">
        <f>'Tabell 5.1'!N12+'Tabell 5.1'!N24+'Tabell 5.1'!N36+'Tabell 5.1'!N48+'Tabell 5.1'!N62+'Tabell 5.1'!N74+'Tabell 5.1'!N86+'Tabell 5.1'!N98+'Tabell 5.2'!N12+'Tabell 5.2'!N24+'Tabell 5.2'!N36+'Tabell 5.2'!N48+'Tabell 5.2'!N84+'Tabell 5.2'!N96+'Tabell 5.2'!N122+'Tabell 5.2'!N134+N12+N24+'Tabell 5.2'!N60+'Tabell 5.2'!N72+'Tabell 5.2'!N108</f>
        <v>65.13300000000001</v>
      </c>
      <c r="O38" s="634">
        <f>'Tabell 5.1'!O12+'Tabell 5.1'!O24+'Tabell 5.1'!O36+'Tabell 5.1'!O48+'Tabell 5.1'!O62+'Tabell 5.1'!O74+'Tabell 5.1'!O86+'Tabell 5.1'!O98+'Tabell 5.2'!O12+'Tabell 5.2'!O24+'Tabell 5.2'!O36+'Tabell 5.2'!O48+'Tabell 5.2'!O84+'Tabell 5.2'!O96+'Tabell 5.2'!O122+'Tabell 5.2'!O134+O12+O24+'Tabell 5.2'!O60+'Tabell 5.2'!O72+'Tabell 5.2'!O108</f>
        <v>92.216000000000008</v>
      </c>
      <c r="P38" s="634">
        <f t="shared" ref="P38:P48" si="21">IF(N38=0, "    ---- ", IF(ABS(ROUND(100/N38*O38-100,1))&lt;999,ROUND(100/N38*O38-100,1),IF(ROUND(100/N38*O38-100,1)&gt;999,999,-999)))</f>
        <v>41.6</v>
      </c>
      <c r="Q38" s="634">
        <f>'Tabell 5.1'!Q12+'Tabell 5.1'!Q24+'Tabell 5.1'!Q36+'Tabell 5.1'!Q48+'Tabell 5.1'!Q62+'Tabell 5.1'!Q74+'Tabell 5.1'!Q86+'Tabell 5.1'!Q98+'Tabell 5.2'!Q12+'Tabell 5.2'!Q24+'Tabell 5.2'!Q36+'Tabell 5.2'!Q48+'Tabell 5.2'!Q84+'Tabell 5.2'!Q96+'Tabell 5.2'!Q122+'Tabell 5.2'!Q134+Q12+Q24+'Tabell 5.2'!Q60+'Tabell 5.2'!Q72+'Tabell 5.2'!Q108</f>
        <v>48.9</v>
      </c>
      <c r="R38" s="634">
        <f>'Tabell 5.1'!R12+'Tabell 5.1'!R24+'Tabell 5.1'!R36+'Tabell 5.1'!R48+'Tabell 5.1'!R62+'Tabell 5.1'!R74+'Tabell 5.1'!R86+'Tabell 5.1'!R98+'Tabell 5.2'!R12+'Tabell 5.2'!R24+'Tabell 5.2'!R36+'Tabell 5.2'!R48+'Tabell 5.2'!R84+'Tabell 5.2'!R96+'Tabell 5.2'!R122+'Tabell 5.2'!R134+R12+R24+'Tabell 5.2'!R60+'Tabell 5.2'!R72+'Tabell 5.2'!R108</f>
        <v>89.5</v>
      </c>
      <c r="S38" s="634">
        <f t="shared" ref="S38:S48" si="22">IF(Q38=0, "    ---- ", IF(ABS(ROUND(100/Q38*R38-100,1))&lt;999,ROUND(100/Q38*R38-100,1),IF(ROUND(100/Q38*R38-100,1)&gt;999,999,-999)))</f>
        <v>83</v>
      </c>
      <c r="T38" s="634">
        <f>'Tabell 5.1'!T12+'Tabell 5.1'!T24+'Tabell 5.1'!T36+'Tabell 5.1'!T48+'Tabell 5.1'!T62+'Tabell 5.1'!T74+'Tabell 5.1'!T86+'Tabell 5.1'!T98+'Tabell 5.2'!T12+'Tabell 5.2'!T24+'Tabell 5.2'!T36+'Tabell 5.2'!T48+'Tabell 5.2'!T84+'Tabell 5.2'!T96+'Tabell 5.2'!T122+'Tabell 5.2'!T134+T12+T24+'Tabell 5.2'!T60+'Tabell 5.2'!T72+'Tabell 5.2'!T108</f>
        <v>1.6126841400000009</v>
      </c>
      <c r="U38" s="634">
        <f>'Tabell 5.1'!U12+'Tabell 5.1'!U24+'Tabell 5.1'!U36+'Tabell 5.1'!U48+'Tabell 5.1'!U62+'Tabell 5.1'!U74+'Tabell 5.1'!U86+'Tabell 5.1'!U98+'Tabell 5.2'!U12+'Tabell 5.2'!U24+'Tabell 5.2'!U36+'Tabell 5.2'!U48+'Tabell 5.2'!U84+'Tabell 5.2'!U96+'Tabell 5.2'!U122+'Tabell 5.2'!U134+U12+U24+'Tabell 5.2'!U60+'Tabell 5.2'!U72+'Tabell 5.2'!U108</f>
        <v>0.71923140657968698</v>
      </c>
      <c r="V38" s="634">
        <f t="shared" ref="V38:V48" si="23">IF(T38=0, "    ---- ", IF(ABS(ROUND(100/T38*U38-100,1))&lt;999,ROUND(100/T38*U38-100,1),IF(ROUND(100/T38*U38-100,1)&gt;999,999,-999)))</f>
        <v>-55.4</v>
      </c>
      <c r="W38" s="634">
        <f>'Tabell 5.1'!W12+'Tabell 5.1'!W24+'Tabell 5.1'!W36+'Tabell 5.1'!W48+'Tabell 5.1'!W62+'Tabell 5.1'!W74+'Tabell 5.1'!W86+'Tabell 5.1'!W98+'Tabell 5.2'!W12+'Tabell 5.2'!W24+'Tabell 5.2'!W36+'Tabell 5.2'!W48+'Tabell 5.2'!W84+'Tabell 5.2'!W96+'Tabell 5.2'!W122+'Tabell 5.2'!W134+W12+W24+'Tabell 5.2'!W60+'Tabell 5.2'!W72+'Tabell 5.2'!W108</f>
        <v>13099.79366156385</v>
      </c>
      <c r="X38" s="634">
        <f>'Tabell 5.1'!X12+'Tabell 5.1'!X24+'Tabell 5.1'!X36+'Tabell 5.1'!X48+'Tabell 5.1'!X62+'Tabell 5.1'!X74+'Tabell 5.1'!X86+'Tabell 5.1'!X98+'Tabell 5.2'!X12+'Tabell 5.2'!X24+'Tabell 5.2'!X36+'Tabell 5.2'!X48+'Tabell 5.2'!X84+'Tabell 5.2'!X96+'Tabell 5.2'!X122+'Tabell 5.2'!X134+X12+X24+'Tabell 5.2'!X60+'Tabell 5.2'!X72+'Tabell 5.2'!X108</f>
        <v>14856.596270627975</v>
      </c>
      <c r="Y38" s="634">
        <f t="shared" ref="Y38:Y48" si="24">IF(W38=0, "    ---- ", IF(ABS(ROUND(100/W38*X38-100,1))&lt;999,ROUND(100/W38*X38-100,1),IF(ROUND(100/W38*X38-100,1)&gt;999,999,-999)))</f>
        <v>13.4</v>
      </c>
      <c r="Z38" s="634">
        <f>'Tabell 5.1'!Z12+'Tabell 5.1'!Z24+'Tabell 5.1'!Z36+'Tabell 5.1'!Z48+'Tabell 5.1'!Z62+'Tabell 5.1'!Z74+'Tabell 5.1'!Z86+'Tabell 5.1'!Z98+'Tabell 5.2'!Z12+'Tabell 5.2'!Z24+'Tabell 5.2'!Z36+'Tabell 5.2'!Z48+'Tabell 5.2'!Z84+'Tabell 5.2'!Z96+'Tabell 5.2'!Z122+'Tabell 5.2'!Z134+Z12+Z24+'Tabell 5.2'!Z60+'Tabell 5.2'!Z72+'Tabell 5.2'!Z108</f>
        <v>292.34000000000003</v>
      </c>
      <c r="AA38" s="634">
        <f>'Tabell 5.1'!AA12+'Tabell 5.1'!AA24+'Tabell 5.1'!AA36+'Tabell 5.1'!AA48+'Tabell 5.1'!AA62+'Tabell 5.1'!AA74+'Tabell 5.1'!AA86+'Tabell 5.1'!AA98+'Tabell 5.2'!AA12+'Tabell 5.2'!AA24+'Tabell 5.2'!AA36+'Tabell 5.2'!AA48+'Tabell 5.2'!AA84+'Tabell 5.2'!AA96+'Tabell 5.2'!AA122+'Tabell 5.2'!AA134+AA12+AA24+'Tabell 5.2'!AA60+'Tabell 5.2'!AA72+'Tabell 5.2'!AA108</f>
        <v>1814.63</v>
      </c>
      <c r="AB38" s="634">
        <f t="shared" ref="AB38:AB48" si="25">IF(Z38=0, "    ---- ", IF(ABS(ROUND(100/Z38*AA38-100,1))&lt;999,ROUND(100/Z38*AA38-100,1),IF(ROUND(100/Z38*AA38-100,1)&gt;999,999,-999)))</f>
        <v>520.70000000000005</v>
      </c>
      <c r="AC38" s="634">
        <f>'Tabell 5.1'!AC12+'Tabell 5.1'!AC24+'Tabell 5.1'!AC36+'Tabell 5.1'!AC48+'Tabell 5.1'!AC62+'Tabell 5.1'!AC74+'Tabell 5.1'!AC86+'Tabell 5.1'!AC98+'Tabell 5.2'!AC12+'Tabell 5.2'!AC24+'Tabell 5.2'!AC36+'Tabell 5.2'!AC48+'Tabell 5.2'!AC84+'Tabell 5.2'!AC96+'Tabell 5.2'!AC122+'Tabell 5.2'!AC134+AC12+AC24+'Tabell 5.2'!AC60+'Tabell 5.2'!AC72+'Tabell 5.2'!AC108</f>
        <v>5064</v>
      </c>
      <c r="AD38" s="634">
        <f>'Tabell 5.1'!AD12+'Tabell 5.1'!AD24+'Tabell 5.1'!AD36+'Tabell 5.1'!AD48+'Tabell 5.1'!AD62+'Tabell 5.1'!AD74+'Tabell 5.1'!AD86+'Tabell 5.1'!AD98+'Tabell 5.2'!AD12+'Tabell 5.2'!AD24+'Tabell 5.2'!AD36+'Tabell 5.2'!AD48+'Tabell 5.2'!AD84+'Tabell 5.2'!AD96+'Tabell 5.2'!AD122+'Tabell 5.2'!AD134+AD12+AD24+'Tabell 5.2'!AD60+'Tabell 5.2'!AD72+'Tabell 5.2'!AD108</f>
        <v>5440</v>
      </c>
      <c r="AE38" s="634">
        <f t="shared" ref="AE38:AE48" si="26">IF(AC38=0, "    ---- ", IF(ABS(ROUND(100/AC38*AD38-100,1))&lt;999,ROUND(100/AC38*AD38-100,1),IF(ROUND(100/AC38*AD38-100,1)&gt;999,999,-999)))</f>
        <v>7.4</v>
      </c>
      <c r="AF38" s="634">
        <f>'Tabell 5.1'!AF12+'Tabell 5.1'!AF24+'Tabell 5.1'!AF36+'Tabell 5.1'!AF48+'Tabell 5.1'!AF62+'Tabell 5.1'!AF74+'Tabell 5.1'!AF86+'Tabell 5.1'!AF98+'Tabell 5.2'!AF12+'Tabell 5.2'!AF24+'Tabell 5.2'!AF36+'Tabell 5.2'!AF48+'Tabell 5.2'!AF84+'Tabell 5.2'!AF96+'Tabell 5.2'!AF122+'Tabell 5.2'!AF134+AF12+AF24+'Tabell 5.2'!AF60+'Tabell 5.2'!AF72+'Tabell 5.2'!AF108</f>
        <v>0</v>
      </c>
      <c r="AG38" s="634">
        <f>'Tabell 5.1'!AG12+'Tabell 5.1'!AG24+'Tabell 5.1'!AG36+'Tabell 5.1'!AG48+'Tabell 5.1'!AG62+'Tabell 5.1'!AG74+'Tabell 5.1'!AG86+'Tabell 5.1'!AG98+'Tabell 5.2'!AG12+'Tabell 5.2'!AG24+'Tabell 5.2'!AG36+'Tabell 5.2'!AG48+'Tabell 5.2'!AG84+'Tabell 5.2'!AG96+'Tabell 5.2'!AG122+'Tabell 5.2'!AG134+AG12+AG24+'Tabell 5.2'!AG60+'Tabell 5.2'!AG72+'Tabell 5.2'!AG108</f>
        <v>0.32838050000000019</v>
      </c>
      <c r="AH38" s="634" t="str">
        <f t="shared" ref="AH38:AH48" si="27">IF(AF38=0, "    ---- ", IF(ABS(ROUND(100/AF38*AG38-100,1))&lt;999,ROUND(100/AF38*AG38-100,1),IF(ROUND(100/AF38*AG38-100,1)&gt;999,999,-999)))</f>
        <v xml:space="preserve">    ---- </v>
      </c>
      <c r="AI38" s="634">
        <f>'Tabell 5.1'!AI12+'Tabell 5.1'!AI24+'Tabell 5.1'!AI36+'Tabell 5.1'!AI48+'Tabell 5.1'!AI62+'Tabell 5.1'!AI74+'Tabell 5.1'!AI86+'Tabell 5.1'!AI98+'Tabell 5.2'!AI12+'Tabell 5.2'!AI24+'Tabell 5.2'!AI36+'Tabell 5.2'!AI48+'Tabell 5.2'!AI84+'Tabell 5.2'!AI96+'Tabell 5.2'!AI122+'Tabell 5.2'!AI134+AI12+AI24+'Tabell 5.2'!AI60+'Tabell 5.2'!AI72+'Tabell 5.2'!AI108</f>
        <v>4</v>
      </c>
      <c r="AJ38" s="634">
        <f>'Tabell 5.1'!AJ12+'Tabell 5.1'!AJ24+'Tabell 5.1'!AJ36+'Tabell 5.1'!AJ48+'Tabell 5.1'!AJ62+'Tabell 5.1'!AJ74+'Tabell 5.1'!AJ86+'Tabell 5.1'!AJ98+'Tabell 5.2'!AJ12+'Tabell 5.2'!AJ24+'Tabell 5.2'!AJ36+'Tabell 5.2'!AJ48+'Tabell 5.2'!AJ84+'Tabell 5.2'!AJ96+'Tabell 5.2'!AJ122+'Tabell 5.2'!AJ134+AJ12+AJ24+'Tabell 5.2'!AJ60+'Tabell 5.2'!AJ72+'Tabell 5.2'!AJ108</f>
        <v>1547</v>
      </c>
      <c r="AK38" s="634">
        <f t="shared" ref="AK38:AK48" si="28">IF(AI38=0, "    ---- ", IF(ABS(ROUND(100/AI38*AJ38-100,1))&lt;999,ROUND(100/AI38*AJ38-100,1),IF(ROUND(100/AI38*AJ38-100,1)&gt;999,999,-999)))</f>
        <v>999</v>
      </c>
      <c r="AL38" s="634">
        <f>'Tabell 5.1'!AL12+'Tabell 5.1'!AL24+'Tabell 5.1'!AL36+'Tabell 5.1'!AL48+'Tabell 5.1'!AL62+'Tabell 5.1'!AL74+'Tabell 5.1'!AL86+'Tabell 5.1'!AL98+'Tabell 5.2'!AL12+'Tabell 5.2'!AL24+'Tabell 5.2'!AL36+'Tabell 5.2'!AL48+'Tabell 5.2'!AL84+'Tabell 5.2'!AL96+'Tabell 5.2'!AL122+'Tabell 5.2'!AL134+AL12+AL24+'Tabell 5.2'!AL60+'Tabell 5.2'!AL72+'Tabell 5.2'!AL108</f>
        <v>3103</v>
      </c>
      <c r="AM38" s="634">
        <f>'Tabell 5.1'!AM12+'Tabell 5.1'!AM24+'Tabell 5.1'!AM36+'Tabell 5.1'!AM48+'Tabell 5.1'!AM62+'Tabell 5.1'!AM74+'Tabell 5.1'!AM86+'Tabell 5.1'!AM98+'Tabell 5.2'!AM12+'Tabell 5.2'!AM24+'Tabell 5.2'!AM36+'Tabell 5.2'!AM48+'Tabell 5.2'!AM84+'Tabell 5.2'!AM96+'Tabell 5.2'!AM122+'Tabell 5.2'!AM134+AM12+AM24+'Tabell 5.2'!AM60+'Tabell 5.2'!AM72+'Tabell 5.2'!AM108</f>
        <v>3078.5</v>
      </c>
      <c r="AN38" s="634">
        <f t="shared" ref="AN38:AN48" si="29">IF(AL38=0, "    ---- ", IF(ABS(ROUND(100/AL38*AM38-100,1))&lt;999,ROUND(100/AL38*AM38-100,1),IF(ROUND(100/AL38*AM38-100,1)&gt;999,999,-999)))</f>
        <v>-0.8</v>
      </c>
      <c r="AO38" s="634">
        <f t="shared" ref="AO38:AO48" si="30">B38+H38+K38+N38+Q38+W38+E38+Z38+AC38+AI38+AL38</f>
        <v>28860.099661563851</v>
      </c>
      <c r="AP38" s="634">
        <f t="shared" ref="AP38:AP48" si="31">C38+I38+L38+O38+R38+X38+F38+AA38+AD38+AJ38+AM38</f>
        <v>114507.6523980354</v>
      </c>
      <c r="AQ38" s="634">
        <f t="shared" ref="AQ38:AQ48" si="32">IF(AO38=0, "    ---- ", IF(ABS(ROUND(100/AO38*AP38-100,1))&lt;999,ROUND(100/AO38*AP38-100,1),IF(ROUND(100/AO38*AP38-100,1)&gt;999,999,-999)))</f>
        <v>296.8</v>
      </c>
      <c r="AR38" s="596">
        <f t="shared" ref="AR38:AR48" si="33">+B38+H38+K38+N38+Q38+T38+W38+E38+Z38+AC38+AF38+AI38+AL38</f>
        <v>28861.712345703851</v>
      </c>
      <c r="AS38" s="596">
        <f t="shared" ref="AS38:AS48" si="34">+C38+I38+L38+O38+R38+U38+X38+F38+AA38+AD38+AG38+AJ38+AM38</f>
        <v>114508.70000994197</v>
      </c>
      <c r="AT38" s="635">
        <f t="shared" ref="AT38:AT48" si="35">IF(AR38=0, "    ---- ", IF(ABS(ROUND(100/AR38*AS38-100,1))&lt;999,ROUND(100/AR38*AS38-100,1),IF(ROUND(100/AR38*AS38-100,1)&gt;999,999,-999)))</f>
        <v>296.7</v>
      </c>
      <c r="AU38" s="666"/>
      <c r="AV38" s="618"/>
      <c r="AW38" s="613"/>
      <c r="AX38" s="613"/>
    </row>
    <row r="39" spans="1:50" s="636" customFormat="1" ht="18.75" customHeight="1" x14ac:dyDescent="0.35">
      <c r="A39" s="588" t="s">
        <v>367</v>
      </c>
      <c r="B39" s="634">
        <f>'Tabell 5.1'!B13+'Tabell 5.1'!B25+'Tabell 5.1'!B37+'Tabell 5.1'!B49+'Tabell 5.1'!B63+'Tabell 5.1'!B75+'Tabell 5.1'!B87+'Tabell 5.1'!B99+'Tabell 5.2'!B13+'Tabell 5.2'!B25+'Tabell 5.2'!B37+'Tabell 5.2'!B49+'Tabell 5.2'!B85+'Tabell 5.2'!B97+'Tabell 5.2'!B123+'Tabell 5.2'!B135+B13+B25+'Tabell 5.2'!B61+'Tabell 5.2'!B73+'Tabell 5.2'!B109</f>
        <v>0</v>
      </c>
      <c r="C39" s="634">
        <f>'Tabell 5.1'!C13+'Tabell 5.1'!C25+'Tabell 5.1'!C37+'Tabell 5.1'!C49+'Tabell 5.1'!C63+'Tabell 5.1'!C75+'Tabell 5.1'!C87+'Tabell 5.1'!C99+'Tabell 5.2'!C13+'Tabell 5.2'!C25+'Tabell 5.2'!C37+'Tabell 5.2'!C49+'Tabell 5.2'!C85+'Tabell 5.2'!C97+'Tabell 5.2'!C123+'Tabell 5.2'!C135+C13+C25+'Tabell 5.2'!C61+'Tabell 5.2'!C73+'Tabell 5.2'!C109</f>
        <v>0</v>
      </c>
      <c r="D39" s="634" t="str">
        <f t="shared" si="17"/>
        <v xml:space="preserve">    ---- </v>
      </c>
      <c r="E39" s="634">
        <f>'Tabell 5.1'!E13+'Tabell 5.1'!E25+'Tabell 5.1'!E37+'Tabell 5.1'!E49+'Tabell 5.1'!E63+'Tabell 5.1'!E75+'Tabell 5.1'!E87+'Tabell 5.1'!E99+'Tabell 5.2'!E13+'Tabell 5.2'!E25+'Tabell 5.2'!E37+'Tabell 5.2'!E49+'Tabell 5.2'!E85+'Tabell 5.2'!E97+'Tabell 5.2'!E123+'Tabell 5.2'!E135+E13+E25+'Tabell 5.2'!E61+'Tabell 5.2'!E73+'Tabell 5.2'!E109</f>
        <v>0</v>
      </c>
      <c r="F39" s="634"/>
      <c r="G39" s="634" t="str">
        <f t="shared" si="18"/>
        <v xml:space="preserve">    ---- </v>
      </c>
      <c r="H39" s="634">
        <f>'Tabell 5.1'!H13+'Tabell 5.1'!H25+'Tabell 5.1'!H37+'Tabell 5.1'!H49+'Tabell 5.1'!H63+'Tabell 5.1'!H75+'Tabell 5.1'!H87+'Tabell 5.1'!H99+'Tabell 5.2'!H13+'Tabell 5.2'!H25+'Tabell 5.2'!H37+'Tabell 5.2'!H49+'Tabell 5.2'!H85+'Tabell 5.2'!H97+'Tabell 5.2'!H123+'Tabell 5.2'!H135+H13+H25+'Tabell 5.2'!H61+'Tabell 5.2'!H73+'Tabell 5.2'!H109</f>
        <v>768.7</v>
      </c>
      <c r="I39" s="634">
        <f>'Tabell 5.1'!I13+'Tabell 5.1'!I25+'Tabell 5.1'!I37+'Tabell 5.1'!I49+'Tabell 5.1'!I63+'Tabell 5.1'!I75+'Tabell 5.1'!I87+'Tabell 5.1'!I99+'Tabell 5.2'!I13+'Tabell 5.2'!I25+'Tabell 5.2'!I37+'Tabell 5.2'!I49+'Tabell 5.2'!I85+'Tabell 5.2'!I97+'Tabell 5.2'!I123+'Tabell 5.2'!I135+I13+I25+'Tabell 5.2'!I61+'Tabell 5.2'!I73+'Tabell 5.2'!I109</f>
        <v>-1220.6913694289465</v>
      </c>
      <c r="J39" s="634">
        <f t="shared" si="19"/>
        <v>-258.8</v>
      </c>
      <c r="K39" s="634">
        <f>'Tabell 5.1'!K13+'Tabell 5.1'!K25+'Tabell 5.1'!K37+'Tabell 5.1'!K49+'Tabell 5.1'!K63+'Tabell 5.1'!K75+'Tabell 5.1'!K87+'Tabell 5.1'!K99+'Tabell 5.2'!K13+'Tabell 5.2'!K25+'Tabell 5.2'!K37+'Tabell 5.2'!K49+'Tabell 5.2'!K85+'Tabell 5.2'!K97+'Tabell 5.2'!K123+'Tabell 5.2'!K135+K13+K25+'Tabell 5.2'!K61+'Tabell 5.2'!K73+'Tabell 5.2'!K109</f>
        <v>0</v>
      </c>
      <c r="L39" s="634">
        <f>'Tabell 5.1'!L13+'Tabell 5.1'!L25+'Tabell 5.1'!L37+'Tabell 5.1'!L49+'Tabell 5.1'!L63+'Tabell 5.1'!L75+'Tabell 5.1'!L87+'Tabell 5.1'!L99+'Tabell 5.2'!L13+'Tabell 5.2'!L25+'Tabell 5.2'!L37+'Tabell 5.2'!L49+'Tabell 5.2'!L85+'Tabell 5.2'!L97+'Tabell 5.2'!L123+'Tabell 5.2'!L135+L13+L25+'Tabell 5.2'!L61+'Tabell 5.2'!L73+'Tabell 5.2'!L109</f>
        <v>0</v>
      </c>
      <c r="M39" s="634" t="str">
        <f t="shared" si="20"/>
        <v xml:space="preserve">    ---- </v>
      </c>
      <c r="N39" s="634">
        <f>'Tabell 5.1'!N13+'Tabell 5.1'!N25+'Tabell 5.1'!N37+'Tabell 5.1'!N49+'Tabell 5.1'!N63+'Tabell 5.1'!N75+'Tabell 5.1'!N87+'Tabell 5.1'!N99+'Tabell 5.2'!N13+'Tabell 5.2'!N25+'Tabell 5.2'!N37+'Tabell 5.2'!N49+'Tabell 5.2'!N85+'Tabell 5.2'!N97+'Tabell 5.2'!N123+'Tabell 5.2'!N135+N13+N25+'Tabell 5.2'!N61+'Tabell 5.2'!N73+'Tabell 5.2'!N109</f>
        <v>0</v>
      </c>
      <c r="O39" s="634">
        <f>'Tabell 5.1'!O13+'Tabell 5.1'!O25+'Tabell 5.1'!O37+'Tabell 5.1'!O49+'Tabell 5.1'!O63+'Tabell 5.1'!O75+'Tabell 5.1'!O87+'Tabell 5.1'!O99+'Tabell 5.2'!O13+'Tabell 5.2'!O25+'Tabell 5.2'!O37+'Tabell 5.2'!O49+'Tabell 5.2'!O85+'Tabell 5.2'!O97+'Tabell 5.2'!O123+'Tabell 5.2'!O135+O13+O25+'Tabell 5.2'!O61+'Tabell 5.2'!O73+'Tabell 5.2'!O109</f>
        <v>0</v>
      </c>
      <c r="P39" s="634" t="str">
        <f t="shared" si="21"/>
        <v xml:space="preserve">    ---- </v>
      </c>
      <c r="Q39" s="634">
        <f>'Tabell 5.1'!Q13+'Tabell 5.1'!Q25+'Tabell 5.1'!Q37+'Tabell 5.1'!Q49+'Tabell 5.1'!Q63+'Tabell 5.1'!Q75+'Tabell 5.1'!Q87+'Tabell 5.1'!Q99+'Tabell 5.2'!Q13+'Tabell 5.2'!Q25+'Tabell 5.2'!Q37+'Tabell 5.2'!Q49+'Tabell 5.2'!Q85+'Tabell 5.2'!Q97+'Tabell 5.2'!Q123+'Tabell 5.2'!Q135+Q13+Q25+'Tabell 5.2'!Q61+'Tabell 5.2'!Q73+'Tabell 5.2'!Q109</f>
        <v>0</v>
      </c>
      <c r="R39" s="634">
        <f>'Tabell 5.1'!R13+'Tabell 5.1'!R25+'Tabell 5.1'!R37+'Tabell 5.1'!R49+'Tabell 5.1'!R63+'Tabell 5.1'!R75+'Tabell 5.1'!R87+'Tabell 5.1'!R99+'Tabell 5.2'!R13+'Tabell 5.2'!R25+'Tabell 5.2'!R37+'Tabell 5.2'!R49+'Tabell 5.2'!R85+'Tabell 5.2'!R97+'Tabell 5.2'!R123+'Tabell 5.2'!R135+R13+R25+'Tabell 5.2'!R61+'Tabell 5.2'!R73+'Tabell 5.2'!R109</f>
        <v>0</v>
      </c>
      <c r="S39" s="634" t="str">
        <f t="shared" si="22"/>
        <v xml:space="preserve">    ---- </v>
      </c>
      <c r="T39" s="634">
        <f>'Tabell 5.1'!T13+'Tabell 5.1'!T25+'Tabell 5.1'!T37+'Tabell 5.1'!T49+'Tabell 5.1'!T63+'Tabell 5.1'!T75+'Tabell 5.1'!T87+'Tabell 5.1'!T99+'Tabell 5.2'!T13+'Tabell 5.2'!T25+'Tabell 5.2'!T37+'Tabell 5.2'!T49+'Tabell 5.2'!T85+'Tabell 5.2'!T97+'Tabell 5.2'!T123+'Tabell 5.2'!T135+T13+T25+'Tabell 5.2'!T61+'Tabell 5.2'!T73+'Tabell 5.2'!T109</f>
        <v>0</v>
      </c>
      <c r="U39" s="634">
        <f>'Tabell 5.1'!U13+'Tabell 5.1'!U25+'Tabell 5.1'!U37+'Tabell 5.1'!U49+'Tabell 5.1'!U63+'Tabell 5.1'!U75+'Tabell 5.1'!U87+'Tabell 5.1'!U99+'Tabell 5.2'!U13+'Tabell 5.2'!U25+'Tabell 5.2'!U37+'Tabell 5.2'!U49+'Tabell 5.2'!U85+'Tabell 5.2'!U97+'Tabell 5.2'!U123+'Tabell 5.2'!U135+U13+U25+'Tabell 5.2'!U61+'Tabell 5.2'!U73+'Tabell 5.2'!U109</f>
        <v>0</v>
      </c>
      <c r="V39" s="634" t="str">
        <f t="shared" si="23"/>
        <v xml:space="preserve">    ---- </v>
      </c>
      <c r="W39" s="634">
        <f>'Tabell 5.1'!W13+'Tabell 5.1'!W25+'Tabell 5.1'!W37+'Tabell 5.1'!W49+'Tabell 5.1'!W63+'Tabell 5.1'!W75+'Tabell 5.1'!W87+'Tabell 5.1'!W99+'Tabell 5.2'!W13+'Tabell 5.2'!W25+'Tabell 5.2'!W37+'Tabell 5.2'!W49+'Tabell 5.2'!W85+'Tabell 5.2'!W97+'Tabell 5.2'!W123+'Tabell 5.2'!W135+W13+W25+'Tabell 5.2'!W61+'Tabell 5.2'!W73+'Tabell 5.2'!W109</f>
        <v>-489.97288800000001</v>
      </c>
      <c r="X39" s="634">
        <f>'Tabell 5.1'!X13+'Tabell 5.1'!X25+'Tabell 5.1'!X37+'Tabell 5.1'!X49+'Tabell 5.1'!X63+'Tabell 5.1'!X75+'Tabell 5.1'!X87+'Tabell 5.1'!X99+'Tabell 5.2'!X13+'Tabell 5.2'!X25+'Tabell 5.2'!X37+'Tabell 5.2'!X49+'Tabell 5.2'!X85+'Tabell 5.2'!X97+'Tabell 5.2'!X123+'Tabell 5.2'!X135+X13+X25+'Tabell 5.2'!X61+'Tabell 5.2'!X73+'Tabell 5.2'!X109</f>
        <v>276.70562864422538</v>
      </c>
      <c r="Y39" s="634">
        <f t="shared" si="24"/>
        <v>-156.5</v>
      </c>
      <c r="Z39" s="634">
        <f>'Tabell 5.1'!Z13+'Tabell 5.1'!Z25+'Tabell 5.1'!Z37+'Tabell 5.1'!Z49+'Tabell 5.1'!Z63+'Tabell 5.1'!Z75+'Tabell 5.1'!Z87+'Tabell 5.1'!Z99+'Tabell 5.2'!Z13+'Tabell 5.2'!Z25+'Tabell 5.2'!Z37+'Tabell 5.2'!Z49+'Tabell 5.2'!Z85+'Tabell 5.2'!Z97+'Tabell 5.2'!Z123+'Tabell 5.2'!Z135+Z13+Z25+'Tabell 5.2'!Z61+'Tabell 5.2'!Z73+'Tabell 5.2'!Z109</f>
        <v>-181.81</v>
      </c>
      <c r="AA39" s="634">
        <f>'Tabell 5.1'!AA13+'Tabell 5.1'!AA25+'Tabell 5.1'!AA37+'Tabell 5.1'!AA49+'Tabell 5.1'!AA63+'Tabell 5.1'!AA75+'Tabell 5.1'!AA87+'Tabell 5.1'!AA99+'Tabell 5.2'!AA13+'Tabell 5.2'!AA25+'Tabell 5.2'!AA37+'Tabell 5.2'!AA49+'Tabell 5.2'!AA85+'Tabell 5.2'!AA97+'Tabell 5.2'!AA123+'Tabell 5.2'!AA135+AA13+AA25+'Tabell 5.2'!AA61+'Tabell 5.2'!AA73+'Tabell 5.2'!AA109</f>
        <v>-1341.73</v>
      </c>
      <c r="AB39" s="634">
        <f t="shared" si="25"/>
        <v>638</v>
      </c>
      <c r="AC39" s="634">
        <f>'Tabell 5.1'!AC13+'Tabell 5.1'!AC25+'Tabell 5.1'!AC37+'Tabell 5.1'!AC49+'Tabell 5.1'!AC63+'Tabell 5.1'!AC75+'Tabell 5.1'!AC87+'Tabell 5.1'!AC99+'Tabell 5.2'!AC13+'Tabell 5.2'!AC25+'Tabell 5.2'!AC37+'Tabell 5.2'!AC49+'Tabell 5.2'!AC85+'Tabell 5.2'!AC97+'Tabell 5.2'!AC123+'Tabell 5.2'!AC135+AC13+AC25+'Tabell 5.2'!AC61+'Tabell 5.2'!AC73+'Tabell 5.2'!AC109</f>
        <v>-657</v>
      </c>
      <c r="AD39" s="634">
        <f>'Tabell 5.1'!AD13+'Tabell 5.1'!AD25+'Tabell 5.1'!AD37+'Tabell 5.1'!AD49+'Tabell 5.1'!AD63+'Tabell 5.1'!AD75+'Tabell 5.1'!AD87+'Tabell 5.1'!AD99+'Tabell 5.2'!AD13+'Tabell 5.2'!AD25+'Tabell 5.2'!AD37+'Tabell 5.2'!AD49+'Tabell 5.2'!AD85+'Tabell 5.2'!AD97+'Tabell 5.2'!AD123+'Tabell 5.2'!AD135+AD13+AD25+'Tabell 5.2'!AD61+'Tabell 5.2'!AD73+'Tabell 5.2'!AD109</f>
        <v>-658</v>
      </c>
      <c r="AE39" s="634">
        <f t="shared" si="26"/>
        <v>0.2</v>
      </c>
      <c r="AF39" s="634">
        <f>'Tabell 5.1'!AF13+'Tabell 5.1'!AF25+'Tabell 5.1'!AF37+'Tabell 5.1'!AF49+'Tabell 5.1'!AF63+'Tabell 5.1'!AF75+'Tabell 5.1'!AF87+'Tabell 5.1'!AF99+'Tabell 5.2'!AF13+'Tabell 5.2'!AF25+'Tabell 5.2'!AF37+'Tabell 5.2'!AF49+'Tabell 5.2'!AF85+'Tabell 5.2'!AF97+'Tabell 5.2'!AF123+'Tabell 5.2'!AF135+AF13+AF25+'Tabell 5.2'!AF61+'Tabell 5.2'!AF73+'Tabell 5.2'!AF109</f>
        <v>0</v>
      </c>
      <c r="AG39" s="634">
        <f>'Tabell 5.1'!AG13+'Tabell 5.1'!AG25+'Tabell 5.1'!AG37+'Tabell 5.1'!AG49+'Tabell 5.1'!AG63+'Tabell 5.1'!AG75+'Tabell 5.1'!AG87+'Tabell 5.1'!AG99+'Tabell 5.2'!AG13+'Tabell 5.2'!AG25+'Tabell 5.2'!AG37+'Tabell 5.2'!AG49+'Tabell 5.2'!AG85+'Tabell 5.2'!AG97+'Tabell 5.2'!AG123+'Tabell 5.2'!AG135+AG13+AG25+'Tabell 5.2'!AG61+'Tabell 5.2'!AG73+'Tabell 5.2'!AG109</f>
        <v>0</v>
      </c>
      <c r="AH39" s="634" t="str">
        <f t="shared" si="27"/>
        <v xml:space="preserve">    ---- </v>
      </c>
      <c r="AI39" s="634">
        <f>'Tabell 5.1'!AI13+'Tabell 5.1'!AI25+'Tabell 5.1'!AI37+'Tabell 5.1'!AI49+'Tabell 5.1'!AI63+'Tabell 5.1'!AI75+'Tabell 5.1'!AI87+'Tabell 5.1'!AI99+'Tabell 5.2'!AI13+'Tabell 5.2'!AI25+'Tabell 5.2'!AI37+'Tabell 5.2'!AI49+'Tabell 5.2'!AI85+'Tabell 5.2'!AI97+'Tabell 5.2'!AI123+'Tabell 5.2'!AI135+AI13+AI25+'Tabell 5.2'!AI61+'Tabell 5.2'!AI73+'Tabell 5.2'!AI109</f>
        <v>86</v>
      </c>
      <c r="AJ39" s="634">
        <f>'Tabell 5.1'!AJ13+'Tabell 5.1'!AJ25+'Tabell 5.1'!AJ37+'Tabell 5.1'!AJ49+'Tabell 5.1'!AJ63+'Tabell 5.1'!AJ75+'Tabell 5.1'!AJ87+'Tabell 5.1'!AJ99+'Tabell 5.2'!AJ13+'Tabell 5.2'!AJ25+'Tabell 5.2'!AJ37+'Tabell 5.2'!AJ49+'Tabell 5.2'!AJ85+'Tabell 5.2'!AJ97+'Tabell 5.2'!AJ123+'Tabell 5.2'!AJ135+AJ13+AJ25+'Tabell 5.2'!AJ61+'Tabell 5.2'!AJ73+'Tabell 5.2'!AJ109</f>
        <v>-299</v>
      </c>
      <c r="AK39" s="634">
        <f t="shared" si="28"/>
        <v>-447.7</v>
      </c>
      <c r="AL39" s="634">
        <f>'Tabell 5.1'!AL13+'Tabell 5.1'!AL25+'Tabell 5.1'!AL37+'Tabell 5.1'!AL49+'Tabell 5.1'!AL63+'Tabell 5.1'!AL75+'Tabell 5.1'!AL87+'Tabell 5.1'!AL99+'Tabell 5.2'!AL13+'Tabell 5.2'!AL25+'Tabell 5.2'!AL37+'Tabell 5.2'!AL49+'Tabell 5.2'!AL85+'Tabell 5.2'!AL97+'Tabell 5.2'!AL123+'Tabell 5.2'!AL135+AL13+AL25+'Tabell 5.2'!AL61+'Tabell 5.2'!AL73+'Tabell 5.2'!AL109</f>
        <v>-2524.8000000000002</v>
      </c>
      <c r="AM39" s="634">
        <f>'Tabell 5.1'!AM13+'Tabell 5.1'!AM25+'Tabell 5.1'!AM37+'Tabell 5.1'!AM49+'Tabell 5.1'!AM63+'Tabell 5.1'!AM75+'Tabell 5.1'!AM87+'Tabell 5.1'!AM99+'Tabell 5.2'!AM13+'Tabell 5.2'!AM25+'Tabell 5.2'!AM37+'Tabell 5.2'!AM49+'Tabell 5.2'!AM85+'Tabell 5.2'!AM97+'Tabell 5.2'!AM123+'Tabell 5.2'!AM135+AM13+AM25+'Tabell 5.2'!AM61+'Tabell 5.2'!AM73+'Tabell 5.2'!AM109</f>
        <v>-1645</v>
      </c>
      <c r="AN39" s="634">
        <f t="shared" si="29"/>
        <v>-34.799999999999997</v>
      </c>
      <c r="AO39" s="634">
        <f t="shared" si="30"/>
        <v>-2998.8828880000001</v>
      </c>
      <c r="AP39" s="634">
        <f t="shared" si="31"/>
        <v>-4887.7157407847208</v>
      </c>
      <c r="AQ39" s="634">
        <f t="shared" si="32"/>
        <v>63</v>
      </c>
      <c r="AR39" s="596">
        <f t="shared" si="33"/>
        <v>-2998.8828880000001</v>
      </c>
      <c r="AS39" s="596">
        <f t="shared" si="34"/>
        <v>-4887.7157407847208</v>
      </c>
      <c r="AT39" s="635">
        <f t="shared" si="35"/>
        <v>63</v>
      </c>
      <c r="AU39" s="666"/>
      <c r="AV39" s="618"/>
      <c r="AW39" s="613"/>
      <c r="AX39" s="613"/>
    </row>
    <row r="40" spans="1:50" s="636" customFormat="1" ht="18.75" customHeight="1" x14ac:dyDescent="0.35">
      <c r="A40" s="588" t="s">
        <v>368</v>
      </c>
      <c r="B40" s="634">
        <f>'Tabell 5.1'!B14+'Tabell 5.1'!B26+'Tabell 5.1'!B38+'Tabell 5.1'!B50+'Tabell 5.1'!B64+'Tabell 5.1'!B76+'Tabell 5.1'!B88+'Tabell 5.1'!B100+'Tabell 5.2'!B14+'Tabell 5.2'!B26+'Tabell 5.2'!B38+'Tabell 5.2'!B50+'Tabell 5.2'!B86+'Tabell 5.2'!B98+'Tabell 5.2'!B124+'Tabell 5.2'!B136+B14+B26+'Tabell 5.2'!B62+'Tabell 5.2'!B74+'Tabell 5.2'!B110</f>
        <v>-12.822000000000006</v>
      </c>
      <c r="C40" s="634">
        <f>'Tabell 5.1'!C14+'Tabell 5.1'!C26+'Tabell 5.1'!C38+'Tabell 5.1'!C50+'Tabell 5.1'!C64+'Tabell 5.1'!C76+'Tabell 5.1'!C88+'Tabell 5.1'!C100+'Tabell 5.2'!C14+'Tabell 5.2'!C26+'Tabell 5.2'!C38+'Tabell 5.2'!C50+'Tabell 5.2'!C86+'Tabell 5.2'!C98+'Tabell 5.2'!C124+'Tabell 5.2'!C136+C14+C26+'Tabell 5.2'!C62+'Tabell 5.2'!C74+'Tabell 5.2'!C110</f>
        <v>43.757000000000005</v>
      </c>
      <c r="D40" s="634">
        <f t="shared" si="17"/>
        <v>-441.3</v>
      </c>
      <c r="E40" s="634">
        <f>'Tabell 5.1'!E14+'Tabell 5.1'!E26+'Tabell 5.1'!E38+'Tabell 5.1'!E50+'Tabell 5.1'!E64+'Tabell 5.1'!E76+'Tabell 5.1'!E88+'Tabell 5.1'!E100+'Tabell 5.2'!E14+'Tabell 5.2'!E26+'Tabell 5.2'!E38+'Tabell 5.2'!E50+'Tabell 5.2'!E86+'Tabell 5.2'!E98+'Tabell 5.2'!E124+'Tabell 5.2'!E136+E14+E26+'Tabell 5.2'!E62+'Tabell 5.2'!E74+'Tabell 5.2'!E110</f>
        <v>-49</v>
      </c>
      <c r="F40" s="634"/>
      <c r="G40" s="634">
        <f t="shared" si="18"/>
        <v>-100</v>
      </c>
      <c r="H40" s="634">
        <f>'Tabell 5.1'!H14+'Tabell 5.1'!H26+'Tabell 5.1'!H38+'Tabell 5.1'!H50+'Tabell 5.1'!H64+'Tabell 5.1'!H76+'Tabell 5.1'!H88+'Tabell 5.1'!H100+'Tabell 5.2'!H14+'Tabell 5.2'!H26+'Tabell 5.2'!H38+'Tabell 5.2'!H50+'Tabell 5.2'!H86+'Tabell 5.2'!H98+'Tabell 5.2'!H124+'Tabell 5.2'!H136+H14+H26+'Tabell 5.2'!H62+'Tabell 5.2'!H74+'Tabell 5.2'!H110</f>
        <v>809.2</v>
      </c>
      <c r="I40" s="634">
        <f>'Tabell 5.1'!I14+'Tabell 5.1'!I26+'Tabell 5.1'!I38+'Tabell 5.1'!I50+'Tabell 5.1'!I64+'Tabell 5.1'!I76+'Tabell 5.1'!I88+'Tabell 5.1'!I100+'Tabell 5.2'!I14+'Tabell 5.2'!I26+'Tabell 5.2'!I38+'Tabell 5.2'!I50+'Tabell 5.2'!I86+'Tabell 5.2'!I98+'Tabell 5.2'!I124+'Tabell 5.2'!I136+I14+I26+'Tabell 5.2'!I62+'Tabell 5.2'!I74+'Tabell 5.2'!I110</f>
        <v>706.13634817673835</v>
      </c>
      <c r="J40" s="634">
        <f t="shared" si="19"/>
        <v>-12.7</v>
      </c>
      <c r="K40" s="634">
        <f>'Tabell 5.1'!K14+'Tabell 5.1'!K26+'Tabell 5.1'!K38+'Tabell 5.1'!K50+'Tabell 5.1'!K64+'Tabell 5.1'!K76+'Tabell 5.1'!K88+'Tabell 5.1'!K100+'Tabell 5.2'!K14+'Tabell 5.2'!K26+'Tabell 5.2'!K38+'Tabell 5.2'!K50+'Tabell 5.2'!K86+'Tabell 5.2'!K98+'Tabell 5.2'!K124+'Tabell 5.2'!K136+K14+K26+'Tabell 5.2'!K62+'Tabell 5.2'!K74+'Tabell 5.2'!K110</f>
        <v>-60</v>
      </c>
      <c r="L40" s="634">
        <f>'Tabell 5.1'!L14+'Tabell 5.1'!L26+'Tabell 5.1'!L38+'Tabell 5.1'!L50+'Tabell 5.1'!L64+'Tabell 5.1'!L76+'Tabell 5.1'!L88+'Tabell 5.1'!L100+'Tabell 5.2'!L14+'Tabell 5.2'!L26+'Tabell 5.2'!L38+'Tabell 5.2'!L50+'Tabell 5.2'!L86+'Tabell 5.2'!L98+'Tabell 5.2'!L124+'Tabell 5.2'!L136+L14+L26+'Tabell 5.2'!L62+'Tabell 5.2'!L74+'Tabell 5.2'!L110</f>
        <v>25898.588959999957</v>
      </c>
      <c r="M40" s="634">
        <f t="shared" si="20"/>
        <v>-999</v>
      </c>
      <c r="N40" s="634">
        <f>'Tabell 5.1'!N14+'Tabell 5.1'!N26+'Tabell 5.1'!N38+'Tabell 5.1'!N50+'Tabell 5.1'!N64+'Tabell 5.1'!N76+'Tabell 5.1'!N88+'Tabell 5.1'!N100+'Tabell 5.2'!N14+'Tabell 5.2'!N26+'Tabell 5.2'!N38+'Tabell 5.2'!N50+'Tabell 5.2'!N86+'Tabell 5.2'!N98+'Tabell 5.2'!N124+'Tabell 5.2'!N136+N14+N26+'Tabell 5.2'!N62+'Tabell 5.2'!N74+'Tabell 5.2'!N110</f>
        <v>160.13900000000004</v>
      </c>
      <c r="O40" s="634">
        <f>'Tabell 5.1'!O14+'Tabell 5.1'!O26+'Tabell 5.1'!O38+'Tabell 5.1'!O50+'Tabell 5.1'!O64+'Tabell 5.1'!O76+'Tabell 5.1'!O88+'Tabell 5.1'!O100+'Tabell 5.2'!O14+'Tabell 5.2'!O26+'Tabell 5.2'!O38+'Tabell 5.2'!O50+'Tabell 5.2'!O86+'Tabell 5.2'!O98+'Tabell 5.2'!O124+'Tabell 5.2'!O136+O14+O26+'Tabell 5.2'!O62+'Tabell 5.2'!O74+'Tabell 5.2'!O110</f>
        <v>-50.362000000000002</v>
      </c>
      <c r="P40" s="634">
        <f t="shared" si="21"/>
        <v>-131.4</v>
      </c>
      <c r="Q40" s="634">
        <f>'Tabell 5.1'!Q14+'Tabell 5.1'!Q26+'Tabell 5.1'!Q38+'Tabell 5.1'!Q50+'Tabell 5.1'!Q64+'Tabell 5.1'!Q76+'Tabell 5.1'!Q88+'Tabell 5.1'!Q100+'Tabell 5.2'!Q14+'Tabell 5.2'!Q26+'Tabell 5.2'!Q38+'Tabell 5.2'!Q50+'Tabell 5.2'!Q86+'Tabell 5.2'!Q98+'Tabell 5.2'!Q124+'Tabell 5.2'!Q136+Q14+Q26+'Tabell 5.2'!Q62+'Tabell 5.2'!Q74+'Tabell 5.2'!Q110</f>
        <v>126.70000000000002</v>
      </c>
      <c r="R40" s="634">
        <f>'Tabell 5.1'!R14+'Tabell 5.1'!R26+'Tabell 5.1'!R38+'Tabell 5.1'!R50+'Tabell 5.1'!R64+'Tabell 5.1'!R76+'Tabell 5.1'!R88+'Tabell 5.1'!R100+'Tabell 5.2'!R14+'Tabell 5.2'!R26+'Tabell 5.2'!R38+'Tabell 5.2'!R50+'Tabell 5.2'!R86+'Tabell 5.2'!R98+'Tabell 5.2'!R124+'Tabell 5.2'!R136+R14+R26+'Tabell 5.2'!R62+'Tabell 5.2'!R74+'Tabell 5.2'!R110</f>
        <v>169.7</v>
      </c>
      <c r="S40" s="634">
        <f t="shared" si="22"/>
        <v>33.9</v>
      </c>
      <c r="T40" s="634">
        <f>'Tabell 5.1'!T14+'Tabell 5.1'!T26+'Tabell 5.1'!T38+'Tabell 5.1'!T50+'Tabell 5.1'!T64+'Tabell 5.1'!T76+'Tabell 5.1'!T88+'Tabell 5.1'!T100+'Tabell 5.2'!T14+'Tabell 5.2'!T26+'Tabell 5.2'!T38+'Tabell 5.2'!T50+'Tabell 5.2'!T86+'Tabell 5.2'!T98+'Tabell 5.2'!T124+'Tabell 5.2'!T136+T14+T26+'Tabell 5.2'!T62+'Tabell 5.2'!T74+'Tabell 5.2'!T110</f>
        <v>3.26694438</v>
      </c>
      <c r="U40" s="634">
        <f>'Tabell 5.1'!U14+'Tabell 5.1'!U26+'Tabell 5.1'!U38+'Tabell 5.1'!U50+'Tabell 5.1'!U64+'Tabell 5.1'!U76+'Tabell 5.1'!U88+'Tabell 5.1'!U100+'Tabell 5.2'!U14+'Tabell 5.2'!U26+'Tabell 5.2'!U38+'Tabell 5.2'!U50+'Tabell 5.2'!U86+'Tabell 5.2'!U98+'Tabell 5.2'!U124+'Tabell 5.2'!U136+U14+U26+'Tabell 5.2'!U62+'Tabell 5.2'!U74+'Tabell 5.2'!U110</f>
        <v>1.853691</v>
      </c>
      <c r="V40" s="634">
        <f t="shared" si="23"/>
        <v>-43.3</v>
      </c>
      <c r="W40" s="634">
        <f>'Tabell 5.1'!W14+'Tabell 5.1'!W26+'Tabell 5.1'!W38+'Tabell 5.1'!W50+'Tabell 5.1'!W64+'Tabell 5.1'!W76+'Tabell 5.1'!W88+'Tabell 5.1'!W100+'Tabell 5.2'!W14+'Tabell 5.2'!W26+'Tabell 5.2'!W38+'Tabell 5.2'!W50+'Tabell 5.2'!W86+'Tabell 5.2'!W98+'Tabell 5.2'!W124+'Tabell 5.2'!W136+W14+W26+'Tabell 5.2'!W62+'Tabell 5.2'!W74+'Tabell 5.2'!W110</f>
        <v>169.90088726880751</v>
      </c>
      <c r="X40" s="634">
        <f>'Tabell 5.1'!X14+'Tabell 5.1'!X26+'Tabell 5.1'!X38+'Tabell 5.1'!X50+'Tabell 5.1'!X64+'Tabell 5.1'!X76+'Tabell 5.1'!X88+'Tabell 5.1'!X100+'Tabell 5.2'!X14+'Tabell 5.2'!X26+'Tabell 5.2'!X38+'Tabell 5.2'!X50+'Tabell 5.2'!X86+'Tabell 5.2'!X98+'Tabell 5.2'!X124+'Tabell 5.2'!X136+X14+X26+'Tabell 5.2'!X62+'Tabell 5.2'!X74+'Tabell 5.2'!X110</f>
        <v>34.718065211536633</v>
      </c>
      <c r="Y40" s="634">
        <f t="shared" si="24"/>
        <v>-79.599999999999994</v>
      </c>
      <c r="Z40" s="634">
        <f>'Tabell 5.1'!Z14+'Tabell 5.1'!Z26+'Tabell 5.1'!Z38+'Tabell 5.1'!Z50+'Tabell 5.1'!Z64+'Tabell 5.1'!Z76+'Tabell 5.1'!Z88+'Tabell 5.1'!Z100+'Tabell 5.2'!Z14+'Tabell 5.2'!Z26+'Tabell 5.2'!Z38+'Tabell 5.2'!Z50+'Tabell 5.2'!Z86+'Tabell 5.2'!Z98+'Tabell 5.2'!Z124+'Tabell 5.2'!Z136+Z14+Z26+'Tabell 5.2'!Z62+'Tabell 5.2'!Z74+'Tabell 5.2'!Z110</f>
        <v>428.58000000000004</v>
      </c>
      <c r="AA40" s="634">
        <f>'Tabell 5.1'!AA14+'Tabell 5.1'!AA26+'Tabell 5.1'!AA38+'Tabell 5.1'!AA50+'Tabell 5.1'!AA64+'Tabell 5.1'!AA76+'Tabell 5.1'!AA88+'Tabell 5.1'!AA100+'Tabell 5.2'!AA14+'Tabell 5.2'!AA26+'Tabell 5.2'!AA38+'Tabell 5.2'!AA50+'Tabell 5.2'!AA86+'Tabell 5.2'!AA98+'Tabell 5.2'!AA124+'Tabell 5.2'!AA136+AA14+AA26+'Tabell 5.2'!AA62+'Tabell 5.2'!AA74+'Tabell 5.2'!AA110</f>
        <v>613.81999999999994</v>
      </c>
      <c r="AB40" s="634">
        <f t="shared" si="25"/>
        <v>43.2</v>
      </c>
      <c r="AC40" s="634">
        <f>'Tabell 5.1'!AC14+'Tabell 5.1'!AC26+'Tabell 5.1'!AC38+'Tabell 5.1'!AC50+'Tabell 5.1'!AC64+'Tabell 5.1'!AC76+'Tabell 5.1'!AC88+'Tabell 5.1'!AC100+'Tabell 5.2'!AC14+'Tabell 5.2'!AC26+'Tabell 5.2'!AC38+'Tabell 5.2'!AC50+'Tabell 5.2'!AC86+'Tabell 5.2'!AC98+'Tabell 5.2'!AC124+'Tabell 5.2'!AC136+AC14+AC26+'Tabell 5.2'!AC62+'Tabell 5.2'!AC74+'Tabell 5.2'!AC110</f>
        <v>16</v>
      </c>
      <c r="AD40" s="634">
        <f>'Tabell 5.1'!AD14+'Tabell 5.1'!AD26+'Tabell 5.1'!AD38+'Tabell 5.1'!AD50+'Tabell 5.1'!AD64+'Tabell 5.1'!AD76+'Tabell 5.1'!AD88+'Tabell 5.1'!AD100+'Tabell 5.2'!AD14+'Tabell 5.2'!AD26+'Tabell 5.2'!AD38+'Tabell 5.2'!AD50+'Tabell 5.2'!AD86+'Tabell 5.2'!AD98+'Tabell 5.2'!AD124+'Tabell 5.2'!AD136+AD14+AD26+'Tabell 5.2'!AD62+'Tabell 5.2'!AD74+'Tabell 5.2'!AD110</f>
        <v>2</v>
      </c>
      <c r="AE40" s="634">
        <f t="shared" si="26"/>
        <v>-87.5</v>
      </c>
      <c r="AF40" s="634">
        <f>'Tabell 5.1'!AF14+'Tabell 5.1'!AF26+'Tabell 5.1'!AF38+'Tabell 5.1'!AF50+'Tabell 5.1'!AF64+'Tabell 5.1'!AF76+'Tabell 5.1'!AF88+'Tabell 5.1'!AF100+'Tabell 5.2'!AF14+'Tabell 5.2'!AF26+'Tabell 5.2'!AF38+'Tabell 5.2'!AF50+'Tabell 5.2'!AF86+'Tabell 5.2'!AF98+'Tabell 5.2'!AF124+'Tabell 5.2'!AF136+AF14+AF26+'Tabell 5.2'!AF62+'Tabell 5.2'!AF74+'Tabell 5.2'!AF110</f>
        <v>13.56757828393199</v>
      </c>
      <c r="AG40" s="634">
        <f>'Tabell 5.1'!AG14+'Tabell 5.1'!AG26+'Tabell 5.1'!AG38+'Tabell 5.1'!AG50+'Tabell 5.1'!AG64+'Tabell 5.1'!AG76+'Tabell 5.1'!AG88+'Tabell 5.1'!AG100+'Tabell 5.2'!AG14+'Tabell 5.2'!AG26+'Tabell 5.2'!AG38+'Tabell 5.2'!AG50+'Tabell 5.2'!AG86+'Tabell 5.2'!AG98+'Tabell 5.2'!AG124+'Tabell 5.2'!AG136+AG14+AG26+'Tabell 5.2'!AG62+'Tabell 5.2'!AG74+'Tabell 5.2'!AG110</f>
        <v>16.876636399999963</v>
      </c>
      <c r="AH40" s="634">
        <f t="shared" si="27"/>
        <v>24.4</v>
      </c>
      <c r="AI40" s="634">
        <f>'Tabell 5.1'!AI14+'Tabell 5.1'!AI26+'Tabell 5.1'!AI38+'Tabell 5.1'!AI50+'Tabell 5.1'!AI64+'Tabell 5.1'!AI76+'Tabell 5.1'!AI88+'Tabell 5.1'!AI100+'Tabell 5.2'!AI14+'Tabell 5.2'!AI26+'Tabell 5.2'!AI38+'Tabell 5.2'!AI50+'Tabell 5.2'!AI86+'Tabell 5.2'!AI98+'Tabell 5.2'!AI124+'Tabell 5.2'!AI136+AI14+AI26+'Tabell 5.2'!AI62+'Tabell 5.2'!AI74+'Tabell 5.2'!AI110</f>
        <v>17</v>
      </c>
      <c r="AJ40" s="634">
        <f>'Tabell 5.1'!AJ14+'Tabell 5.1'!AJ26+'Tabell 5.1'!AJ38+'Tabell 5.1'!AJ50+'Tabell 5.1'!AJ64+'Tabell 5.1'!AJ76+'Tabell 5.1'!AJ88+'Tabell 5.1'!AJ100+'Tabell 5.2'!AJ14+'Tabell 5.2'!AJ26+'Tabell 5.2'!AJ38+'Tabell 5.2'!AJ50+'Tabell 5.2'!AJ86+'Tabell 5.2'!AJ98+'Tabell 5.2'!AJ124+'Tabell 5.2'!AJ136+AJ14+AJ26+'Tabell 5.2'!AJ62+'Tabell 5.2'!AJ74+'Tabell 5.2'!AJ110</f>
        <v>205</v>
      </c>
      <c r="AK40" s="634">
        <f t="shared" si="28"/>
        <v>999</v>
      </c>
      <c r="AL40" s="634">
        <f>'Tabell 5.1'!AL14+'Tabell 5.1'!AL26+'Tabell 5.1'!AL38+'Tabell 5.1'!AL50+'Tabell 5.1'!AL64+'Tabell 5.1'!AL76+'Tabell 5.1'!AL88+'Tabell 5.1'!AL100+'Tabell 5.2'!AL14+'Tabell 5.2'!AL26+'Tabell 5.2'!AL38+'Tabell 5.2'!AL50+'Tabell 5.2'!AL86+'Tabell 5.2'!AL98+'Tabell 5.2'!AL124+'Tabell 5.2'!AL136+AL14+AL26+'Tabell 5.2'!AL62+'Tabell 5.2'!AL74+'Tabell 5.2'!AL110</f>
        <v>522.15</v>
      </c>
      <c r="AM40" s="634">
        <f>'Tabell 5.1'!AM14+'Tabell 5.1'!AM26+'Tabell 5.1'!AM38+'Tabell 5.1'!AM50+'Tabell 5.1'!AM64+'Tabell 5.1'!AM76+'Tabell 5.1'!AM88+'Tabell 5.1'!AM100+'Tabell 5.2'!AM14+'Tabell 5.2'!AM26+'Tabell 5.2'!AM38+'Tabell 5.2'!AM50+'Tabell 5.2'!AM86+'Tabell 5.2'!AM98+'Tabell 5.2'!AM124+'Tabell 5.2'!AM136+AM14+AM26+'Tabell 5.2'!AM62+'Tabell 5.2'!AM74+'Tabell 5.2'!AM110</f>
        <v>570</v>
      </c>
      <c r="AN40" s="634">
        <f t="shared" si="29"/>
        <v>9.1999999999999993</v>
      </c>
      <c r="AO40" s="634">
        <f t="shared" si="30"/>
        <v>2127.8478872688079</v>
      </c>
      <c r="AP40" s="634">
        <f t="shared" si="31"/>
        <v>28193.35837338823</v>
      </c>
      <c r="AQ40" s="634">
        <f t="shared" si="32"/>
        <v>999</v>
      </c>
      <c r="AR40" s="596">
        <f t="shared" si="33"/>
        <v>2144.6824099327396</v>
      </c>
      <c r="AS40" s="596">
        <f t="shared" si="34"/>
        <v>28212.08870078823</v>
      </c>
      <c r="AT40" s="635">
        <f t="shared" si="35"/>
        <v>999</v>
      </c>
      <c r="AU40" s="666"/>
      <c r="AV40" s="618"/>
      <c r="AW40" s="613"/>
      <c r="AX40" s="613"/>
    </row>
    <row r="41" spans="1:50" s="636" customFormat="1" ht="18.75" customHeight="1" x14ac:dyDescent="0.35">
      <c r="A41" s="588" t="s">
        <v>369</v>
      </c>
      <c r="B41" s="634">
        <f>'Tabell 5.1'!B15+'Tabell 5.1'!B27+'Tabell 5.1'!B39+'Tabell 5.1'!B51+'Tabell 5.1'!B65+'Tabell 5.1'!B77+'Tabell 5.1'!B89+'Tabell 5.1'!B101+'Tabell 5.2'!B15+'Tabell 5.2'!B27+'Tabell 5.2'!B39+'Tabell 5.2'!B51+'Tabell 5.2'!B87+'Tabell 5.2'!B99+'Tabell 5.2'!B125+'Tabell 5.2'!B137+B15+B27+'Tabell 5.2'!B63+'Tabell 5.2'!B75+'Tabell 5.2'!B111</f>
        <v>0</v>
      </c>
      <c r="C41" s="634">
        <f>'Tabell 5.1'!C15+'Tabell 5.1'!C27+'Tabell 5.1'!C39+'Tabell 5.1'!C51+'Tabell 5.1'!C65+'Tabell 5.1'!C77+'Tabell 5.1'!C89+'Tabell 5.1'!C101+'Tabell 5.2'!C15+'Tabell 5.2'!C27+'Tabell 5.2'!C39+'Tabell 5.2'!C51+'Tabell 5.2'!C87+'Tabell 5.2'!C99+'Tabell 5.2'!C125+'Tabell 5.2'!C137+C15+C27+'Tabell 5.2'!C63+'Tabell 5.2'!C75+'Tabell 5.2'!C111</f>
        <v>0</v>
      </c>
      <c r="D41" s="634" t="str">
        <f t="shared" si="17"/>
        <v xml:space="preserve">    ---- </v>
      </c>
      <c r="E41" s="634">
        <f>'Tabell 5.1'!E15+'Tabell 5.1'!E27+'Tabell 5.1'!E39+'Tabell 5.1'!E51+'Tabell 5.1'!E65+'Tabell 5.1'!E77+'Tabell 5.1'!E89+'Tabell 5.1'!E101+'Tabell 5.2'!E15+'Tabell 5.2'!E27+'Tabell 5.2'!E39+'Tabell 5.2'!E51+'Tabell 5.2'!E87+'Tabell 5.2'!E99+'Tabell 5.2'!E125+'Tabell 5.2'!E137+E15+E27+'Tabell 5.2'!E63+'Tabell 5.2'!E75+'Tabell 5.2'!E111</f>
        <v>4</v>
      </c>
      <c r="F41" s="634"/>
      <c r="G41" s="634">
        <f t="shared" si="18"/>
        <v>-100</v>
      </c>
      <c r="H41" s="634">
        <f>'Tabell 5.1'!H15+'Tabell 5.1'!H27+'Tabell 5.1'!H39+'Tabell 5.1'!H51+'Tabell 5.1'!H65+'Tabell 5.1'!H77+'Tabell 5.1'!H89+'Tabell 5.1'!H101+'Tabell 5.2'!H15+'Tabell 5.2'!H27+'Tabell 5.2'!H39+'Tabell 5.2'!H51+'Tabell 5.2'!H87+'Tabell 5.2'!H99+'Tabell 5.2'!H125+'Tabell 5.2'!H137+H15+H27+'Tabell 5.2'!H63+'Tabell 5.2'!H75+'Tabell 5.2'!H111</f>
        <v>22.3</v>
      </c>
      <c r="I41" s="634">
        <f>'Tabell 5.1'!I15+'Tabell 5.1'!I27+'Tabell 5.1'!I39+'Tabell 5.1'!I51+'Tabell 5.1'!I65+'Tabell 5.1'!I77+'Tabell 5.1'!I89+'Tabell 5.1'!I101+'Tabell 5.2'!I15+'Tabell 5.2'!I27+'Tabell 5.2'!I39+'Tabell 5.2'!I51+'Tabell 5.2'!I87+'Tabell 5.2'!I99+'Tabell 5.2'!I125+'Tabell 5.2'!I137+I15+I27+'Tabell 5.2'!I63+'Tabell 5.2'!I75+'Tabell 5.2'!I111</f>
        <v>20.533519330000001</v>
      </c>
      <c r="J41" s="634">
        <f t="shared" si="19"/>
        <v>-7.9</v>
      </c>
      <c r="K41" s="634">
        <f>'Tabell 5.1'!K15+'Tabell 5.1'!K27+'Tabell 5.1'!K39+'Tabell 5.1'!K51+'Tabell 5.1'!K65+'Tabell 5.1'!K77+'Tabell 5.1'!K89+'Tabell 5.1'!K101+'Tabell 5.2'!K15+'Tabell 5.2'!K27+'Tabell 5.2'!K39+'Tabell 5.2'!K51+'Tabell 5.2'!K87+'Tabell 5.2'!K99+'Tabell 5.2'!K125+'Tabell 5.2'!K137+K15+K27+'Tabell 5.2'!K63+'Tabell 5.2'!K75+'Tabell 5.2'!K111</f>
        <v>0</v>
      </c>
      <c r="L41" s="634">
        <f>'Tabell 5.1'!L15+'Tabell 5.1'!L27+'Tabell 5.1'!L39+'Tabell 5.1'!L51+'Tabell 5.1'!L65+'Tabell 5.1'!L77+'Tabell 5.1'!L89+'Tabell 5.1'!L101+'Tabell 5.2'!L15+'Tabell 5.2'!L27+'Tabell 5.2'!L39+'Tabell 5.2'!L51+'Tabell 5.2'!L87+'Tabell 5.2'!L99+'Tabell 5.2'!L125+'Tabell 5.2'!L137+L15+L27+'Tabell 5.2'!L63+'Tabell 5.2'!L75+'Tabell 5.2'!L111</f>
        <v>0</v>
      </c>
      <c r="M41" s="634" t="str">
        <f t="shared" si="20"/>
        <v xml:space="preserve">    ---- </v>
      </c>
      <c r="N41" s="634">
        <f>'Tabell 5.1'!N15+'Tabell 5.1'!N27+'Tabell 5.1'!N39+'Tabell 5.1'!N51+'Tabell 5.1'!N65+'Tabell 5.1'!N77+'Tabell 5.1'!N89+'Tabell 5.1'!N101+'Tabell 5.2'!N15+'Tabell 5.2'!N27+'Tabell 5.2'!N39+'Tabell 5.2'!N51+'Tabell 5.2'!N87+'Tabell 5.2'!N99+'Tabell 5.2'!N125+'Tabell 5.2'!N137+N15+N27+'Tabell 5.2'!N63+'Tabell 5.2'!N75+'Tabell 5.2'!N111</f>
        <v>0</v>
      </c>
      <c r="O41" s="634">
        <f>'Tabell 5.1'!O15+'Tabell 5.1'!O27+'Tabell 5.1'!O39+'Tabell 5.1'!O51+'Tabell 5.1'!O65+'Tabell 5.1'!O77+'Tabell 5.1'!O89+'Tabell 5.1'!O101+'Tabell 5.2'!O15+'Tabell 5.2'!O27+'Tabell 5.2'!O39+'Tabell 5.2'!O51+'Tabell 5.2'!O87+'Tabell 5.2'!O99+'Tabell 5.2'!O125+'Tabell 5.2'!O137+O15+O27+'Tabell 5.2'!O63+'Tabell 5.2'!O75+'Tabell 5.2'!O111</f>
        <v>0</v>
      </c>
      <c r="P41" s="634" t="str">
        <f t="shared" si="21"/>
        <v xml:space="preserve">    ---- </v>
      </c>
      <c r="Q41" s="634">
        <f>'Tabell 5.1'!Q15+'Tabell 5.1'!Q27+'Tabell 5.1'!Q39+'Tabell 5.1'!Q51+'Tabell 5.1'!Q65+'Tabell 5.1'!Q77+'Tabell 5.1'!Q89+'Tabell 5.1'!Q101+'Tabell 5.2'!Q15+'Tabell 5.2'!Q27+'Tabell 5.2'!Q39+'Tabell 5.2'!Q51+'Tabell 5.2'!Q87+'Tabell 5.2'!Q99+'Tabell 5.2'!Q125+'Tabell 5.2'!Q137+Q15+Q27+'Tabell 5.2'!Q63+'Tabell 5.2'!Q75+'Tabell 5.2'!Q111</f>
        <v>1.8</v>
      </c>
      <c r="R41" s="634">
        <f>'Tabell 5.1'!R15+'Tabell 5.1'!R27+'Tabell 5.1'!R39+'Tabell 5.1'!R51+'Tabell 5.1'!R65+'Tabell 5.1'!R77+'Tabell 5.1'!R89+'Tabell 5.1'!R101+'Tabell 5.2'!R15+'Tabell 5.2'!R27+'Tabell 5.2'!R39+'Tabell 5.2'!R51+'Tabell 5.2'!R87+'Tabell 5.2'!R99+'Tabell 5.2'!R125+'Tabell 5.2'!R137+R15+R27+'Tabell 5.2'!R63+'Tabell 5.2'!R75+'Tabell 5.2'!R111</f>
        <v>2.4</v>
      </c>
      <c r="S41" s="634">
        <f t="shared" si="22"/>
        <v>33.299999999999997</v>
      </c>
      <c r="T41" s="634">
        <f>'Tabell 5.1'!T15+'Tabell 5.1'!T27+'Tabell 5.1'!T39+'Tabell 5.1'!T51+'Tabell 5.1'!T65+'Tabell 5.1'!T77+'Tabell 5.1'!T89+'Tabell 5.1'!T101+'Tabell 5.2'!T15+'Tabell 5.2'!T27+'Tabell 5.2'!T39+'Tabell 5.2'!T51+'Tabell 5.2'!T87+'Tabell 5.2'!T99+'Tabell 5.2'!T125+'Tabell 5.2'!T137+T15+T27+'Tabell 5.2'!T63+'Tabell 5.2'!T75+'Tabell 5.2'!T111</f>
        <v>0</v>
      </c>
      <c r="U41" s="634">
        <f>'Tabell 5.1'!U15+'Tabell 5.1'!U27+'Tabell 5.1'!U39+'Tabell 5.1'!U51+'Tabell 5.1'!U65+'Tabell 5.1'!U77+'Tabell 5.1'!U89+'Tabell 5.1'!U101+'Tabell 5.2'!U15+'Tabell 5.2'!U27+'Tabell 5.2'!U39+'Tabell 5.2'!U51+'Tabell 5.2'!U87+'Tabell 5.2'!U99+'Tabell 5.2'!U125+'Tabell 5.2'!U137+U15+U27+'Tabell 5.2'!U63+'Tabell 5.2'!U75+'Tabell 5.2'!U111</f>
        <v>0</v>
      </c>
      <c r="V41" s="634" t="str">
        <f t="shared" si="23"/>
        <v xml:space="preserve">    ---- </v>
      </c>
      <c r="W41" s="634">
        <f>'Tabell 5.1'!W15+'Tabell 5.1'!W27+'Tabell 5.1'!W39+'Tabell 5.1'!W51+'Tabell 5.1'!W65+'Tabell 5.1'!W77+'Tabell 5.1'!W89+'Tabell 5.1'!W101+'Tabell 5.2'!W15+'Tabell 5.2'!W27+'Tabell 5.2'!W39+'Tabell 5.2'!W51+'Tabell 5.2'!W87+'Tabell 5.2'!W99+'Tabell 5.2'!W125+'Tabell 5.2'!W137+W15+W27+'Tabell 5.2'!W63+'Tabell 5.2'!W75+'Tabell 5.2'!W111</f>
        <v>0</v>
      </c>
      <c r="X41" s="634">
        <f>'Tabell 5.1'!X15+'Tabell 5.1'!X27+'Tabell 5.1'!X39+'Tabell 5.1'!X51+'Tabell 5.1'!X65+'Tabell 5.1'!X77+'Tabell 5.1'!X89+'Tabell 5.1'!X101+'Tabell 5.2'!X15+'Tabell 5.2'!X27+'Tabell 5.2'!X39+'Tabell 5.2'!X51+'Tabell 5.2'!X87+'Tabell 5.2'!X99+'Tabell 5.2'!X125+'Tabell 5.2'!X137+X15+X27+'Tabell 5.2'!X63+'Tabell 5.2'!X75+'Tabell 5.2'!X111</f>
        <v>0</v>
      </c>
      <c r="Y41" s="634" t="str">
        <f t="shared" si="24"/>
        <v xml:space="preserve">    ---- </v>
      </c>
      <c r="Z41" s="634">
        <f>'Tabell 5.1'!Z15+'Tabell 5.1'!Z27+'Tabell 5.1'!Z39+'Tabell 5.1'!Z51+'Tabell 5.1'!Z65+'Tabell 5.1'!Z77+'Tabell 5.1'!Z89+'Tabell 5.1'!Z101+'Tabell 5.2'!Z15+'Tabell 5.2'!Z27+'Tabell 5.2'!Z39+'Tabell 5.2'!Z51+'Tabell 5.2'!Z87+'Tabell 5.2'!Z99+'Tabell 5.2'!Z125+'Tabell 5.2'!Z137+Z15+Z27+'Tabell 5.2'!Z63+'Tabell 5.2'!Z75+'Tabell 5.2'!Z111</f>
        <v>0.62</v>
      </c>
      <c r="AA41" s="634">
        <f>'Tabell 5.1'!AA15+'Tabell 5.1'!AA27+'Tabell 5.1'!AA39+'Tabell 5.1'!AA51+'Tabell 5.1'!AA65+'Tabell 5.1'!AA77+'Tabell 5.1'!AA89+'Tabell 5.1'!AA101+'Tabell 5.2'!AA15+'Tabell 5.2'!AA27+'Tabell 5.2'!AA39+'Tabell 5.2'!AA51+'Tabell 5.2'!AA87+'Tabell 5.2'!AA99+'Tabell 5.2'!AA125+'Tabell 5.2'!AA137+AA15+AA27+'Tabell 5.2'!AA63+'Tabell 5.2'!AA75+'Tabell 5.2'!AA111</f>
        <v>0.56999999999999995</v>
      </c>
      <c r="AB41" s="634">
        <f t="shared" si="25"/>
        <v>-8.1</v>
      </c>
      <c r="AC41" s="634">
        <f>'Tabell 5.1'!AC15+'Tabell 5.1'!AC27+'Tabell 5.1'!AC39+'Tabell 5.1'!AC51+'Tabell 5.1'!AC65+'Tabell 5.1'!AC77+'Tabell 5.1'!AC89+'Tabell 5.1'!AC101+'Tabell 5.2'!AC15+'Tabell 5.2'!AC27+'Tabell 5.2'!AC39+'Tabell 5.2'!AC51+'Tabell 5.2'!AC87+'Tabell 5.2'!AC99+'Tabell 5.2'!AC125+'Tabell 5.2'!AC137+AC15+AC27+'Tabell 5.2'!AC63+'Tabell 5.2'!AC75+'Tabell 5.2'!AC111</f>
        <v>0</v>
      </c>
      <c r="AD41" s="634">
        <f>'Tabell 5.1'!AD15+'Tabell 5.1'!AD27+'Tabell 5.1'!AD39+'Tabell 5.1'!AD51+'Tabell 5.1'!AD65+'Tabell 5.1'!AD77+'Tabell 5.1'!AD89+'Tabell 5.1'!AD101+'Tabell 5.2'!AD15+'Tabell 5.2'!AD27+'Tabell 5.2'!AD39+'Tabell 5.2'!AD51+'Tabell 5.2'!AD87+'Tabell 5.2'!AD99+'Tabell 5.2'!AD125+'Tabell 5.2'!AD137+AD15+AD27+'Tabell 5.2'!AD63+'Tabell 5.2'!AD75+'Tabell 5.2'!AD111</f>
        <v>0</v>
      </c>
      <c r="AE41" s="634" t="str">
        <f t="shared" si="26"/>
        <v xml:space="preserve">    ---- </v>
      </c>
      <c r="AF41" s="634">
        <f>'Tabell 5.1'!AF15+'Tabell 5.1'!AF27+'Tabell 5.1'!AF39+'Tabell 5.1'!AF51+'Tabell 5.1'!AF65+'Tabell 5.1'!AF77+'Tabell 5.1'!AF89+'Tabell 5.1'!AF101+'Tabell 5.2'!AF15+'Tabell 5.2'!AF27+'Tabell 5.2'!AF39+'Tabell 5.2'!AF51+'Tabell 5.2'!AF87+'Tabell 5.2'!AF99+'Tabell 5.2'!AF125+'Tabell 5.2'!AF137+AF15+AF27+'Tabell 5.2'!AF63+'Tabell 5.2'!AF75+'Tabell 5.2'!AF111</f>
        <v>0</v>
      </c>
      <c r="AG41" s="634">
        <f>'Tabell 5.1'!AG15+'Tabell 5.1'!AG27+'Tabell 5.1'!AG39+'Tabell 5.1'!AG51+'Tabell 5.1'!AG65+'Tabell 5.1'!AG77+'Tabell 5.1'!AG89+'Tabell 5.1'!AG101+'Tabell 5.2'!AG15+'Tabell 5.2'!AG27+'Tabell 5.2'!AG39+'Tabell 5.2'!AG51+'Tabell 5.2'!AG87+'Tabell 5.2'!AG99+'Tabell 5.2'!AG125+'Tabell 5.2'!AG137+AG15+AG27+'Tabell 5.2'!AG63+'Tabell 5.2'!AG75+'Tabell 5.2'!AG111</f>
        <v>0</v>
      </c>
      <c r="AH41" s="634" t="str">
        <f t="shared" si="27"/>
        <v xml:space="preserve">    ---- </v>
      </c>
      <c r="AI41" s="634">
        <f>'Tabell 5.1'!AI15+'Tabell 5.1'!AI27+'Tabell 5.1'!AI39+'Tabell 5.1'!AI51+'Tabell 5.1'!AI65+'Tabell 5.1'!AI77+'Tabell 5.1'!AI89+'Tabell 5.1'!AI101+'Tabell 5.2'!AI15+'Tabell 5.2'!AI27+'Tabell 5.2'!AI39+'Tabell 5.2'!AI51+'Tabell 5.2'!AI87+'Tabell 5.2'!AI99+'Tabell 5.2'!AI125+'Tabell 5.2'!AI137+AI15+AI27+'Tabell 5.2'!AI63+'Tabell 5.2'!AI75+'Tabell 5.2'!AI111</f>
        <v>0</v>
      </c>
      <c r="AJ41" s="634">
        <f>'Tabell 5.1'!AJ15+'Tabell 5.1'!AJ27+'Tabell 5.1'!AJ39+'Tabell 5.1'!AJ51+'Tabell 5.1'!AJ65+'Tabell 5.1'!AJ77+'Tabell 5.1'!AJ89+'Tabell 5.1'!AJ101+'Tabell 5.2'!AJ15+'Tabell 5.2'!AJ27+'Tabell 5.2'!AJ39+'Tabell 5.2'!AJ51+'Tabell 5.2'!AJ87+'Tabell 5.2'!AJ99+'Tabell 5.2'!AJ125+'Tabell 5.2'!AJ137+AJ15+AJ27+'Tabell 5.2'!AJ63+'Tabell 5.2'!AJ75+'Tabell 5.2'!AJ111</f>
        <v>0</v>
      </c>
      <c r="AK41" s="634" t="str">
        <f t="shared" si="28"/>
        <v xml:space="preserve">    ---- </v>
      </c>
      <c r="AL41" s="634">
        <f>'Tabell 5.1'!AL15+'Tabell 5.1'!AL27+'Tabell 5.1'!AL39+'Tabell 5.1'!AL51+'Tabell 5.1'!AL65+'Tabell 5.1'!AL77+'Tabell 5.1'!AL89+'Tabell 5.1'!AL101+'Tabell 5.2'!AL15+'Tabell 5.2'!AL27+'Tabell 5.2'!AL39+'Tabell 5.2'!AL51+'Tabell 5.2'!AL87+'Tabell 5.2'!AL99+'Tabell 5.2'!AL125+'Tabell 5.2'!AL137+AL15+AL27+'Tabell 5.2'!AL63+'Tabell 5.2'!AL75+'Tabell 5.2'!AL111</f>
        <v>37</v>
      </c>
      <c r="AM41" s="634">
        <f>'Tabell 5.1'!AM15+'Tabell 5.1'!AM27+'Tabell 5.1'!AM39+'Tabell 5.1'!AM51+'Tabell 5.1'!AM65+'Tabell 5.1'!AM77+'Tabell 5.1'!AM89+'Tabell 5.1'!AM101+'Tabell 5.2'!AM15+'Tabell 5.2'!AM27+'Tabell 5.2'!AM39+'Tabell 5.2'!AM51+'Tabell 5.2'!AM87+'Tabell 5.2'!AM99+'Tabell 5.2'!AM125+'Tabell 5.2'!AM137+AM15+AM27+'Tabell 5.2'!AM63+'Tabell 5.2'!AM75+'Tabell 5.2'!AM111</f>
        <v>41</v>
      </c>
      <c r="AN41" s="634">
        <f t="shared" si="29"/>
        <v>10.8</v>
      </c>
      <c r="AO41" s="634">
        <f t="shared" si="30"/>
        <v>65.72</v>
      </c>
      <c r="AP41" s="634">
        <f t="shared" si="31"/>
        <v>64.503519330000003</v>
      </c>
      <c r="AQ41" s="634">
        <f t="shared" si="32"/>
        <v>-1.9</v>
      </c>
      <c r="AR41" s="596">
        <f t="shared" si="33"/>
        <v>65.72</v>
      </c>
      <c r="AS41" s="596">
        <f t="shared" si="34"/>
        <v>64.503519330000003</v>
      </c>
      <c r="AT41" s="635">
        <f t="shared" si="35"/>
        <v>-1.9</v>
      </c>
      <c r="AU41" s="666"/>
      <c r="AV41" s="618"/>
      <c r="AW41" s="613"/>
      <c r="AX41" s="613"/>
    </row>
    <row r="42" spans="1:50" s="636" customFormat="1" ht="18.75" customHeight="1" x14ac:dyDescent="0.35">
      <c r="A42" s="588" t="s">
        <v>370</v>
      </c>
      <c r="B42" s="634">
        <f>'Tabell 5.1'!B16+'Tabell 5.1'!B28+'Tabell 5.1'!B40+'Tabell 5.1'!B52+'Tabell 5.1'!B66+'Tabell 5.1'!B78+'Tabell 5.1'!B90+'Tabell 5.1'!B102+'Tabell 5.2'!B16+'Tabell 5.2'!B28+'Tabell 5.2'!B40+'Tabell 5.2'!B52+'Tabell 5.2'!B88+'Tabell 5.2'!B100+'Tabell 5.2'!B126+'Tabell 5.2'!B138+B16+B28+'Tabell 5.2'!B64+'Tabell 5.2'!B76+'Tabell 5.2'!B112</f>
        <v>1.552</v>
      </c>
      <c r="C42" s="634">
        <f>'Tabell 5.1'!C16+'Tabell 5.1'!C28+'Tabell 5.1'!C40+'Tabell 5.1'!C52+'Tabell 5.1'!C66+'Tabell 5.1'!C78+'Tabell 5.1'!C90+'Tabell 5.1'!C102+'Tabell 5.2'!C16+'Tabell 5.2'!C28+'Tabell 5.2'!C40+'Tabell 5.2'!C52+'Tabell 5.2'!C88+'Tabell 5.2'!C100+'Tabell 5.2'!C126+'Tabell 5.2'!C138+C16+C28+'Tabell 5.2'!C64+'Tabell 5.2'!C76+'Tabell 5.2'!C112</f>
        <v>1.7450000000000001</v>
      </c>
      <c r="D42" s="634">
        <f t="shared" si="17"/>
        <v>12.4</v>
      </c>
      <c r="E42" s="634">
        <f>'Tabell 5.1'!E16+'Tabell 5.1'!E28+'Tabell 5.1'!E40+'Tabell 5.1'!E52+'Tabell 5.1'!E66+'Tabell 5.1'!E78+'Tabell 5.1'!E90+'Tabell 5.1'!E102+'Tabell 5.2'!E16+'Tabell 5.2'!E28+'Tabell 5.2'!E40+'Tabell 5.2'!E52+'Tabell 5.2'!E88+'Tabell 5.2'!E100+'Tabell 5.2'!E126+'Tabell 5.2'!E138+E16+E28+'Tabell 5.2'!E64+'Tabell 5.2'!E76+'Tabell 5.2'!E112</f>
        <v>2</v>
      </c>
      <c r="F42" s="634"/>
      <c r="G42" s="634">
        <f t="shared" si="18"/>
        <v>-100</v>
      </c>
      <c r="H42" s="634">
        <f>'Tabell 5.1'!H16+'Tabell 5.1'!H28+'Tabell 5.1'!H40+'Tabell 5.1'!H52+'Tabell 5.1'!H66+'Tabell 5.1'!H78+'Tabell 5.1'!H90+'Tabell 5.1'!H102+'Tabell 5.2'!H16+'Tabell 5.2'!H28+'Tabell 5.2'!H40+'Tabell 5.2'!H52+'Tabell 5.2'!H88+'Tabell 5.2'!H100+'Tabell 5.2'!H126+'Tabell 5.2'!H138+H16+H28+'Tabell 5.2'!H64+'Tabell 5.2'!H76+'Tabell 5.2'!H112</f>
        <v>161.19999999999999</v>
      </c>
      <c r="I42" s="634">
        <f>'Tabell 5.1'!I16+'Tabell 5.1'!I28+'Tabell 5.1'!I40+'Tabell 5.1'!I52+'Tabell 5.1'!I66+'Tabell 5.1'!I78+'Tabell 5.1'!I90+'Tabell 5.1'!I102+'Tabell 5.2'!I16+'Tabell 5.2'!I28+'Tabell 5.2'!I40+'Tabell 5.2'!I52+'Tabell 5.2'!I88+'Tabell 5.2'!I100+'Tabell 5.2'!I126+'Tabell 5.2'!I138+I16+I28+'Tabell 5.2'!I64+'Tabell 5.2'!I76+'Tabell 5.2'!I112</f>
        <v>175.97995893999996</v>
      </c>
      <c r="J42" s="634">
        <f t="shared" si="19"/>
        <v>9.1999999999999993</v>
      </c>
      <c r="K42" s="634">
        <f>'Tabell 5.1'!K16+'Tabell 5.1'!K28+'Tabell 5.1'!K40+'Tabell 5.1'!K52+'Tabell 5.1'!K66+'Tabell 5.1'!K78+'Tabell 5.1'!K90+'Tabell 5.1'!K102+'Tabell 5.2'!K16+'Tabell 5.2'!K28+'Tabell 5.2'!K40+'Tabell 5.2'!K52+'Tabell 5.2'!K88+'Tabell 5.2'!K100+'Tabell 5.2'!K126+'Tabell 5.2'!K138+K16+K28+'Tabell 5.2'!K64+'Tabell 5.2'!K76+'Tabell 5.2'!K112</f>
        <v>0</v>
      </c>
      <c r="L42" s="634">
        <f>'Tabell 5.1'!L16+'Tabell 5.1'!L28+'Tabell 5.1'!L40+'Tabell 5.1'!L52+'Tabell 5.1'!L66+'Tabell 5.1'!L78+'Tabell 5.1'!L90+'Tabell 5.1'!L102+'Tabell 5.2'!L16+'Tabell 5.2'!L28+'Tabell 5.2'!L40+'Tabell 5.2'!L52+'Tabell 5.2'!L88+'Tabell 5.2'!L100+'Tabell 5.2'!L126+'Tabell 5.2'!L138+L16+L28+'Tabell 5.2'!L64+'Tabell 5.2'!L76+'Tabell 5.2'!L112</f>
        <v>0</v>
      </c>
      <c r="M42" s="634" t="str">
        <f t="shared" si="20"/>
        <v xml:space="preserve">    ---- </v>
      </c>
      <c r="N42" s="634">
        <f>'Tabell 5.1'!N16+'Tabell 5.1'!N28+'Tabell 5.1'!N40+'Tabell 5.1'!N52+'Tabell 5.1'!N66+'Tabell 5.1'!N78+'Tabell 5.1'!N90+'Tabell 5.1'!N102+'Tabell 5.2'!N16+'Tabell 5.2'!N28+'Tabell 5.2'!N40+'Tabell 5.2'!N52+'Tabell 5.2'!N88+'Tabell 5.2'!N100+'Tabell 5.2'!N126+'Tabell 5.2'!N138+N16+N28+'Tabell 5.2'!N64+'Tabell 5.2'!N76+'Tabell 5.2'!N112</f>
        <v>0</v>
      </c>
      <c r="O42" s="634">
        <f>'Tabell 5.1'!O16+'Tabell 5.1'!O28+'Tabell 5.1'!O40+'Tabell 5.1'!O52+'Tabell 5.1'!O66+'Tabell 5.1'!O78+'Tabell 5.1'!O90+'Tabell 5.1'!O102+'Tabell 5.2'!O16+'Tabell 5.2'!O28+'Tabell 5.2'!O40+'Tabell 5.2'!O52+'Tabell 5.2'!O88+'Tabell 5.2'!O100+'Tabell 5.2'!O126+'Tabell 5.2'!O138+O16+O28+'Tabell 5.2'!O64+'Tabell 5.2'!O76+'Tabell 5.2'!O112</f>
        <v>0</v>
      </c>
      <c r="P42" s="634" t="str">
        <f t="shared" si="21"/>
        <v xml:space="preserve">    ---- </v>
      </c>
      <c r="Q42" s="634">
        <f>'Tabell 5.1'!Q16+'Tabell 5.1'!Q28+'Tabell 5.1'!Q40+'Tabell 5.1'!Q52+'Tabell 5.1'!Q66+'Tabell 5.1'!Q78+'Tabell 5.1'!Q90+'Tabell 5.1'!Q102+'Tabell 5.2'!Q16+'Tabell 5.2'!Q28+'Tabell 5.2'!Q40+'Tabell 5.2'!Q52+'Tabell 5.2'!Q88+'Tabell 5.2'!Q100+'Tabell 5.2'!Q126+'Tabell 5.2'!Q138+Q16+Q28+'Tabell 5.2'!Q64+'Tabell 5.2'!Q76+'Tabell 5.2'!Q112</f>
        <v>5.5</v>
      </c>
      <c r="R42" s="634">
        <f>'Tabell 5.1'!R16+'Tabell 5.1'!R28+'Tabell 5.1'!R40+'Tabell 5.1'!R52+'Tabell 5.1'!R66+'Tabell 5.1'!R78+'Tabell 5.1'!R90+'Tabell 5.1'!R102+'Tabell 5.2'!R16+'Tabell 5.2'!R28+'Tabell 5.2'!R40+'Tabell 5.2'!R52+'Tabell 5.2'!R88+'Tabell 5.2'!R100+'Tabell 5.2'!R126+'Tabell 5.2'!R138+R16+R28+'Tabell 5.2'!R64+'Tabell 5.2'!R76+'Tabell 5.2'!R112</f>
        <v>9.1999999999999993</v>
      </c>
      <c r="S42" s="634">
        <f t="shared" si="22"/>
        <v>67.3</v>
      </c>
      <c r="T42" s="634">
        <f>'Tabell 5.1'!T16+'Tabell 5.1'!T28+'Tabell 5.1'!T40+'Tabell 5.1'!T52+'Tabell 5.1'!T66+'Tabell 5.1'!T78+'Tabell 5.1'!T90+'Tabell 5.1'!T102+'Tabell 5.2'!T16+'Tabell 5.2'!T28+'Tabell 5.2'!T40+'Tabell 5.2'!T52+'Tabell 5.2'!T88+'Tabell 5.2'!T100+'Tabell 5.2'!T126+'Tabell 5.2'!T138+T16+T28+'Tabell 5.2'!T64+'Tabell 5.2'!T76+'Tabell 5.2'!T112</f>
        <v>0</v>
      </c>
      <c r="U42" s="634">
        <f>'Tabell 5.1'!U16+'Tabell 5.1'!U28+'Tabell 5.1'!U40+'Tabell 5.1'!U52+'Tabell 5.1'!U66+'Tabell 5.1'!U78+'Tabell 5.1'!U90+'Tabell 5.1'!U102+'Tabell 5.2'!U16+'Tabell 5.2'!U28+'Tabell 5.2'!U40+'Tabell 5.2'!U52+'Tabell 5.2'!U88+'Tabell 5.2'!U100+'Tabell 5.2'!U126+'Tabell 5.2'!U138+U16+U28+'Tabell 5.2'!U64+'Tabell 5.2'!U76+'Tabell 5.2'!U112</f>
        <v>0</v>
      </c>
      <c r="V42" s="634" t="str">
        <f t="shared" si="23"/>
        <v xml:space="preserve">    ---- </v>
      </c>
      <c r="W42" s="634">
        <f>'Tabell 5.1'!W16+'Tabell 5.1'!W28+'Tabell 5.1'!W40+'Tabell 5.1'!W52+'Tabell 5.1'!W66+'Tabell 5.1'!W78+'Tabell 5.1'!W90+'Tabell 5.1'!W102+'Tabell 5.2'!W16+'Tabell 5.2'!W28+'Tabell 5.2'!W40+'Tabell 5.2'!W52+'Tabell 5.2'!W88+'Tabell 5.2'!W100+'Tabell 5.2'!W126+'Tabell 5.2'!W138+W16+W28+'Tabell 5.2'!W64+'Tabell 5.2'!W76+'Tabell 5.2'!W112</f>
        <v>494.42402499999997</v>
      </c>
      <c r="X42" s="634">
        <f>'Tabell 5.1'!X16+'Tabell 5.1'!X28+'Tabell 5.1'!X40+'Tabell 5.1'!X52+'Tabell 5.1'!X66+'Tabell 5.1'!X78+'Tabell 5.1'!X90+'Tabell 5.1'!X102+'Tabell 5.2'!X16+'Tabell 5.2'!X28+'Tabell 5.2'!X40+'Tabell 5.2'!X52+'Tabell 5.2'!X88+'Tabell 5.2'!X100+'Tabell 5.2'!X126+'Tabell 5.2'!X138+X16+X28+'Tabell 5.2'!X64+'Tabell 5.2'!X76+'Tabell 5.2'!X112</f>
        <v>251.12122299999999</v>
      </c>
      <c r="Y42" s="634">
        <f t="shared" si="24"/>
        <v>-49.2</v>
      </c>
      <c r="Z42" s="634">
        <f>'Tabell 5.1'!Z16+'Tabell 5.1'!Z28+'Tabell 5.1'!Z40+'Tabell 5.1'!Z52+'Tabell 5.1'!Z66+'Tabell 5.1'!Z78+'Tabell 5.1'!Z90+'Tabell 5.1'!Z102+'Tabell 5.2'!Z16+'Tabell 5.2'!Z28+'Tabell 5.2'!Z40+'Tabell 5.2'!Z52+'Tabell 5.2'!Z88+'Tabell 5.2'!Z100+'Tabell 5.2'!Z126+'Tabell 5.2'!Z138+Z16+Z28+'Tabell 5.2'!Z64+'Tabell 5.2'!Z76+'Tabell 5.2'!Z112</f>
        <v>69.78</v>
      </c>
      <c r="AA42" s="634">
        <f>'Tabell 5.1'!AA16+'Tabell 5.1'!AA28+'Tabell 5.1'!AA40+'Tabell 5.1'!AA52+'Tabell 5.1'!AA66+'Tabell 5.1'!AA78+'Tabell 5.1'!AA90+'Tabell 5.1'!AA102+'Tabell 5.2'!AA16+'Tabell 5.2'!AA28+'Tabell 5.2'!AA40+'Tabell 5.2'!AA52+'Tabell 5.2'!AA88+'Tabell 5.2'!AA100+'Tabell 5.2'!AA126+'Tabell 5.2'!AA138+AA16+AA28+'Tabell 5.2'!AA64+'Tabell 5.2'!AA76+'Tabell 5.2'!AA112</f>
        <v>69.23</v>
      </c>
      <c r="AB42" s="634">
        <f t="shared" si="25"/>
        <v>-0.8</v>
      </c>
      <c r="AC42" s="634">
        <f>'Tabell 5.1'!AC16+'Tabell 5.1'!AC28+'Tabell 5.1'!AC40+'Tabell 5.1'!AC52+'Tabell 5.1'!AC66+'Tabell 5.1'!AC78+'Tabell 5.1'!AC90+'Tabell 5.1'!AC102+'Tabell 5.2'!AC16+'Tabell 5.2'!AC28+'Tabell 5.2'!AC40+'Tabell 5.2'!AC52+'Tabell 5.2'!AC88+'Tabell 5.2'!AC100+'Tabell 5.2'!AC126+'Tabell 5.2'!AC138+AC16+AC28+'Tabell 5.2'!AC64+'Tabell 5.2'!AC76+'Tabell 5.2'!AC112</f>
        <v>340</v>
      </c>
      <c r="AD42" s="634">
        <f>'Tabell 5.1'!AD16+'Tabell 5.1'!AD28+'Tabell 5.1'!AD40+'Tabell 5.1'!AD52+'Tabell 5.1'!AD66+'Tabell 5.1'!AD78+'Tabell 5.1'!AD90+'Tabell 5.1'!AD102+'Tabell 5.2'!AD16+'Tabell 5.2'!AD28+'Tabell 5.2'!AD40+'Tabell 5.2'!AD52+'Tabell 5.2'!AD88+'Tabell 5.2'!AD100+'Tabell 5.2'!AD126+'Tabell 5.2'!AD138+AD16+AD28+'Tabell 5.2'!AD64+'Tabell 5.2'!AD76+'Tabell 5.2'!AD112</f>
        <v>479</v>
      </c>
      <c r="AE42" s="634">
        <f t="shared" si="26"/>
        <v>40.9</v>
      </c>
      <c r="AF42" s="634">
        <f>'Tabell 5.1'!AF16+'Tabell 5.1'!AF28+'Tabell 5.1'!AF40+'Tabell 5.1'!AF52+'Tabell 5.1'!AF66+'Tabell 5.1'!AF78+'Tabell 5.1'!AF90+'Tabell 5.1'!AF102+'Tabell 5.2'!AF16+'Tabell 5.2'!AF28+'Tabell 5.2'!AF40+'Tabell 5.2'!AF52+'Tabell 5.2'!AF88+'Tabell 5.2'!AF100+'Tabell 5.2'!AF126+'Tabell 5.2'!AF138+AF16+AF28+'Tabell 5.2'!AF64+'Tabell 5.2'!AF76+'Tabell 5.2'!AF112</f>
        <v>0</v>
      </c>
      <c r="AG42" s="634">
        <f>'Tabell 5.1'!AG16+'Tabell 5.1'!AG28+'Tabell 5.1'!AG40+'Tabell 5.1'!AG52+'Tabell 5.1'!AG66+'Tabell 5.1'!AG78+'Tabell 5.1'!AG90+'Tabell 5.1'!AG102+'Tabell 5.2'!AG16+'Tabell 5.2'!AG28+'Tabell 5.2'!AG40+'Tabell 5.2'!AG52+'Tabell 5.2'!AG88+'Tabell 5.2'!AG100+'Tabell 5.2'!AG126+'Tabell 5.2'!AG138+AG16+AG28+'Tabell 5.2'!AG64+'Tabell 5.2'!AG76+'Tabell 5.2'!AG112</f>
        <v>0</v>
      </c>
      <c r="AH42" s="634" t="str">
        <f t="shared" si="27"/>
        <v xml:space="preserve">    ---- </v>
      </c>
      <c r="AI42" s="634">
        <f>'Tabell 5.1'!AI16+'Tabell 5.1'!AI28+'Tabell 5.1'!AI40+'Tabell 5.1'!AI52+'Tabell 5.1'!AI66+'Tabell 5.1'!AI78+'Tabell 5.1'!AI90+'Tabell 5.1'!AI102+'Tabell 5.2'!AI16+'Tabell 5.2'!AI28+'Tabell 5.2'!AI40+'Tabell 5.2'!AI52+'Tabell 5.2'!AI88+'Tabell 5.2'!AI100+'Tabell 5.2'!AI126+'Tabell 5.2'!AI138+AI16+AI28+'Tabell 5.2'!AI64+'Tabell 5.2'!AI76+'Tabell 5.2'!AI112</f>
        <v>23</v>
      </c>
      <c r="AJ42" s="634">
        <f>'Tabell 5.1'!AJ16+'Tabell 5.1'!AJ28+'Tabell 5.1'!AJ40+'Tabell 5.1'!AJ52+'Tabell 5.1'!AJ66+'Tabell 5.1'!AJ78+'Tabell 5.1'!AJ90+'Tabell 5.1'!AJ102+'Tabell 5.2'!AJ16+'Tabell 5.2'!AJ28+'Tabell 5.2'!AJ40+'Tabell 5.2'!AJ52+'Tabell 5.2'!AJ88+'Tabell 5.2'!AJ100+'Tabell 5.2'!AJ126+'Tabell 5.2'!AJ138+AJ16+AJ28+'Tabell 5.2'!AJ64+'Tabell 5.2'!AJ76+'Tabell 5.2'!AJ112</f>
        <v>44</v>
      </c>
      <c r="AK42" s="634">
        <f t="shared" si="28"/>
        <v>91.3</v>
      </c>
      <c r="AL42" s="634">
        <f>'Tabell 5.1'!AL16+'Tabell 5.1'!AL28+'Tabell 5.1'!AL40+'Tabell 5.1'!AL52+'Tabell 5.1'!AL66+'Tabell 5.1'!AL78+'Tabell 5.1'!AL90+'Tabell 5.1'!AL102+'Tabell 5.2'!AL16+'Tabell 5.2'!AL28+'Tabell 5.2'!AL40+'Tabell 5.2'!AL52+'Tabell 5.2'!AL88+'Tabell 5.2'!AL100+'Tabell 5.2'!AL126+'Tabell 5.2'!AL138+AL16+AL28+'Tabell 5.2'!AL64+'Tabell 5.2'!AL76+'Tabell 5.2'!AL112</f>
        <v>222.7</v>
      </c>
      <c r="AM42" s="634">
        <f>'Tabell 5.1'!AM16+'Tabell 5.1'!AM28+'Tabell 5.1'!AM40+'Tabell 5.1'!AM52+'Tabell 5.1'!AM66+'Tabell 5.1'!AM78+'Tabell 5.1'!AM90+'Tabell 5.1'!AM102+'Tabell 5.2'!AM16+'Tabell 5.2'!AM28+'Tabell 5.2'!AM40+'Tabell 5.2'!AM52+'Tabell 5.2'!AM88+'Tabell 5.2'!AM100+'Tabell 5.2'!AM126+'Tabell 5.2'!AM138+AM16+AM28+'Tabell 5.2'!AM64+'Tabell 5.2'!AM76+'Tabell 5.2'!AM112</f>
        <v>268</v>
      </c>
      <c r="AN42" s="634">
        <f t="shared" si="29"/>
        <v>20.3</v>
      </c>
      <c r="AO42" s="634">
        <f t="shared" si="30"/>
        <v>1320.156025</v>
      </c>
      <c r="AP42" s="634">
        <f t="shared" si="31"/>
        <v>1298.27618194</v>
      </c>
      <c r="AQ42" s="634">
        <f t="shared" si="32"/>
        <v>-1.7</v>
      </c>
      <c r="AR42" s="596">
        <f t="shared" si="33"/>
        <v>1320.156025</v>
      </c>
      <c r="AS42" s="596">
        <f t="shared" si="34"/>
        <v>1298.27618194</v>
      </c>
      <c r="AT42" s="635">
        <f t="shared" si="35"/>
        <v>-1.7</v>
      </c>
      <c r="AU42" s="666"/>
      <c r="AV42" s="618"/>
      <c r="AW42" s="613"/>
      <c r="AX42" s="613"/>
    </row>
    <row r="43" spans="1:50" s="636" customFormat="1" ht="18.75" customHeight="1" x14ac:dyDescent="0.35">
      <c r="A43" s="588" t="s">
        <v>371</v>
      </c>
      <c r="B43" s="634">
        <f>'Tabell 5.1'!B17+'Tabell 5.1'!B29+'Tabell 5.1'!B41+'Tabell 5.1'!B53+'Tabell 5.1'!B67+'Tabell 5.1'!B79+'Tabell 5.1'!B91+'Tabell 5.1'!B103+'Tabell 5.2'!B17+'Tabell 5.2'!B29+'Tabell 5.2'!B41+'Tabell 5.2'!B53+'Tabell 5.2'!B89+'Tabell 5.2'!B101+'Tabell 5.2'!B127+'Tabell 5.2'!B139+B17+B29+'Tabell 5.2'!B65+'Tabell 5.2'!B77+'Tabell 5.2'!B113</f>
        <v>103.58800000000001</v>
      </c>
      <c r="C43" s="634">
        <f>'Tabell 5.1'!C17+'Tabell 5.1'!C29+'Tabell 5.1'!C41+'Tabell 5.1'!C53+'Tabell 5.1'!C67+'Tabell 5.1'!C79+'Tabell 5.1'!C91+'Tabell 5.1'!C103+'Tabell 5.2'!C17+'Tabell 5.2'!C29+'Tabell 5.2'!C41+'Tabell 5.2'!C53+'Tabell 5.2'!C89+'Tabell 5.2'!C101+'Tabell 5.2'!C127+'Tabell 5.2'!C139+C17+C29+'Tabell 5.2'!C65+'Tabell 5.2'!C77+'Tabell 5.2'!C113</f>
        <v>91.334999999999994</v>
      </c>
      <c r="D43" s="634">
        <f t="shared" si="17"/>
        <v>-11.8</v>
      </c>
      <c r="E43" s="634">
        <f>'Tabell 5.1'!E17+'Tabell 5.1'!E29+'Tabell 5.1'!E41+'Tabell 5.1'!E53+'Tabell 5.1'!E67+'Tabell 5.1'!E79+'Tabell 5.1'!E91+'Tabell 5.1'!E103+'Tabell 5.2'!E17+'Tabell 5.2'!E29+'Tabell 5.2'!E41+'Tabell 5.2'!E53+'Tabell 5.2'!E89+'Tabell 5.2'!E101+'Tabell 5.2'!E127+'Tabell 5.2'!E139+E17+E29+'Tabell 5.2'!E65+'Tabell 5.2'!E77+'Tabell 5.2'!E113</f>
        <v>-19</v>
      </c>
      <c r="F43" s="634"/>
      <c r="G43" s="634">
        <f t="shared" si="18"/>
        <v>-100</v>
      </c>
      <c r="H43" s="634">
        <f>'Tabell 5.1'!H17+'Tabell 5.1'!H29+'Tabell 5.1'!H41+'Tabell 5.1'!H53+'Tabell 5.1'!H67+'Tabell 5.1'!H79+'Tabell 5.1'!H91+'Tabell 5.1'!H103+'Tabell 5.2'!H17+'Tabell 5.2'!H29+'Tabell 5.2'!H41+'Tabell 5.2'!H53+'Tabell 5.2'!H89+'Tabell 5.2'!H101+'Tabell 5.2'!H127+'Tabell 5.2'!H139+H17+H29+'Tabell 5.2'!H65+'Tabell 5.2'!H77+'Tabell 5.2'!H113</f>
        <v>240.5</v>
      </c>
      <c r="I43" s="634">
        <f>'Tabell 5.1'!I17+'Tabell 5.1'!I29+'Tabell 5.1'!I41+'Tabell 5.1'!I53+'Tabell 5.1'!I67+'Tabell 5.1'!I79+'Tabell 5.1'!I91+'Tabell 5.1'!I103+'Tabell 5.2'!I17+'Tabell 5.2'!I29+'Tabell 5.2'!I41+'Tabell 5.2'!I53+'Tabell 5.2'!I89+'Tabell 5.2'!I101+'Tabell 5.2'!I127+'Tabell 5.2'!I139+I17+I29+'Tabell 5.2'!I65+'Tabell 5.2'!I77+'Tabell 5.2'!I113</f>
        <v>210.03652449145329</v>
      </c>
      <c r="J43" s="634">
        <f t="shared" si="19"/>
        <v>-12.7</v>
      </c>
      <c r="K43" s="634">
        <f>'Tabell 5.1'!K17+'Tabell 5.1'!K29+'Tabell 5.1'!K41+'Tabell 5.1'!K53+'Tabell 5.1'!K67+'Tabell 5.1'!K79+'Tabell 5.1'!K91+'Tabell 5.1'!K103+'Tabell 5.2'!K17+'Tabell 5.2'!K29+'Tabell 5.2'!K41+'Tabell 5.2'!K53+'Tabell 5.2'!K89+'Tabell 5.2'!K101+'Tabell 5.2'!K127+'Tabell 5.2'!K139+K17+K29+'Tabell 5.2'!K65+'Tabell 5.2'!K77+'Tabell 5.2'!K113</f>
        <v>305</v>
      </c>
      <c r="L43" s="634">
        <f>'Tabell 5.1'!L17+'Tabell 5.1'!L29+'Tabell 5.1'!L41+'Tabell 5.1'!L53+'Tabell 5.1'!L67+'Tabell 5.1'!L79+'Tabell 5.1'!L91+'Tabell 5.1'!L103+'Tabell 5.2'!L17+'Tabell 5.2'!L29+'Tabell 5.2'!L41+'Tabell 5.2'!L53+'Tabell 5.2'!L89+'Tabell 5.2'!L101+'Tabell 5.2'!L127+'Tabell 5.2'!L139+L17+L29+'Tabell 5.2'!L65+'Tabell 5.2'!L77+'Tabell 5.2'!L113</f>
        <v>567780.23788000015</v>
      </c>
      <c r="M43" s="634">
        <f t="shared" si="20"/>
        <v>999</v>
      </c>
      <c r="N43" s="634">
        <f>'Tabell 5.1'!N17+'Tabell 5.1'!N29+'Tabell 5.1'!N41+'Tabell 5.1'!N53+'Tabell 5.1'!N67+'Tabell 5.1'!N79+'Tabell 5.1'!N91+'Tabell 5.1'!N103+'Tabell 5.2'!N17+'Tabell 5.2'!N29+'Tabell 5.2'!N41+'Tabell 5.2'!N53+'Tabell 5.2'!N89+'Tabell 5.2'!N101+'Tabell 5.2'!N127+'Tabell 5.2'!N139+N17+N29+'Tabell 5.2'!N65+'Tabell 5.2'!N77+'Tabell 5.2'!N113</f>
        <v>130.09100000000001</v>
      </c>
      <c r="O43" s="634">
        <f>'Tabell 5.1'!O17+'Tabell 5.1'!O29+'Tabell 5.1'!O41+'Tabell 5.1'!O53+'Tabell 5.1'!O67+'Tabell 5.1'!O79+'Tabell 5.1'!O91+'Tabell 5.1'!O103+'Tabell 5.2'!O17+'Tabell 5.2'!O29+'Tabell 5.2'!O41+'Tabell 5.2'!O53+'Tabell 5.2'!O89+'Tabell 5.2'!O101+'Tabell 5.2'!O127+'Tabell 5.2'!O139+O17+O29+'Tabell 5.2'!O65+'Tabell 5.2'!O77+'Tabell 5.2'!O113</f>
        <v>63.47499999999998</v>
      </c>
      <c r="P43" s="634">
        <f t="shared" si="21"/>
        <v>-51.2</v>
      </c>
      <c r="Q43" s="634">
        <f>'Tabell 5.1'!Q17+'Tabell 5.1'!Q29+'Tabell 5.1'!Q41+'Tabell 5.1'!Q53+'Tabell 5.1'!Q67+'Tabell 5.1'!Q79+'Tabell 5.1'!Q91+'Tabell 5.1'!Q103+'Tabell 5.2'!Q17+'Tabell 5.2'!Q29+'Tabell 5.2'!Q41+'Tabell 5.2'!Q53+'Tabell 5.2'!Q89+'Tabell 5.2'!Q101+'Tabell 5.2'!Q127+'Tabell 5.2'!Q139+Q17+Q29+'Tabell 5.2'!Q65+'Tabell 5.2'!Q77+'Tabell 5.2'!Q113</f>
        <v>-4.5999999999999996</v>
      </c>
      <c r="R43" s="634">
        <f>'Tabell 5.1'!R17+'Tabell 5.1'!R29+'Tabell 5.1'!R41+'Tabell 5.1'!R53+'Tabell 5.1'!R67+'Tabell 5.1'!R79+'Tabell 5.1'!R91+'Tabell 5.1'!R103+'Tabell 5.2'!R17+'Tabell 5.2'!R29+'Tabell 5.2'!R41+'Tabell 5.2'!R53+'Tabell 5.2'!R89+'Tabell 5.2'!R101+'Tabell 5.2'!R127+'Tabell 5.2'!R139+R17+R29+'Tabell 5.2'!R65+'Tabell 5.2'!R77+'Tabell 5.2'!R113</f>
        <v>2.2999999999999998</v>
      </c>
      <c r="S43" s="634">
        <f t="shared" si="22"/>
        <v>-150</v>
      </c>
      <c r="T43" s="634">
        <f>'Tabell 5.1'!T17+'Tabell 5.1'!T29+'Tabell 5.1'!T41+'Tabell 5.1'!T53+'Tabell 5.1'!T67+'Tabell 5.1'!T79+'Tabell 5.1'!T91+'Tabell 5.1'!T103+'Tabell 5.2'!T17+'Tabell 5.2'!T29+'Tabell 5.2'!T41+'Tabell 5.2'!T53+'Tabell 5.2'!T89+'Tabell 5.2'!T101+'Tabell 5.2'!T127+'Tabell 5.2'!T139+T17+T29+'Tabell 5.2'!T65+'Tabell 5.2'!T77+'Tabell 5.2'!T113</f>
        <v>9.2454504899999996</v>
      </c>
      <c r="U43" s="634">
        <f>'Tabell 5.1'!U17+'Tabell 5.1'!U29+'Tabell 5.1'!U41+'Tabell 5.1'!U53+'Tabell 5.1'!U67+'Tabell 5.1'!U79+'Tabell 5.1'!U91+'Tabell 5.1'!U103+'Tabell 5.2'!U17+'Tabell 5.2'!U29+'Tabell 5.2'!U41+'Tabell 5.2'!U53+'Tabell 5.2'!U89+'Tabell 5.2'!U101+'Tabell 5.2'!U127+'Tabell 5.2'!U139+U17+U29+'Tabell 5.2'!U65+'Tabell 5.2'!U77+'Tabell 5.2'!U113</f>
        <v>10.616985000000001</v>
      </c>
      <c r="V43" s="634">
        <f t="shared" si="23"/>
        <v>14.8</v>
      </c>
      <c r="W43" s="634">
        <f>'Tabell 5.1'!W17+'Tabell 5.1'!W29+'Tabell 5.1'!W41+'Tabell 5.1'!W53+'Tabell 5.1'!W67+'Tabell 5.1'!W79+'Tabell 5.1'!W91+'Tabell 5.1'!W103+'Tabell 5.2'!W17+'Tabell 5.2'!W29+'Tabell 5.2'!W41+'Tabell 5.2'!W53+'Tabell 5.2'!W89+'Tabell 5.2'!W101+'Tabell 5.2'!W127+'Tabell 5.2'!W139+W17+W29+'Tabell 5.2'!W65+'Tabell 5.2'!W77+'Tabell 5.2'!W113</f>
        <v>-397.04831133238844</v>
      </c>
      <c r="X43" s="634">
        <f>'Tabell 5.1'!X17+'Tabell 5.1'!X29+'Tabell 5.1'!X41+'Tabell 5.1'!X53+'Tabell 5.1'!X67+'Tabell 5.1'!X79+'Tabell 5.1'!X91+'Tabell 5.1'!X103+'Tabell 5.2'!X17+'Tabell 5.2'!X29+'Tabell 5.2'!X41+'Tabell 5.2'!X53+'Tabell 5.2'!X89+'Tabell 5.2'!X101+'Tabell 5.2'!X127+'Tabell 5.2'!X139+X17+X29+'Tabell 5.2'!X65+'Tabell 5.2'!X77+'Tabell 5.2'!X113</f>
        <v>589.7707980543538</v>
      </c>
      <c r="Y43" s="634">
        <f t="shared" si="24"/>
        <v>-248.5</v>
      </c>
      <c r="Z43" s="634">
        <f>'Tabell 5.1'!Z17+'Tabell 5.1'!Z29+'Tabell 5.1'!Z41+'Tabell 5.1'!Z53+'Tabell 5.1'!Z67+'Tabell 5.1'!Z79+'Tabell 5.1'!Z91+'Tabell 5.1'!Z103+'Tabell 5.2'!Z17+'Tabell 5.2'!Z29+'Tabell 5.2'!Z41+'Tabell 5.2'!Z53+'Tabell 5.2'!Z89+'Tabell 5.2'!Z101+'Tabell 5.2'!Z127+'Tabell 5.2'!Z139+Z17+Z29+'Tabell 5.2'!Z65+'Tabell 5.2'!Z77+'Tabell 5.2'!Z113</f>
        <v>178.75</v>
      </c>
      <c r="AA43" s="634">
        <f>'Tabell 5.1'!AA17+'Tabell 5.1'!AA29+'Tabell 5.1'!AA41+'Tabell 5.1'!AA53+'Tabell 5.1'!AA67+'Tabell 5.1'!AA79+'Tabell 5.1'!AA91+'Tabell 5.1'!AA103+'Tabell 5.2'!AA17+'Tabell 5.2'!AA29+'Tabell 5.2'!AA41+'Tabell 5.2'!AA53+'Tabell 5.2'!AA89+'Tabell 5.2'!AA101+'Tabell 5.2'!AA127+'Tabell 5.2'!AA139+AA17+AA29+'Tabell 5.2'!AA65+'Tabell 5.2'!AA77+'Tabell 5.2'!AA113</f>
        <v>241.45999999999998</v>
      </c>
      <c r="AB43" s="634">
        <f t="shared" si="25"/>
        <v>35.1</v>
      </c>
      <c r="AC43" s="634">
        <f>'Tabell 5.1'!AC17+'Tabell 5.1'!AC29+'Tabell 5.1'!AC41+'Tabell 5.1'!AC53+'Tabell 5.1'!AC67+'Tabell 5.1'!AC79+'Tabell 5.1'!AC91+'Tabell 5.1'!AC103+'Tabell 5.2'!AC17+'Tabell 5.2'!AC29+'Tabell 5.2'!AC41+'Tabell 5.2'!AC53+'Tabell 5.2'!AC89+'Tabell 5.2'!AC101+'Tabell 5.2'!AC127+'Tabell 5.2'!AC139+AC17+AC29+'Tabell 5.2'!AC65+'Tabell 5.2'!AC77+'Tabell 5.2'!AC113</f>
        <v>130</v>
      </c>
      <c r="AD43" s="634">
        <f>'Tabell 5.1'!AD17+'Tabell 5.1'!AD29+'Tabell 5.1'!AD41+'Tabell 5.1'!AD53+'Tabell 5.1'!AD67+'Tabell 5.1'!AD79+'Tabell 5.1'!AD91+'Tabell 5.1'!AD103+'Tabell 5.2'!AD17+'Tabell 5.2'!AD29+'Tabell 5.2'!AD41+'Tabell 5.2'!AD53+'Tabell 5.2'!AD89+'Tabell 5.2'!AD101+'Tabell 5.2'!AD127+'Tabell 5.2'!AD139+AD17+AD29+'Tabell 5.2'!AD65+'Tabell 5.2'!AD77+'Tabell 5.2'!AD113</f>
        <v>111</v>
      </c>
      <c r="AE43" s="634">
        <f t="shared" si="26"/>
        <v>-14.6</v>
      </c>
      <c r="AF43" s="634">
        <f>'Tabell 5.1'!AF17+'Tabell 5.1'!AF29+'Tabell 5.1'!AF41+'Tabell 5.1'!AF53+'Tabell 5.1'!AF67+'Tabell 5.1'!AF79+'Tabell 5.1'!AF91+'Tabell 5.1'!AF103+'Tabell 5.2'!AF17+'Tabell 5.2'!AF29+'Tabell 5.2'!AF41+'Tabell 5.2'!AF53+'Tabell 5.2'!AF89+'Tabell 5.2'!AF101+'Tabell 5.2'!AF127+'Tabell 5.2'!AF139+AF17+AF29+'Tabell 5.2'!AF65+'Tabell 5.2'!AF77+'Tabell 5.2'!AF113</f>
        <v>0</v>
      </c>
      <c r="AG43" s="634">
        <f>'Tabell 5.1'!AG17+'Tabell 5.1'!AG29+'Tabell 5.1'!AG41+'Tabell 5.1'!AG53+'Tabell 5.1'!AG67+'Tabell 5.1'!AG79+'Tabell 5.1'!AG91+'Tabell 5.1'!AG103+'Tabell 5.2'!AG17+'Tabell 5.2'!AG29+'Tabell 5.2'!AG41+'Tabell 5.2'!AG53+'Tabell 5.2'!AG89+'Tabell 5.2'!AG101+'Tabell 5.2'!AG127+'Tabell 5.2'!AG139+AG17+AG29+'Tabell 5.2'!AG65+'Tabell 5.2'!AG77+'Tabell 5.2'!AG113</f>
        <v>1.83709899999977E-2</v>
      </c>
      <c r="AH43" s="634" t="str">
        <f t="shared" si="27"/>
        <v xml:space="preserve">    ---- </v>
      </c>
      <c r="AI43" s="634">
        <f>'Tabell 5.1'!AI17+'Tabell 5.1'!AI29+'Tabell 5.1'!AI41+'Tabell 5.1'!AI53+'Tabell 5.1'!AI67+'Tabell 5.1'!AI79+'Tabell 5.1'!AI91+'Tabell 5.1'!AI103+'Tabell 5.2'!AI17+'Tabell 5.2'!AI29+'Tabell 5.2'!AI41+'Tabell 5.2'!AI53+'Tabell 5.2'!AI89+'Tabell 5.2'!AI101+'Tabell 5.2'!AI127+'Tabell 5.2'!AI139+AI17+AI29+'Tabell 5.2'!AI65+'Tabell 5.2'!AI77+'Tabell 5.2'!AI113</f>
        <v>70</v>
      </c>
      <c r="AJ43" s="634">
        <f>'Tabell 5.1'!AJ17+'Tabell 5.1'!AJ29+'Tabell 5.1'!AJ41+'Tabell 5.1'!AJ53+'Tabell 5.1'!AJ67+'Tabell 5.1'!AJ79+'Tabell 5.1'!AJ91+'Tabell 5.1'!AJ103+'Tabell 5.2'!AJ17+'Tabell 5.2'!AJ29+'Tabell 5.2'!AJ41+'Tabell 5.2'!AJ53+'Tabell 5.2'!AJ89+'Tabell 5.2'!AJ101+'Tabell 5.2'!AJ127+'Tabell 5.2'!AJ139+AJ17+AJ29+'Tabell 5.2'!AJ65+'Tabell 5.2'!AJ77+'Tabell 5.2'!AJ113</f>
        <v>142</v>
      </c>
      <c r="AK43" s="634">
        <f t="shared" si="28"/>
        <v>102.9</v>
      </c>
      <c r="AL43" s="634">
        <f>'Tabell 5.1'!AL17+'Tabell 5.1'!AL29+'Tabell 5.1'!AL41+'Tabell 5.1'!AL53+'Tabell 5.1'!AL67+'Tabell 5.1'!AL79+'Tabell 5.1'!AL91+'Tabell 5.1'!AL103+'Tabell 5.2'!AL17+'Tabell 5.2'!AL29+'Tabell 5.2'!AL41+'Tabell 5.2'!AL53+'Tabell 5.2'!AL89+'Tabell 5.2'!AL101+'Tabell 5.2'!AL127+'Tabell 5.2'!AL139+AL17+AL29+'Tabell 5.2'!AL65+'Tabell 5.2'!AL77+'Tabell 5.2'!AL113</f>
        <v>152.69999999999999</v>
      </c>
      <c r="AM43" s="634">
        <f>'Tabell 5.1'!AM17+'Tabell 5.1'!AM29+'Tabell 5.1'!AM41+'Tabell 5.1'!AM53+'Tabell 5.1'!AM67+'Tabell 5.1'!AM79+'Tabell 5.1'!AM91+'Tabell 5.1'!AM103+'Tabell 5.2'!AM17+'Tabell 5.2'!AM29+'Tabell 5.2'!AM41+'Tabell 5.2'!AM53+'Tabell 5.2'!AM89+'Tabell 5.2'!AM101+'Tabell 5.2'!AM127+'Tabell 5.2'!AM139+AM17+AM29+'Tabell 5.2'!AM65+'Tabell 5.2'!AM77+'Tabell 5.2'!AM113</f>
        <v>447.00000000000011</v>
      </c>
      <c r="AN43" s="634">
        <f t="shared" si="29"/>
        <v>192.7</v>
      </c>
      <c r="AO43" s="634">
        <f t="shared" si="30"/>
        <v>889.9806886676115</v>
      </c>
      <c r="AP43" s="634">
        <f t="shared" si="31"/>
        <v>569678.615202546</v>
      </c>
      <c r="AQ43" s="634">
        <f t="shared" si="32"/>
        <v>999</v>
      </c>
      <c r="AR43" s="596">
        <f t="shared" si="33"/>
        <v>899.22613915761167</v>
      </c>
      <c r="AS43" s="596">
        <f t="shared" si="34"/>
        <v>569689.25055853592</v>
      </c>
      <c r="AT43" s="635">
        <f t="shared" si="35"/>
        <v>999</v>
      </c>
      <c r="AU43" s="666"/>
      <c r="AV43" s="618"/>
      <c r="AW43" s="613"/>
      <c r="AX43" s="613"/>
    </row>
    <row r="44" spans="1:50" s="636" customFormat="1" ht="18.75" customHeight="1" x14ac:dyDescent="0.35">
      <c r="A44" s="588" t="s">
        <v>372</v>
      </c>
      <c r="B44" s="634">
        <f>'Tabell 5.1'!B18+'Tabell 5.1'!B30+'Tabell 5.1'!B42+'Tabell 5.1'!B54+'Tabell 5.1'!B68+'Tabell 5.1'!B80+'Tabell 5.1'!B92+'Tabell 5.1'!B104+'Tabell 5.2'!B18+'Tabell 5.2'!B30+'Tabell 5.2'!B42+'Tabell 5.2'!B54+'Tabell 5.2'!B90+'Tabell 5.2'!B102+'Tabell 5.2'!B128+'Tabell 5.2'!B140+B18+B30+'Tabell 5.2'!B66+'Tabell 5.2'!B78+'Tabell 5.2'!B114</f>
        <v>0</v>
      </c>
      <c r="C44" s="634">
        <f>'Tabell 5.1'!C18+'Tabell 5.1'!C30+'Tabell 5.1'!C42+'Tabell 5.1'!C54+'Tabell 5.1'!C68+'Tabell 5.1'!C80+'Tabell 5.1'!C92+'Tabell 5.1'!C104+'Tabell 5.2'!C18+'Tabell 5.2'!C30+'Tabell 5.2'!C42+'Tabell 5.2'!C54+'Tabell 5.2'!C90+'Tabell 5.2'!C102+'Tabell 5.2'!C128+'Tabell 5.2'!C140+C18+C30+'Tabell 5.2'!C66+'Tabell 5.2'!C78+'Tabell 5.2'!C114</f>
        <v>0.81499999999999995</v>
      </c>
      <c r="D44" s="634" t="str">
        <f t="shared" si="17"/>
        <v xml:space="preserve">    ---- </v>
      </c>
      <c r="E44" s="634">
        <f>'Tabell 5.1'!E18+'Tabell 5.1'!E30+'Tabell 5.1'!E42+'Tabell 5.1'!E54+'Tabell 5.1'!E68+'Tabell 5.1'!E80+'Tabell 5.1'!E92+'Tabell 5.1'!E104+'Tabell 5.2'!E18+'Tabell 5.2'!E30+'Tabell 5.2'!E42+'Tabell 5.2'!E54+'Tabell 5.2'!E90+'Tabell 5.2'!E102+'Tabell 5.2'!E128+'Tabell 5.2'!E140+E18+E30+'Tabell 5.2'!E66+'Tabell 5.2'!E78+'Tabell 5.2'!E114</f>
        <v>0</v>
      </c>
      <c r="F44" s="634"/>
      <c r="G44" s="634" t="str">
        <f t="shared" si="18"/>
        <v xml:space="preserve">    ---- </v>
      </c>
      <c r="H44" s="634">
        <f>'Tabell 5.1'!H18+'Tabell 5.1'!H30+'Tabell 5.1'!H42+'Tabell 5.1'!H54+'Tabell 5.1'!H68+'Tabell 5.1'!H80+'Tabell 5.1'!H92+'Tabell 5.1'!H104+'Tabell 5.2'!H18+'Tabell 5.2'!H30+'Tabell 5.2'!H42+'Tabell 5.2'!H54+'Tabell 5.2'!H90+'Tabell 5.2'!H102+'Tabell 5.2'!H128+'Tabell 5.2'!H140+H18+H30+'Tabell 5.2'!H66+'Tabell 5.2'!H78+'Tabell 5.2'!H114</f>
        <v>0</v>
      </c>
      <c r="I44" s="634">
        <f>'Tabell 5.1'!I18+'Tabell 5.1'!I30+'Tabell 5.1'!I42+'Tabell 5.1'!I54+'Tabell 5.1'!I68+'Tabell 5.1'!I80+'Tabell 5.1'!I92+'Tabell 5.1'!I104+'Tabell 5.2'!I18+'Tabell 5.2'!I30+'Tabell 5.2'!I42+'Tabell 5.2'!I54+'Tabell 5.2'!I90+'Tabell 5.2'!I102+'Tabell 5.2'!I128+'Tabell 5.2'!I140+I18+I30+'Tabell 5.2'!I66+'Tabell 5.2'!I78+'Tabell 5.2'!I114</f>
        <v>0</v>
      </c>
      <c r="J44" s="634" t="str">
        <f t="shared" si="19"/>
        <v xml:space="preserve">    ---- </v>
      </c>
      <c r="K44" s="634">
        <f>'Tabell 5.1'!K18+'Tabell 5.1'!K30+'Tabell 5.1'!K42+'Tabell 5.1'!K54+'Tabell 5.1'!K68+'Tabell 5.1'!K80+'Tabell 5.1'!K92+'Tabell 5.1'!K104+'Tabell 5.2'!K18+'Tabell 5.2'!K30+'Tabell 5.2'!K42+'Tabell 5.2'!K54+'Tabell 5.2'!K90+'Tabell 5.2'!K102+'Tabell 5.2'!K128+'Tabell 5.2'!K140+K18+K30+'Tabell 5.2'!K66+'Tabell 5.2'!K78+'Tabell 5.2'!K114</f>
        <v>0</v>
      </c>
      <c r="L44" s="634">
        <f>'Tabell 5.1'!L18+'Tabell 5.1'!L30+'Tabell 5.1'!L42+'Tabell 5.1'!L54+'Tabell 5.1'!L68+'Tabell 5.1'!L80+'Tabell 5.1'!L92+'Tabell 5.1'!L104+'Tabell 5.2'!L18+'Tabell 5.2'!L30+'Tabell 5.2'!L42+'Tabell 5.2'!L54+'Tabell 5.2'!L90+'Tabell 5.2'!L102+'Tabell 5.2'!L128+'Tabell 5.2'!L140+L18+L30+'Tabell 5.2'!L66+'Tabell 5.2'!L78+'Tabell 5.2'!L114</f>
        <v>0</v>
      </c>
      <c r="M44" s="634" t="str">
        <f t="shared" si="20"/>
        <v xml:space="preserve">    ---- </v>
      </c>
      <c r="N44" s="634">
        <f>'Tabell 5.1'!N18+'Tabell 5.1'!N30+'Tabell 5.1'!N42+'Tabell 5.1'!N54+'Tabell 5.1'!N68+'Tabell 5.1'!N80+'Tabell 5.1'!N92+'Tabell 5.1'!N104+'Tabell 5.2'!N18+'Tabell 5.2'!N30+'Tabell 5.2'!N42+'Tabell 5.2'!N54+'Tabell 5.2'!N90+'Tabell 5.2'!N102+'Tabell 5.2'!N128+'Tabell 5.2'!N140+N18+N30+'Tabell 5.2'!N66+'Tabell 5.2'!N78+'Tabell 5.2'!N114</f>
        <v>0</v>
      </c>
      <c r="O44" s="634">
        <f>'Tabell 5.1'!O18+'Tabell 5.1'!O30+'Tabell 5.1'!O42+'Tabell 5.1'!O54+'Tabell 5.1'!O68+'Tabell 5.1'!O80+'Tabell 5.1'!O92+'Tabell 5.1'!O104+'Tabell 5.2'!O18+'Tabell 5.2'!O30+'Tabell 5.2'!O42+'Tabell 5.2'!O54+'Tabell 5.2'!O90+'Tabell 5.2'!O102+'Tabell 5.2'!O128+'Tabell 5.2'!O140+O18+O30+'Tabell 5.2'!O66+'Tabell 5.2'!O78+'Tabell 5.2'!O114</f>
        <v>0</v>
      </c>
      <c r="P44" s="634" t="str">
        <f t="shared" si="21"/>
        <v xml:space="preserve">    ---- </v>
      </c>
      <c r="Q44" s="634">
        <f>'Tabell 5.1'!Q18+'Tabell 5.1'!Q30+'Tabell 5.1'!Q42+'Tabell 5.1'!Q54+'Tabell 5.1'!Q68+'Tabell 5.1'!Q80+'Tabell 5.1'!Q92+'Tabell 5.1'!Q104+'Tabell 5.2'!Q18+'Tabell 5.2'!Q30+'Tabell 5.2'!Q42+'Tabell 5.2'!Q54+'Tabell 5.2'!Q90+'Tabell 5.2'!Q102+'Tabell 5.2'!Q128+'Tabell 5.2'!Q140+Q18+Q30+'Tabell 5.2'!Q66+'Tabell 5.2'!Q78+'Tabell 5.2'!Q114</f>
        <v>-2</v>
      </c>
      <c r="R44" s="634">
        <f>'Tabell 5.1'!R18+'Tabell 5.1'!R30+'Tabell 5.1'!R42+'Tabell 5.1'!R54+'Tabell 5.1'!R68+'Tabell 5.1'!R80+'Tabell 5.1'!R92+'Tabell 5.1'!R104+'Tabell 5.2'!R18+'Tabell 5.2'!R30+'Tabell 5.2'!R42+'Tabell 5.2'!R54+'Tabell 5.2'!R90+'Tabell 5.2'!R102+'Tabell 5.2'!R128+'Tabell 5.2'!R140+R18+R30+'Tabell 5.2'!R66+'Tabell 5.2'!R78+'Tabell 5.2'!R114</f>
        <v>2.7</v>
      </c>
      <c r="S44" s="634">
        <f t="shared" si="22"/>
        <v>-235</v>
      </c>
      <c r="T44" s="634">
        <f>'Tabell 5.1'!T18+'Tabell 5.1'!T30+'Tabell 5.1'!T42+'Tabell 5.1'!T54+'Tabell 5.1'!T68+'Tabell 5.1'!T80+'Tabell 5.1'!T92+'Tabell 5.1'!T104+'Tabell 5.2'!T18+'Tabell 5.2'!T30+'Tabell 5.2'!T42+'Tabell 5.2'!T54+'Tabell 5.2'!T90+'Tabell 5.2'!T102+'Tabell 5.2'!T128+'Tabell 5.2'!T140+T18+T30+'Tabell 5.2'!T66+'Tabell 5.2'!T78+'Tabell 5.2'!T114</f>
        <v>0</v>
      </c>
      <c r="U44" s="634">
        <f>'Tabell 5.1'!U18+'Tabell 5.1'!U30+'Tabell 5.1'!U42+'Tabell 5.1'!U54+'Tabell 5.1'!U68+'Tabell 5.1'!U80+'Tabell 5.1'!U92+'Tabell 5.1'!U104+'Tabell 5.2'!U18+'Tabell 5.2'!U30+'Tabell 5.2'!U42+'Tabell 5.2'!U54+'Tabell 5.2'!U90+'Tabell 5.2'!U102+'Tabell 5.2'!U128+'Tabell 5.2'!U140+U18+U30+'Tabell 5.2'!U66+'Tabell 5.2'!U78+'Tabell 5.2'!U114</f>
        <v>0</v>
      </c>
      <c r="V44" s="634" t="str">
        <f t="shared" si="23"/>
        <v xml:space="preserve">    ---- </v>
      </c>
      <c r="W44" s="634">
        <f>'Tabell 5.1'!W18+'Tabell 5.1'!W30+'Tabell 5.1'!W42+'Tabell 5.1'!W54+'Tabell 5.1'!W68+'Tabell 5.1'!W80+'Tabell 5.1'!W92+'Tabell 5.1'!W104+'Tabell 5.2'!W18+'Tabell 5.2'!W30+'Tabell 5.2'!W42+'Tabell 5.2'!W54+'Tabell 5.2'!W90+'Tabell 5.2'!W102+'Tabell 5.2'!W128+'Tabell 5.2'!W140+W18+W30+'Tabell 5.2'!W66+'Tabell 5.2'!W78+'Tabell 5.2'!W114</f>
        <v>479.90902800000003</v>
      </c>
      <c r="X44" s="634">
        <f>'Tabell 5.1'!X18+'Tabell 5.1'!X30+'Tabell 5.1'!X42+'Tabell 5.1'!X54+'Tabell 5.1'!X68+'Tabell 5.1'!X80+'Tabell 5.1'!X92+'Tabell 5.1'!X104+'Tabell 5.2'!X18+'Tabell 5.2'!X30+'Tabell 5.2'!X42+'Tabell 5.2'!X54+'Tabell 5.2'!X90+'Tabell 5.2'!X102+'Tabell 5.2'!X128+'Tabell 5.2'!X140+X18+X30+'Tabell 5.2'!X66+'Tabell 5.2'!X78+'Tabell 5.2'!X114</f>
        <v>0</v>
      </c>
      <c r="Y44" s="634">
        <f t="shared" si="24"/>
        <v>-100</v>
      </c>
      <c r="Z44" s="634">
        <f>'Tabell 5.1'!Z18+'Tabell 5.1'!Z30+'Tabell 5.1'!Z42+'Tabell 5.1'!Z54+'Tabell 5.1'!Z68+'Tabell 5.1'!Z80+'Tabell 5.1'!Z92+'Tabell 5.1'!Z104+'Tabell 5.2'!Z18+'Tabell 5.2'!Z30+'Tabell 5.2'!Z42+'Tabell 5.2'!Z54+'Tabell 5.2'!Z90+'Tabell 5.2'!Z102+'Tabell 5.2'!Z128+'Tabell 5.2'!Z140+Z18+Z30+'Tabell 5.2'!Z66+'Tabell 5.2'!Z78+'Tabell 5.2'!Z114</f>
        <v>53.839999999999996</v>
      </c>
      <c r="AA44" s="634">
        <f>'Tabell 5.1'!AA18+'Tabell 5.1'!AA30+'Tabell 5.1'!AA42+'Tabell 5.1'!AA54+'Tabell 5.1'!AA68+'Tabell 5.1'!AA80+'Tabell 5.1'!AA92+'Tabell 5.1'!AA104+'Tabell 5.2'!AA18+'Tabell 5.2'!AA30+'Tabell 5.2'!AA42+'Tabell 5.2'!AA54+'Tabell 5.2'!AA90+'Tabell 5.2'!AA102+'Tabell 5.2'!AA128+'Tabell 5.2'!AA140+AA18+AA30+'Tabell 5.2'!AA66+'Tabell 5.2'!AA78+'Tabell 5.2'!AA114</f>
        <v>106.77</v>
      </c>
      <c r="AB44" s="634">
        <f t="shared" si="25"/>
        <v>98.3</v>
      </c>
      <c r="AC44" s="634">
        <f>'Tabell 5.1'!AC18+'Tabell 5.1'!AC30+'Tabell 5.1'!AC42+'Tabell 5.1'!AC54+'Tabell 5.1'!AC68+'Tabell 5.1'!AC80+'Tabell 5.1'!AC92+'Tabell 5.1'!AC104+'Tabell 5.2'!AC18+'Tabell 5.2'!AC30+'Tabell 5.2'!AC42+'Tabell 5.2'!AC54+'Tabell 5.2'!AC90+'Tabell 5.2'!AC102+'Tabell 5.2'!AC128+'Tabell 5.2'!AC140+AC18+AC30+'Tabell 5.2'!AC66+'Tabell 5.2'!AC78+'Tabell 5.2'!AC114</f>
        <v>60</v>
      </c>
      <c r="AD44" s="634">
        <f>'Tabell 5.1'!AD18+'Tabell 5.1'!AD30+'Tabell 5.1'!AD42+'Tabell 5.1'!AD54+'Tabell 5.1'!AD68+'Tabell 5.1'!AD80+'Tabell 5.1'!AD92+'Tabell 5.1'!AD104+'Tabell 5.2'!AD18+'Tabell 5.2'!AD30+'Tabell 5.2'!AD42+'Tabell 5.2'!AD54+'Tabell 5.2'!AD90+'Tabell 5.2'!AD102+'Tabell 5.2'!AD128+'Tabell 5.2'!AD140+AD18+AD30+'Tabell 5.2'!AD66+'Tabell 5.2'!AD78+'Tabell 5.2'!AD114</f>
        <v>0</v>
      </c>
      <c r="AE44" s="634">
        <f t="shared" si="26"/>
        <v>-100</v>
      </c>
      <c r="AF44" s="634">
        <f>'Tabell 5.1'!AF18+'Tabell 5.1'!AF30+'Tabell 5.1'!AF42+'Tabell 5.1'!AF54+'Tabell 5.1'!AF68+'Tabell 5.1'!AF80+'Tabell 5.1'!AF92+'Tabell 5.1'!AF104+'Tabell 5.2'!AF18+'Tabell 5.2'!AF30+'Tabell 5.2'!AF42+'Tabell 5.2'!AF54+'Tabell 5.2'!AF90+'Tabell 5.2'!AF102+'Tabell 5.2'!AF128+'Tabell 5.2'!AF140+AF18+AF30+'Tabell 5.2'!AF66+'Tabell 5.2'!AF78+'Tabell 5.2'!AF114</f>
        <v>0</v>
      </c>
      <c r="AG44" s="634">
        <f>'Tabell 5.1'!AG18+'Tabell 5.1'!AG30+'Tabell 5.1'!AG42+'Tabell 5.1'!AG54+'Tabell 5.1'!AG68+'Tabell 5.1'!AG80+'Tabell 5.1'!AG92+'Tabell 5.1'!AG104+'Tabell 5.2'!AG18+'Tabell 5.2'!AG30+'Tabell 5.2'!AG42+'Tabell 5.2'!AG54+'Tabell 5.2'!AG90+'Tabell 5.2'!AG102+'Tabell 5.2'!AG128+'Tabell 5.2'!AG140+AG18+AG30+'Tabell 5.2'!AG66+'Tabell 5.2'!AG78+'Tabell 5.2'!AG114</f>
        <v>0</v>
      </c>
      <c r="AH44" s="634" t="str">
        <f t="shared" si="27"/>
        <v xml:space="preserve">    ---- </v>
      </c>
      <c r="AI44" s="634">
        <f>'Tabell 5.1'!AI18+'Tabell 5.1'!AI30+'Tabell 5.1'!AI42+'Tabell 5.1'!AI54+'Tabell 5.1'!AI68+'Tabell 5.1'!AI80+'Tabell 5.1'!AI92+'Tabell 5.1'!AI104+'Tabell 5.2'!AI18+'Tabell 5.2'!AI30+'Tabell 5.2'!AI42+'Tabell 5.2'!AI54+'Tabell 5.2'!AI90+'Tabell 5.2'!AI102+'Tabell 5.2'!AI128+'Tabell 5.2'!AI140+AI18+AI30+'Tabell 5.2'!AI66+'Tabell 5.2'!AI78+'Tabell 5.2'!AI114</f>
        <v>0</v>
      </c>
      <c r="AJ44" s="634">
        <f>'Tabell 5.1'!AJ18+'Tabell 5.1'!AJ30+'Tabell 5.1'!AJ42+'Tabell 5.1'!AJ54+'Tabell 5.1'!AJ68+'Tabell 5.1'!AJ80+'Tabell 5.1'!AJ92+'Tabell 5.1'!AJ104+'Tabell 5.2'!AJ18+'Tabell 5.2'!AJ30+'Tabell 5.2'!AJ42+'Tabell 5.2'!AJ54+'Tabell 5.2'!AJ90+'Tabell 5.2'!AJ102+'Tabell 5.2'!AJ128+'Tabell 5.2'!AJ140+AJ18+AJ30+'Tabell 5.2'!AJ66+'Tabell 5.2'!AJ78+'Tabell 5.2'!AJ114</f>
        <v>0</v>
      </c>
      <c r="AK44" s="634" t="str">
        <f t="shared" si="28"/>
        <v xml:space="preserve">    ---- </v>
      </c>
      <c r="AL44" s="634">
        <f>'Tabell 5.1'!AL18+'Tabell 5.1'!AL30+'Tabell 5.1'!AL42+'Tabell 5.1'!AL54+'Tabell 5.1'!AL68+'Tabell 5.1'!AL80+'Tabell 5.1'!AL92+'Tabell 5.1'!AL104+'Tabell 5.2'!AL18+'Tabell 5.2'!AL30+'Tabell 5.2'!AL42+'Tabell 5.2'!AL54+'Tabell 5.2'!AL90+'Tabell 5.2'!AL102+'Tabell 5.2'!AL128+'Tabell 5.2'!AL140+AL18+AL30+'Tabell 5.2'!AL66+'Tabell 5.2'!AL78+'Tabell 5.2'!AL114</f>
        <v>-27</v>
      </c>
      <c r="AM44" s="634">
        <f>'Tabell 5.1'!AM18+'Tabell 5.1'!AM30+'Tabell 5.1'!AM42+'Tabell 5.1'!AM54+'Tabell 5.1'!AM68+'Tabell 5.1'!AM80+'Tabell 5.1'!AM92+'Tabell 5.1'!AM104+'Tabell 5.2'!AM18+'Tabell 5.2'!AM30+'Tabell 5.2'!AM42+'Tabell 5.2'!AM54+'Tabell 5.2'!AM90+'Tabell 5.2'!AM102+'Tabell 5.2'!AM128+'Tabell 5.2'!AM140+AM18+AM30+'Tabell 5.2'!AM66+'Tabell 5.2'!AM78+'Tabell 5.2'!AM114</f>
        <v>108.6</v>
      </c>
      <c r="AN44" s="634">
        <f t="shared" si="29"/>
        <v>-502.2</v>
      </c>
      <c r="AO44" s="634">
        <f t="shared" si="30"/>
        <v>564.74902800000007</v>
      </c>
      <c r="AP44" s="634">
        <f t="shared" si="31"/>
        <v>218.88499999999999</v>
      </c>
      <c r="AQ44" s="634">
        <f t="shared" si="32"/>
        <v>-61.2</v>
      </c>
      <c r="AR44" s="596">
        <f t="shared" si="33"/>
        <v>564.74902800000007</v>
      </c>
      <c r="AS44" s="596">
        <f t="shared" si="34"/>
        <v>218.88499999999999</v>
      </c>
      <c r="AT44" s="635">
        <f t="shared" si="35"/>
        <v>-61.2</v>
      </c>
      <c r="AU44" s="666"/>
      <c r="AV44" s="618"/>
      <c r="AW44" s="613"/>
      <c r="AX44" s="613"/>
    </row>
    <row r="45" spans="1:50" s="636" customFormat="1" ht="18.75" customHeight="1" x14ac:dyDescent="0.35">
      <c r="A45" s="588" t="s">
        <v>373</v>
      </c>
      <c r="B45" s="634">
        <f>'Tabell 5.1'!B19+'Tabell 5.1'!B31+'Tabell 5.1'!B43+'Tabell 5.1'!B55+'Tabell 5.1'!B69+'Tabell 5.1'!B81+'Tabell 5.1'!B93+'Tabell 5.1'!B105+'Tabell 5.2'!B19+'Tabell 5.2'!B31+'Tabell 5.2'!B43+'Tabell 5.2'!B55+'Tabell 5.2'!B91+'Tabell 5.2'!B103+'Tabell 5.2'!B129+'Tabell 5.2'!B141+B19+B31+'Tabell 5.2'!B67+'Tabell 5.2'!B79+'Tabell 5.2'!B115</f>
        <v>0</v>
      </c>
      <c r="C45" s="634">
        <f>'Tabell 5.1'!C19+'Tabell 5.1'!C31+'Tabell 5.1'!C43+'Tabell 5.1'!C55+'Tabell 5.1'!C69+'Tabell 5.1'!C81+'Tabell 5.1'!C93+'Tabell 5.1'!C105+'Tabell 5.2'!C19+'Tabell 5.2'!C31+'Tabell 5.2'!C43+'Tabell 5.2'!C55+'Tabell 5.2'!C91+'Tabell 5.2'!C103+'Tabell 5.2'!C129+'Tabell 5.2'!C141+C19+C31+'Tabell 5.2'!C67+'Tabell 5.2'!C79+'Tabell 5.2'!C115</f>
        <v>0</v>
      </c>
      <c r="D45" s="634" t="str">
        <f t="shared" si="17"/>
        <v xml:space="preserve">    ---- </v>
      </c>
      <c r="E45" s="634">
        <f>'Tabell 5.1'!E19+'Tabell 5.1'!E31+'Tabell 5.1'!E43+'Tabell 5.1'!E55+'Tabell 5.1'!E69+'Tabell 5.1'!E81+'Tabell 5.1'!E93+'Tabell 5.1'!E105+'Tabell 5.2'!E19+'Tabell 5.2'!E31+'Tabell 5.2'!E43+'Tabell 5.2'!E55+'Tabell 5.2'!E91+'Tabell 5.2'!E103+'Tabell 5.2'!E129+'Tabell 5.2'!E141+E19+E31+'Tabell 5.2'!E67+'Tabell 5.2'!E79+'Tabell 5.2'!E115</f>
        <v>-6</v>
      </c>
      <c r="F45" s="634"/>
      <c r="G45" s="634">
        <f t="shared" si="18"/>
        <v>-100</v>
      </c>
      <c r="H45" s="634">
        <f>'Tabell 5.1'!H19+'Tabell 5.1'!H31+'Tabell 5.1'!H43+'Tabell 5.1'!H55+'Tabell 5.1'!H69+'Tabell 5.1'!H81+'Tabell 5.1'!H93+'Tabell 5.1'!H105+'Tabell 5.2'!H19+'Tabell 5.2'!H31+'Tabell 5.2'!H43+'Tabell 5.2'!H55+'Tabell 5.2'!H91+'Tabell 5.2'!H103+'Tabell 5.2'!H129+'Tabell 5.2'!H141+H19+H31+'Tabell 5.2'!H67+'Tabell 5.2'!H79+'Tabell 5.2'!H115</f>
        <v>0</v>
      </c>
      <c r="I45" s="634">
        <f>'Tabell 5.1'!I19+'Tabell 5.1'!I31+'Tabell 5.1'!I43+'Tabell 5.1'!I55+'Tabell 5.1'!I69+'Tabell 5.1'!I81+'Tabell 5.1'!I93+'Tabell 5.1'!I105+'Tabell 5.2'!I19+'Tabell 5.2'!I31+'Tabell 5.2'!I43+'Tabell 5.2'!I55+'Tabell 5.2'!I91+'Tabell 5.2'!I103+'Tabell 5.2'!I129+'Tabell 5.2'!I141+I19+I31+'Tabell 5.2'!I67+'Tabell 5.2'!I79+'Tabell 5.2'!I115</f>
        <v>0</v>
      </c>
      <c r="J45" s="634" t="str">
        <f t="shared" si="19"/>
        <v xml:space="preserve">    ---- </v>
      </c>
      <c r="K45" s="634">
        <f>'Tabell 5.1'!K19+'Tabell 5.1'!K31+'Tabell 5.1'!K43+'Tabell 5.1'!K55+'Tabell 5.1'!K69+'Tabell 5.1'!K81+'Tabell 5.1'!K93+'Tabell 5.1'!K105+'Tabell 5.2'!K19+'Tabell 5.2'!K31+'Tabell 5.2'!K43+'Tabell 5.2'!K55+'Tabell 5.2'!K91+'Tabell 5.2'!K103+'Tabell 5.2'!K129+'Tabell 5.2'!K141+K19+K31+'Tabell 5.2'!K67+'Tabell 5.2'!K79+'Tabell 5.2'!K115</f>
        <v>0</v>
      </c>
      <c r="L45" s="634">
        <f>'Tabell 5.1'!L19+'Tabell 5.1'!L31+'Tabell 5.1'!L43+'Tabell 5.1'!L55+'Tabell 5.1'!L69+'Tabell 5.1'!L81+'Tabell 5.1'!L93+'Tabell 5.1'!L105+'Tabell 5.2'!L19+'Tabell 5.2'!L31+'Tabell 5.2'!L43+'Tabell 5.2'!L55+'Tabell 5.2'!L91+'Tabell 5.2'!L103+'Tabell 5.2'!L129+'Tabell 5.2'!L141+L19+L31+'Tabell 5.2'!L67+'Tabell 5.2'!L79+'Tabell 5.2'!L115</f>
        <v>0</v>
      </c>
      <c r="M45" s="634" t="str">
        <f t="shared" si="20"/>
        <v xml:space="preserve">    ---- </v>
      </c>
      <c r="N45" s="634">
        <f>'Tabell 5.1'!N19+'Tabell 5.1'!N31+'Tabell 5.1'!N43+'Tabell 5.1'!N55+'Tabell 5.1'!N69+'Tabell 5.1'!N81+'Tabell 5.1'!N93+'Tabell 5.1'!N105+'Tabell 5.2'!N19+'Tabell 5.2'!N31+'Tabell 5.2'!N43+'Tabell 5.2'!N55+'Tabell 5.2'!N91+'Tabell 5.2'!N103+'Tabell 5.2'!N129+'Tabell 5.2'!N141+N19+N31+'Tabell 5.2'!N67+'Tabell 5.2'!N79+'Tabell 5.2'!N115</f>
        <v>-1.0429999999999999</v>
      </c>
      <c r="O45" s="634">
        <f>'Tabell 5.1'!O19+'Tabell 5.1'!O31+'Tabell 5.1'!O43+'Tabell 5.1'!O55+'Tabell 5.1'!O69+'Tabell 5.1'!O81+'Tabell 5.1'!O93+'Tabell 5.1'!O105+'Tabell 5.2'!O19+'Tabell 5.2'!O31+'Tabell 5.2'!O43+'Tabell 5.2'!O55+'Tabell 5.2'!O91+'Tabell 5.2'!O103+'Tabell 5.2'!O129+'Tabell 5.2'!O141+O19+O31+'Tabell 5.2'!O67+'Tabell 5.2'!O79+'Tabell 5.2'!O115</f>
        <v>0</v>
      </c>
      <c r="P45" s="634">
        <f t="shared" si="21"/>
        <v>-100</v>
      </c>
      <c r="Q45" s="634">
        <f>'Tabell 5.1'!Q19+'Tabell 5.1'!Q31+'Tabell 5.1'!Q43+'Tabell 5.1'!Q55+'Tabell 5.1'!Q69+'Tabell 5.1'!Q81+'Tabell 5.1'!Q93+'Tabell 5.1'!Q105+'Tabell 5.2'!Q19+'Tabell 5.2'!Q31+'Tabell 5.2'!Q43+'Tabell 5.2'!Q55+'Tabell 5.2'!Q91+'Tabell 5.2'!Q103+'Tabell 5.2'!Q129+'Tabell 5.2'!Q141+Q19+Q31+'Tabell 5.2'!Q67+'Tabell 5.2'!Q79+'Tabell 5.2'!Q115</f>
        <v>0</v>
      </c>
      <c r="R45" s="634">
        <f>'Tabell 5.1'!R19+'Tabell 5.1'!R31+'Tabell 5.1'!R43+'Tabell 5.1'!R55+'Tabell 5.1'!R69+'Tabell 5.1'!R81+'Tabell 5.1'!R93+'Tabell 5.1'!R105+'Tabell 5.2'!R19+'Tabell 5.2'!R31+'Tabell 5.2'!R43+'Tabell 5.2'!R55+'Tabell 5.2'!R91+'Tabell 5.2'!R103+'Tabell 5.2'!R129+'Tabell 5.2'!R141+R19+R31+'Tabell 5.2'!R67+'Tabell 5.2'!R79+'Tabell 5.2'!R115</f>
        <v>0</v>
      </c>
      <c r="S45" s="634" t="str">
        <f t="shared" si="22"/>
        <v xml:space="preserve">    ---- </v>
      </c>
      <c r="T45" s="634">
        <f>'Tabell 5.1'!T19+'Tabell 5.1'!T31+'Tabell 5.1'!T43+'Tabell 5.1'!T55+'Tabell 5.1'!T69+'Tabell 5.1'!T81+'Tabell 5.1'!T93+'Tabell 5.1'!T105+'Tabell 5.2'!T19+'Tabell 5.2'!T31+'Tabell 5.2'!T43+'Tabell 5.2'!T55+'Tabell 5.2'!T91+'Tabell 5.2'!T103+'Tabell 5.2'!T129+'Tabell 5.2'!T141+T19+T31+'Tabell 5.2'!T67+'Tabell 5.2'!T79+'Tabell 5.2'!T115</f>
        <v>0</v>
      </c>
      <c r="U45" s="634">
        <f>'Tabell 5.1'!U19+'Tabell 5.1'!U31+'Tabell 5.1'!U43+'Tabell 5.1'!U55+'Tabell 5.1'!U69+'Tabell 5.1'!U81+'Tabell 5.1'!U93+'Tabell 5.1'!U105+'Tabell 5.2'!U19+'Tabell 5.2'!U31+'Tabell 5.2'!U43+'Tabell 5.2'!U55+'Tabell 5.2'!U91+'Tabell 5.2'!U103+'Tabell 5.2'!U129+'Tabell 5.2'!U141+U19+U31+'Tabell 5.2'!U67+'Tabell 5.2'!U79+'Tabell 5.2'!U115</f>
        <v>0</v>
      </c>
      <c r="V45" s="634" t="str">
        <f t="shared" si="23"/>
        <v xml:space="preserve">    ---- </v>
      </c>
      <c r="W45" s="634">
        <f>'Tabell 5.1'!W19+'Tabell 5.1'!W31+'Tabell 5.1'!W43+'Tabell 5.1'!W55+'Tabell 5.1'!W69+'Tabell 5.1'!W81+'Tabell 5.1'!W93+'Tabell 5.1'!W105+'Tabell 5.2'!W19+'Tabell 5.2'!W31+'Tabell 5.2'!W43+'Tabell 5.2'!W55+'Tabell 5.2'!W91+'Tabell 5.2'!W103+'Tabell 5.2'!W129+'Tabell 5.2'!W141+W19+W31+'Tabell 5.2'!W67+'Tabell 5.2'!W79+'Tabell 5.2'!W115</f>
        <v>0</v>
      </c>
      <c r="X45" s="634">
        <f>'Tabell 5.1'!X19+'Tabell 5.1'!X31+'Tabell 5.1'!X43+'Tabell 5.1'!X55+'Tabell 5.1'!X69+'Tabell 5.1'!X81+'Tabell 5.1'!X93+'Tabell 5.1'!X105+'Tabell 5.2'!X19+'Tabell 5.2'!X31+'Tabell 5.2'!X43+'Tabell 5.2'!X55+'Tabell 5.2'!X91+'Tabell 5.2'!X103+'Tabell 5.2'!X129+'Tabell 5.2'!X141+X19+X31+'Tabell 5.2'!X67+'Tabell 5.2'!X79+'Tabell 5.2'!X115</f>
        <v>0</v>
      </c>
      <c r="Y45" s="634" t="str">
        <f t="shared" si="24"/>
        <v xml:space="preserve">    ---- </v>
      </c>
      <c r="Z45" s="634">
        <f>'Tabell 5.1'!Z19+'Tabell 5.1'!Z31+'Tabell 5.1'!Z43+'Tabell 5.1'!Z55+'Tabell 5.1'!Z69+'Tabell 5.1'!Z81+'Tabell 5.1'!Z93+'Tabell 5.1'!Z105+'Tabell 5.2'!Z19+'Tabell 5.2'!Z31+'Tabell 5.2'!Z43+'Tabell 5.2'!Z55+'Tabell 5.2'!Z91+'Tabell 5.2'!Z103+'Tabell 5.2'!Z129+'Tabell 5.2'!Z141+Z19+Z31+'Tabell 5.2'!Z67+'Tabell 5.2'!Z79+'Tabell 5.2'!Z115</f>
        <v>-6.34</v>
      </c>
      <c r="AA45" s="634">
        <f>'Tabell 5.1'!AA19+'Tabell 5.1'!AA31+'Tabell 5.1'!AA43+'Tabell 5.1'!AA55+'Tabell 5.1'!AA69+'Tabell 5.1'!AA81+'Tabell 5.1'!AA93+'Tabell 5.1'!AA105+'Tabell 5.2'!AA19+'Tabell 5.2'!AA31+'Tabell 5.2'!AA43+'Tabell 5.2'!AA55+'Tabell 5.2'!AA91+'Tabell 5.2'!AA103+'Tabell 5.2'!AA129+'Tabell 5.2'!AA141+AA19+AA31+'Tabell 5.2'!AA67+'Tabell 5.2'!AA79+'Tabell 5.2'!AA115</f>
        <v>-14.04</v>
      </c>
      <c r="AB45" s="634">
        <f t="shared" si="25"/>
        <v>121.5</v>
      </c>
      <c r="AC45" s="634">
        <f>'Tabell 5.1'!AC19+'Tabell 5.1'!AC31+'Tabell 5.1'!AC43+'Tabell 5.1'!AC55+'Tabell 5.1'!AC69+'Tabell 5.1'!AC81+'Tabell 5.1'!AC93+'Tabell 5.1'!AC105+'Tabell 5.2'!AC19+'Tabell 5.2'!AC31+'Tabell 5.2'!AC43+'Tabell 5.2'!AC55+'Tabell 5.2'!AC91+'Tabell 5.2'!AC103+'Tabell 5.2'!AC129+'Tabell 5.2'!AC141+AC19+AC31+'Tabell 5.2'!AC67+'Tabell 5.2'!AC79+'Tabell 5.2'!AC115</f>
        <v>0</v>
      </c>
      <c r="AD45" s="634">
        <f>'Tabell 5.1'!AD19+'Tabell 5.1'!AD31+'Tabell 5.1'!AD43+'Tabell 5.1'!AD55+'Tabell 5.1'!AD69+'Tabell 5.1'!AD81+'Tabell 5.1'!AD93+'Tabell 5.1'!AD105+'Tabell 5.2'!AD19+'Tabell 5.2'!AD31+'Tabell 5.2'!AD43+'Tabell 5.2'!AD55+'Tabell 5.2'!AD91+'Tabell 5.2'!AD103+'Tabell 5.2'!AD129+'Tabell 5.2'!AD141+AD19+AD31+'Tabell 5.2'!AD67+'Tabell 5.2'!AD79+'Tabell 5.2'!AD115</f>
        <v>0</v>
      </c>
      <c r="AE45" s="634" t="str">
        <f t="shared" si="26"/>
        <v xml:space="preserve">    ---- </v>
      </c>
      <c r="AF45" s="634">
        <f>'Tabell 5.1'!AF19+'Tabell 5.1'!AF31+'Tabell 5.1'!AF43+'Tabell 5.1'!AF55+'Tabell 5.1'!AF69+'Tabell 5.1'!AF81+'Tabell 5.1'!AF93+'Tabell 5.1'!AF105+'Tabell 5.2'!AF19+'Tabell 5.2'!AF31+'Tabell 5.2'!AF43+'Tabell 5.2'!AF55+'Tabell 5.2'!AF91+'Tabell 5.2'!AF103+'Tabell 5.2'!AF129+'Tabell 5.2'!AF141+AF19+AF31+'Tabell 5.2'!AF67+'Tabell 5.2'!AF79+'Tabell 5.2'!AF115</f>
        <v>0</v>
      </c>
      <c r="AG45" s="634">
        <f>'Tabell 5.1'!AG19+'Tabell 5.1'!AG31+'Tabell 5.1'!AG43+'Tabell 5.1'!AG55+'Tabell 5.1'!AG69+'Tabell 5.1'!AG81+'Tabell 5.1'!AG93+'Tabell 5.1'!AG105+'Tabell 5.2'!AG19+'Tabell 5.2'!AG31+'Tabell 5.2'!AG43+'Tabell 5.2'!AG55+'Tabell 5.2'!AG91+'Tabell 5.2'!AG103+'Tabell 5.2'!AG129+'Tabell 5.2'!AG141+AG19+AG31+'Tabell 5.2'!AG67+'Tabell 5.2'!AG79+'Tabell 5.2'!AG115</f>
        <v>0</v>
      </c>
      <c r="AH45" s="634" t="str">
        <f t="shared" si="27"/>
        <v xml:space="preserve">    ---- </v>
      </c>
      <c r="AI45" s="634">
        <f>'Tabell 5.1'!AI19+'Tabell 5.1'!AI31+'Tabell 5.1'!AI43+'Tabell 5.1'!AI55+'Tabell 5.1'!AI69+'Tabell 5.1'!AI81+'Tabell 5.1'!AI93+'Tabell 5.1'!AI105+'Tabell 5.2'!AI19+'Tabell 5.2'!AI31+'Tabell 5.2'!AI43+'Tabell 5.2'!AI55+'Tabell 5.2'!AI91+'Tabell 5.2'!AI103+'Tabell 5.2'!AI129+'Tabell 5.2'!AI141+AI19+AI31+'Tabell 5.2'!AI67+'Tabell 5.2'!AI79+'Tabell 5.2'!AI115</f>
        <v>0</v>
      </c>
      <c r="AJ45" s="634">
        <f>'Tabell 5.1'!AJ19+'Tabell 5.1'!AJ31+'Tabell 5.1'!AJ43+'Tabell 5.1'!AJ55+'Tabell 5.1'!AJ69+'Tabell 5.1'!AJ81+'Tabell 5.1'!AJ93+'Tabell 5.1'!AJ105+'Tabell 5.2'!AJ19+'Tabell 5.2'!AJ31+'Tabell 5.2'!AJ43+'Tabell 5.2'!AJ55+'Tabell 5.2'!AJ91+'Tabell 5.2'!AJ103+'Tabell 5.2'!AJ129+'Tabell 5.2'!AJ141+AJ19+AJ31+'Tabell 5.2'!AJ67+'Tabell 5.2'!AJ79+'Tabell 5.2'!AJ115</f>
        <v>0</v>
      </c>
      <c r="AK45" s="634" t="str">
        <f t="shared" si="28"/>
        <v xml:space="preserve">    ---- </v>
      </c>
      <c r="AL45" s="634">
        <f>'Tabell 5.1'!AL19+'Tabell 5.1'!AL31+'Tabell 5.1'!AL43+'Tabell 5.1'!AL55+'Tabell 5.1'!AL69+'Tabell 5.1'!AL81+'Tabell 5.1'!AL93+'Tabell 5.1'!AL105+'Tabell 5.2'!AL19+'Tabell 5.2'!AL31+'Tabell 5.2'!AL43+'Tabell 5.2'!AL55+'Tabell 5.2'!AL91+'Tabell 5.2'!AL103+'Tabell 5.2'!AL129+'Tabell 5.2'!AL141+AL19+AL31+'Tabell 5.2'!AL67+'Tabell 5.2'!AL79+'Tabell 5.2'!AL115</f>
        <v>0</v>
      </c>
      <c r="AM45" s="634">
        <f>'Tabell 5.1'!AM19+'Tabell 5.1'!AM31+'Tabell 5.1'!AM43+'Tabell 5.1'!AM55+'Tabell 5.1'!AM69+'Tabell 5.1'!AM81+'Tabell 5.1'!AM93+'Tabell 5.1'!AM105+'Tabell 5.2'!AM19+'Tabell 5.2'!AM31+'Tabell 5.2'!AM43+'Tabell 5.2'!AM55+'Tabell 5.2'!AM91+'Tabell 5.2'!AM103+'Tabell 5.2'!AM129+'Tabell 5.2'!AM141+AM19+AM31+'Tabell 5.2'!AM67+'Tabell 5.2'!AM79+'Tabell 5.2'!AM115</f>
        <v>51</v>
      </c>
      <c r="AN45" s="634" t="str">
        <f t="shared" si="29"/>
        <v xml:space="preserve">    ---- </v>
      </c>
      <c r="AO45" s="634">
        <f t="shared" si="30"/>
        <v>-13.382999999999999</v>
      </c>
      <c r="AP45" s="634">
        <f t="shared" si="31"/>
        <v>36.96</v>
      </c>
      <c r="AQ45" s="634">
        <f t="shared" si="32"/>
        <v>-376.2</v>
      </c>
      <c r="AR45" s="596">
        <f t="shared" si="33"/>
        <v>-13.382999999999999</v>
      </c>
      <c r="AS45" s="596">
        <f t="shared" si="34"/>
        <v>36.96</v>
      </c>
      <c r="AT45" s="635">
        <f t="shared" si="35"/>
        <v>-376.2</v>
      </c>
      <c r="AU45" s="666"/>
      <c r="AV45" s="618"/>
      <c r="AW45" s="613"/>
      <c r="AX45" s="613"/>
    </row>
    <row r="46" spans="1:50" s="639" customFormat="1" ht="18.75" customHeight="1" x14ac:dyDescent="0.3">
      <c r="A46" s="583" t="s">
        <v>374</v>
      </c>
      <c r="B46" s="632">
        <f>'Tabell 5.1'!B20+'Tabell 5.1'!B32+'Tabell 5.1'!B44+'Tabell 5.1'!B56+'Tabell 5.1'!B70+'Tabell 5.1'!B82+'Tabell 5.1'!B94+'Tabell 5.1'!B106+'Tabell 5.2'!B20+'Tabell 5.2'!B32+'Tabell 5.2'!B44+'Tabell 5.2'!B56+'Tabell 5.2'!B92+'Tabell 5.2'!B104+'Tabell 5.2'!B130+'Tabell 5.2'!B142+B20+B32+'Tabell 5.2'!B68+'Tabell 5.2'!B80+'Tabell 5.2'!B116</f>
        <v>106.351</v>
      </c>
      <c r="C46" s="632">
        <f>'Tabell 5.1'!C20+'Tabell 5.1'!C32+'Tabell 5.1'!C44+'Tabell 5.1'!C56+'Tabell 5.1'!C70+'Tabell 5.1'!C82+'Tabell 5.1'!C94+'Tabell 5.1'!C106+'Tabell 5.2'!C20+'Tabell 5.2'!C32+'Tabell 5.2'!C44+'Tabell 5.2'!C56+'Tabell 5.2'!C92+'Tabell 5.2'!C104+'Tabell 5.2'!C130+'Tabell 5.2'!C142+C20+C32+'Tabell 5.2'!C68+'Tabell 5.2'!C80+'Tabell 5.2'!C116</f>
        <v>153.12</v>
      </c>
      <c r="D46" s="632">
        <f t="shared" si="17"/>
        <v>44</v>
      </c>
      <c r="E46" s="632">
        <f>'Tabell 5.1'!E20+'Tabell 5.1'!E32+'Tabell 5.1'!E44+'Tabell 5.1'!E56+'Tabell 5.1'!E70+'Tabell 5.1'!E82+'Tabell 5.1'!E94+'Tabell 5.1'!E106+'Tabell 5.2'!E20+'Tabell 5.2'!E32+'Tabell 5.2'!E44+'Tabell 5.2'!E56+'Tabell 5.2'!E92+'Tabell 5.2'!E104+'Tabell 5.2'!E130+'Tabell 5.2'!E142+E20+E32+'Tabell 5.2'!E68+'Tabell 5.2'!E80+'Tabell 5.2'!E116</f>
        <v>-50</v>
      </c>
      <c r="F46" s="632"/>
      <c r="G46" s="632">
        <f t="shared" si="18"/>
        <v>-100</v>
      </c>
      <c r="H46" s="632">
        <f>'Tabell 5.1'!H20+'Tabell 5.1'!H32+'Tabell 5.1'!H44+'Tabell 5.1'!H56+'Tabell 5.1'!H70+'Tabell 5.1'!H82+'Tabell 5.1'!H94+'Tabell 5.1'!H106+'Tabell 5.2'!H20+'Tabell 5.2'!H32+'Tabell 5.2'!H44+'Tabell 5.2'!H56+'Tabell 5.2'!H92+'Tabell 5.2'!H104+'Tabell 5.2'!H130+'Tabell 5.2'!H142+H20+H32+'Tabell 5.2'!H68+'Tabell 5.2'!H80+'Tabell 5.2'!H116</f>
        <v>9100.9</v>
      </c>
      <c r="I46" s="632">
        <f>'Tabell 5.1'!I20+'Tabell 5.1'!I32+'Tabell 5.1'!I44+'Tabell 5.1'!I56+'Tabell 5.1'!I70+'Tabell 5.1'!I82+'Tabell 5.1'!I94+'Tabell 5.1'!I106+'Tabell 5.2'!I20+'Tabell 5.2'!I32+'Tabell 5.2'!I44+'Tabell 5.2'!I56+'Tabell 5.2'!I92+'Tabell 5.2'!I104+'Tabell 5.2'!I130+'Tabell 5.2'!I142+I20+I32+'Tabell 5.2'!I68+'Tabell 5.2'!I80+'Tabell 5.2'!I116</f>
        <v>16843.72067891667</v>
      </c>
      <c r="J46" s="632">
        <f t="shared" si="19"/>
        <v>85.1</v>
      </c>
      <c r="K46" s="632">
        <f>'Tabell 5.1'!K20+'Tabell 5.1'!K32+'Tabell 5.1'!K44+'Tabell 5.1'!K56+'Tabell 5.1'!K70+'Tabell 5.1'!K82+'Tabell 5.1'!K94+'Tabell 5.1'!K106+'Tabell 5.2'!K20+'Tabell 5.2'!K32+'Tabell 5.2'!K44+'Tabell 5.2'!K56+'Tabell 5.2'!K92+'Tabell 5.2'!K104+'Tabell 5.2'!K130+'Tabell 5.2'!K142+K20+K32+'Tabell 5.2'!K68+'Tabell 5.2'!K80+'Tabell 5.2'!K116</f>
        <v>296.89999999999998</v>
      </c>
      <c r="L46" s="632">
        <f>'Tabell 5.1'!L20+'Tabell 5.1'!L32+'Tabell 5.1'!L44+'Tabell 5.1'!L56+'Tabell 5.1'!L70+'Tabell 5.1'!L82+'Tabell 5.1'!L94+'Tabell 5.1'!L106+'Tabell 5.2'!L20+'Tabell 5.2'!L32+'Tabell 5.2'!L44+'Tabell 5.2'!L56+'Tabell 5.2'!L92+'Tabell 5.2'!L104+'Tabell 5.2'!L130+'Tabell 5.2'!L142+L20+L32+'Tabell 5.2'!L68+'Tabell 5.2'!L80+'Tabell 5.2'!L116</f>
        <v>664300.02827000013</v>
      </c>
      <c r="M46" s="632">
        <f t="shared" si="20"/>
        <v>999</v>
      </c>
      <c r="N46" s="632">
        <f>'Tabell 5.1'!N20+'Tabell 5.1'!N32+'Tabell 5.1'!N44+'Tabell 5.1'!N56+'Tabell 5.1'!N70+'Tabell 5.1'!N82+'Tabell 5.1'!N94+'Tabell 5.1'!N106+'Tabell 5.2'!N20+'Tabell 5.2'!N32+'Tabell 5.2'!N44+'Tabell 5.2'!N56+'Tabell 5.2'!N92+'Tabell 5.2'!N104+'Tabell 5.2'!N130+'Tabell 5.2'!N142+N20+N32+'Tabell 5.2'!N68+'Tabell 5.2'!N80+'Tabell 5.2'!N116</f>
        <v>354.32</v>
      </c>
      <c r="O46" s="632">
        <f>'Tabell 5.1'!O20+'Tabell 5.1'!O32+'Tabell 5.1'!O44+'Tabell 5.1'!O56+'Tabell 5.1'!O70+'Tabell 5.1'!O82+'Tabell 5.1'!O94+'Tabell 5.1'!O106+'Tabell 5.2'!O20+'Tabell 5.2'!O32+'Tabell 5.2'!O44+'Tabell 5.2'!O56+'Tabell 5.2'!O92+'Tabell 5.2'!O104+'Tabell 5.2'!O130+'Tabell 5.2'!O142+O20+O32+'Tabell 5.2'!O68+'Tabell 5.2'!O80+'Tabell 5.2'!O116</f>
        <v>105.32899999999998</v>
      </c>
      <c r="P46" s="632">
        <f t="shared" si="21"/>
        <v>-70.3</v>
      </c>
      <c r="Q46" s="632">
        <f>'Tabell 5.1'!Q20+'Tabell 5.1'!Q32+'Tabell 5.1'!Q44+'Tabell 5.1'!Q56+'Tabell 5.1'!Q70+'Tabell 5.1'!Q82+'Tabell 5.1'!Q94+'Tabell 5.1'!Q106+'Tabell 5.2'!Q20+'Tabell 5.2'!Q32+'Tabell 5.2'!Q44+'Tabell 5.2'!Q56+'Tabell 5.2'!Q92+'Tabell 5.2'!Q104+'Tabell 5.2'!Q130+'Tabell 5.2'!Q142+Q20+Q32+'Tabell 5.2'!Q68+'Tabell 5.2'!Q80+'Tabell 5.2'!Q116</f>
        <v>178.29999999999998</v>
      </c>
      <c r="R46" s="632">
        <f>'Tabell 5.1'!R20+'Tabell 5.1'!R32+'Tabell 5.1'!R44+'Tabell 5.1'!R56+'Tabell 5.1'!R70+'Tabell 5.1'!R82+'Tabell 5.1'!R94+'Tabell 5.1'!R106+'Tabell 5.2'!R20+'Tabell 5.2'!R32+'Tabell 5.2'!R44+'Tabell 5.2'!R56+'Tabell 5.2'!R92+'Tabell 5.2'!R104+'Tabell 5.2'!R130+'Tabell 5.2'!R142+R20+R32+'Tabell 5.2'!R68+'Tabell 5.2'!R80+'Tabell 5.2'!R116</f>
        <v>273.09999999999997</v>
      </c>
      <c r="S46" s="632">
        <f t="shared" si="22"/>
        <v>53.2</v>
      </c>
      <c r="T46" s="632">
        <f>'Tabell 5.1'!T20+'Tabell 5.1'!T32+'Tabell 5.1'!T44+'Tabell 5.1'!T56+'Tabell 5.1'!T70+'Tabell 5.1'!T82+'Tabell 5.1'!T94+'Tabell 5.1'!T106+'Tabell 5.2'!T20+'Tabell 5.2'!T32+'Tabell 5.2'!T44+'Tabell 5.2'!T56+'Tabell 5.2'!T92+'Tabell 5.2'!T104+'Tabell 5.2'!T130+'Tabell 5.2'!T142+T20+T32+'Tabell 5.2'!T68+'Tabell 5.2'!T80+'Tabell 5.2'!T116</f>
        <v>14.12507901</v>
      </c>
      <c r="U46" s="632">
        <f>'Tabell 5.1'!U20+'Tabell 5.1'!U32+'Tabell 5.1'!U44+'Tabell 5.1'!U56+'Tabell 5.1'!U70+'Tabell 5.1'!U82+'Tabell 5.1'!U94+'Tabell 5.1'!U106+'Tabell 5.2'!U20+'Tabell 5.2'!U32+'Tabell 5.2'!U44+'Tabell 5.2'!U56+'Tabell 5.2'!U92+'Tabell 5.2'!U104+'Tabell 5.2'!U130+'Tabell 5.2'!U142+U20+U32+'Tabell 5.2'!U68+'Tabell 5.2'!U80+'Tabell 5.2'!U116</f>
        <v>13.189907406579689</v>
      </c>
      <c r="V46" s="632">
        <f t="shared" si="23"/>
        <v>-6.6</v>
      </c>
      <c r="W46" s="632">
        <f>'Tabell 5.1'!W20+'Tabell 5.1'!W32+'Tabell 5.1'!W44+'Tabell 5.1'!W56+'Tabell 5.1'!W70+'Tabell 5.1'!W82+'Tabell 5.1'!W94+'Tabell 5.1'!W106+'Tabell 5.2'!W20+'Tabell 5.2'!W32+'Tabell 5.2'!W44+'Tabell 5.2'!W56+'Tabell 5.2'!W92+'Tabell 5.2'!W104+'Tabell 5.2'!W130+'Tabell 5.2'!W142+W20+W32+'Tabell 5.2'!W68+'Tabell 5.2'!W80+'Tabell 5.2'!W116</f>
        <v>12877.09737450027</v>
      </c>
      <c r="X46" s="632">
        <f>'Tabell 5.1'!X20+'Tabell 5.1'!X32+'Tabell 5.1'!X44+'Tabell 5.1'!X56+'Tabell 5.1'!X70+'Tabell 5.1'!X82+'Tabell 5.1'!X94+'Tabell 5.1'!X106+'Tabell 5.2'!X20+'Tabell 5.2'!X32+'Tabell 5.2'!X44+'Tabell 5.2'!X56+'Tabell 5.2'!X92+'Tabell 5.2'!X104+'Tabell 5.2'!X130+'Tabell 5.2'!X142+X20+X32+'Tabell 5.2'!X68+'Tabell 5.2'!X80+'Tabell 5.2'!X116</f>
        <v>16008.91198553809</v>
      </c>
      <c r="Y46" s="632">
        <f t="shared" si="24"/>
        <v>24.3</v>
      </c>
      <c r="Z46" s="632">
        <f>'Tabell 5.1'!Z20+'Tabell 5.1'!Z32+'Tabell 5.1'!Z44+'Tabell 5.1'!Z56+'Tabell 5.1'!Z70+'Tabell 5.1'!Z82+'Tabell 5.1'!Z94+'Tabell 5.1'!Z106+'Tabell 5.2'!Z20+'Tabell 5.2'!Z32+'Tabell 5.2'!Z44+'Tabell 5.2'!Z56+'Tabell 5.2'!Z92+'Tabell 5.2'!Z104+'Tabell 5.2'!Z130+'Tabell 5.2'!Z142+Z20+Z32+'Tabell 5.2'!Z68+'Tabell 5.2'!Z80+'Tabell 5.2'!Z116</f>
        <v>781.92</v>
      </c>
      <c r="AA46" s="632">
        <f>'Tabell 5.1'!AA20+'Tabell 5.1'!AA32+'Tabell 5.1'!AA44+'Tabell 5.1'!AA56+'Tabell 5.1'!AA70+'Tabell 5.1'!AA82+'Tabell 5.1'!AA94+'Tabell 5.1'!AA106+'Tabell 5.2'!AA20+'Tabell 5.2'!AA32+'Tabell 5.2'!AA44+'Tabell 5.2'!AA56+'Tabell 5.2'!AA92+'Tabell 5.2'!AA104+'Tabell 5.2'!AA130+'Tabell 5.2'!AA142+AA20+AA32+'Tabell 5.2'!AA68+'Tabell 5.2'!AA80+'Tabell 5.2'!AA116</f>
        <v>1383.94</v>
      </c>
      <c r="AB46" s="632">
        <f t="shared" si="25"/>
        <v>77</v>
      </c>
      <c r="AC46" s="632">
        <f>'Tabell 5.1'!AC20+'Tabell 5.1'!AC32+'Tabell 5.1'!AC44+'Tabell 5.1'!AC56+'Tabell 5.1'!AC70+'Tabell 5.1'!AC82+'Tabell 5.1'!AC94+'Tabell 5.1'!AC106+'Tabell 5.2'!AC20+'Tabell 5.2'!AC32+'Tabell 5.2'!AC44+'Tabell 5.2'!AC56+'Tabell 5.2'!AC92+'Tabell 5.2'!AC104+'Tabell 5.2'!AC130+'Tabell 5.2'!AC142+AC20+AC32+'Tabell 5.2'!AC68+'Tabell 5.2'!AC80+'Tabell 5.2'!AC116</f>
        <v>4893</v>
      </c>
      <c r="AD46" s="632">
        <f>'Tabell 5.1'!AD20+'Tabell 5.1'!AD32+'Tabell 5.1'!AD44+'Tabell 5.1'!AD56+'Tabell 5.1'!AD70+'Tabell 5.1'!AD82+'Tabell 5.1'!AD94+'Tabell 5.1'!AD106+'Tabell 5.2'!AD20+'Tabell 5.2'!AD32+'Tabell 5.2'!AD44+'Tabell 5.2'!AD56+'Tabell 5.2'!AD92+'Tabell 5.2'!AD104+'Tabell 5.2'!AD130+'Tabell 5.2'!AD142+AD20+AD32+'Tabell 5.2'!AD68+'Tabell 5.2'!AD80+'Tabell 5.2'!AD116</f>
        <v>5374</v>
      </c>
      <c r="AE46" s="632">
        <f t="shared" si="26"/>
        <v>9.8000000000000007</v>
      </c>
      <c r="AF46" s="632">
        <f>'Tabell 5.1'!AF20+'Tabell 5.1'!AF32+'Tabell 5.1'!AF44+'Tabell 5.1'!AF56+'Tabell 5.1'!AF70+'Tabell 5.1'!AF82+'Tabell 5.1'!AF94+'Tabell 5.1'!AF106+'Tabell 5.2'!AF20+'Tabell 5.2'!AF32+'Tabell 5.2'!AF44+'Tabell 5.2'!AF56+'Tabell 5.2'!AF92+'Tabell 5.2'!AF104+'Tabell 5.2'!AF130+'Tabell 5.2'!AF142+AF20+AF32+'Tabell 5.2'!AF68+'Tabell 5.2'!AF80+'Tabell 5.2'!AF116</f>
        <v>13.56757828393199</v>
      </c>
      <c r="AG46" s="632">
        <f>'Tabell 5.1'!AG20+'Tabell 5.1'!AG32+'Tabell 5.1'!AG44+'Tabell 5.1'!AG56+'Tabell 5.1'!AG70+'Tabell 5.1'!AG82+'Tabell 5.1'!AG94+'Tabell 5.1'!AG106+'Tabell 5.2'!AG20+'Tabell 5.2'!AG32+'Tabell 5.2'!AG44+'Tabell 5.2'!AG56+'Tabell 5.2'!AG92+'Tabell 5.2'!AG104+'Tabell 5.2'!AG130+'Tabell 5.2'!AG142+AG20+AG32+'Tabell 5.2'!AG68+'Tabell 5.2'!AG80+'Tabell 5.2'!AG116</f>
        <v>17.223387889999959</v>
      </c>
      <c r="AH46" s="632">
        <f t="shared" si="27"/>
        <v>26.9</v>
      </c>
      <c r="AI46" s="632">
        <f>'Tabell 5.1'!AI20+'Tabell 5.1'!AI32+'Tabell 5.1'!AI44+'Tabell 5.1'!AI56+'Tabell 5.1'!AI70+'Tabell 5.1'!AI82+'Tabell 5.1'!AI94+'Tabell 5.1'!AI106+'Tabell 5.2'!AI20+'Tabell 5.2'!AI32+'Tabell 5.2'!AI44+'Tabell 5.2'!AI56+'Tabell 5.2'!AI92+'Tabell 5.2'!AI104+'Tabell 5.2'!AI130+'Tabell 5.2'!AI142+AI20+AI32+'Tabell 5.2'!AI68+'Tabell 5.2'!AI80+'Tabell 5.2'!AI116</f>
        <v>200</v>
      </c>
      <c r="AJ46" s="632">
        <f>'Tabell 5.1'!AJ20+'Tabell 5.1'!AJ32+'Tabell 5.1'!AJ44+'Tabell 5.1'!AJ56+'Tabell 5.1'!AJ70+'Tabell 5.1'!AJ82+'Tabell 5.1'!AJ94+'Tabell 5.1'!AJ106+'Tabell 5.2'!AJ20+'Tabell 5.2'!AJ32+'Tabell 5.2'!AJ44+'Tabell 5.2'!AJ56+'Tabell 5.2'!AJ92+'Tabell 5.2'!AJ104+'Tabell 5.2'!AJ130+'Tabell 5.2'!AJ142+AJ20+AJ32+'Tabell 5.2'!AJ68+'Tabell 5.2'!AJ80+'Tabell 5.2'!AJ116</f>
        <v>1639</v>
      </c>
      <c r="AK46" s="632">
        <f t="shared" si="28"/>
        <v>719.5</v>
      </c>
      <c r="AL46" s="632">
        <f>'Tabell 5.1'!AL20+'Tabell 5.1'!AL32+'Tabell 5.1'!AL44+'Tabell 5.1'!AL56+'Tabell 5.1'!AL70+'Tabell 5.1'!AL82+'Tabell 5.1'!AL94+'Tabell 5.1'!AL106+'Tabell 5.2'!AL20+'Tabell 5.2'!AL32+'Tabell 5.2'!AL44+'Tabell 5.2'!AL56+'Tabell 5.2'!AL92+'Tabell 5.2'!AL104+'Tabell 5.2'!AL130+'Tabell 5.2'!AL142+AL20+AL32+'Tabell 5.2'!AL68+'Tabell 5.2'!AL80+'Tabell 5.2'!AL116</f>
        <v>1512.75</v>
      </c>
      <c r="AM46" s="632">
        <f>'Tabell 5.1'!AM20+'Tabell 5.1'!AM32+'Tabell 5.1'!AM44+'Tabell 5.1'!AM56+'Tabell 5.1'!AM70+'Tabell 5.1'!AM82+'Tabell 5.1'!AM94+'Tabell 5.1'!AM106+'Tabell 5.2'!AM20+'Tabell 5.2'!AM32+'Tabell 5.2'!AM44+'Tabell 5.2'!AM56+'Tabell 5.2'!AM92+'Tabell 5.2'!AM104+'Tabell 5.2'!AM130+'Tabell 5.2'!AM142+AM20+AM32+'Tabell 5.2'!AM68+'Tabell 5.2'!AM80+'Tabell 5.2'!AM116</f>
        <v>2810.5</v>
      </c>
      <c r="AN46" s="632">
        <f t="shared" si="29"/>
        <v>85.8</v>
      </c>
      <c r="AO46" s="632">
        <f t="shared" si="30"/>
        <v>30251.538374500269</v>
      </c>
      <c r="AP46" s="632">
        <f t="shared" si="31"/>
        <v>708891.64993445482</v>
      </c>
      <c r="AQ46" s="632">
        <f t="shared" si="32"/>
        <v>999</v>
      </c>
      <c r="AR46" s="598">
        <f t="shared" si="33"/>
        <v>30279.231031794199</v>
      </c>
      <c r="AS46" s="598">
        <f t="shared" si="34"/>
        <v>708922.06322975142</v>
      </c>
      <c r="AT46" s="633">
        <f t="shared" si="35"/>
        <v>999</v>
      </c>
      <c r="AU46" s="667"/>
      <c r="AV46" s="616"/>
      <c r="AW46" s="638"/>
      <c r="AX46" s="638"/>
    </row>
    <row r="47" spans="1:50" s="636" customFormat="1" ht="18.75" customHeight="1" x14ac:dyDescent="0.35">
      <c r="A47" s="588" t="s">
        <v>375</v>
      </c>
      <c r="B47" s="634">
        <f>'Tabell 5.1'!B21+'Tabell 5.1'!B33+'Tabell 5.1'!B45+'Tabell 5.1'!B57+'Tabell 5.1'!B71+'Tabell 5.1'!B83+'Tabell 5.1'!B95+'Tabell 5.1'!B107+'Tabell 5.2'!B21+'Tabell 5.2'!B33+'Tabell 5.2'!B45+'Tabell 5.2'!B57+'Tabell 5.2'!B93+'Tabell 5.2'!B105+'Tabell 5.2'!B131+'Tabell 5.2'!B143+B21+B33+'Tabell 5.2'!B69+'Tabell 5.2'!B81+'Tabell 5.2'!B117</f>
        <v>2.1309999999999998</v>
      </c>
      <c r="C47" s="634">
        <f>'Tabell 5.1'!C21+'Tabell 5.1'!C33+'Tabell 5.1'!C45+'Tabell 5.1'!C57+'Tabell 5.1'!C71+'Tabell 5.1'!C83+'Tabell 5.1'!C95+'Tabell 5.1'!C107+'Tabell 5.2'!C21+'Tabell 5.2'!C33+'Tabell 5.2'!C45+'Tabell 5.2'!C57+'Tabell 5.2'!C93+'Tabell 5.2'!C105+'Tabell 5.2'!C131+'Tabell 5.2'!C143+C21+C33+'Tabell 5.2'!C69+'Tabell 5.2'!C81+'Tabell 5.2'!C117</f>
        <v>8.161999999999999</v>
      </c>
      <c r="D47" s="634">
        <f t="shared" si="17"/>
        <v>283</v>
      </c>
      <c r="E47" s="634">
        <f>'Tabell 5.1'!E21+'Tabell 5.1'!E33+'Tabell 5.1'!E45+'Tabell 5.1'!E57+'Tabell 5.1'!E71+'Tabell 5.1'!E83+'Tabell 5.1'!E95+'Tabell 5.1'!E107+'Tabell 5.2'!E21+'Tabell 5.2'!E33+'Tabell 5.2'!E45+'Tabell 5.2'!E57+'Tabell 5.2'!E93+'Tabell 5.2'!E105+'Tabell 5.2'!E131+'Tabell 5.2'!E143+E21+E33+'Tabell 5.2'!E69+'Tabell 5.2'!E81+'Tabell 5.2'!E117</f>
        <v>16</v>
      </c>
      <c r="F47" s="634"/>
      <c r="G47" s="634">
        <f t="shared" si="18"/>
        <v>-100</v>
      </c>
      <c r="H47" s="634">
        <f>'Tabell 5.1'!H21+'Tabell 5.1'!H33+'Tabell 5.1'!H45+'Tabell 5.1'!H57+'Tabell 5.1'!H71+'Tabell 5.1'!H83+'Tabell 5.1'!H95+'Tabell 5.1'!H107+'Tabell 5.2'!H21+'Tabell 5.2'!H33+'Tabell 5.2'!H45+'Tabell 5.2'!H57+'Tabell 5.2'!H93+'Tabell 5.2'!H105+'Tabell 5.2'!H131+'Tabell 5.2'!H143+H21+H33+'Tabell 5.2'!H69+'Tabell 5.2'!H81+'Tabell 5.2'!H117</f>
        <v>8067.2</v>
      </c>
      <c r="I47" s="634">
        <f>'Tabell 5.1'!I21+'Tabell 5.1'!I33+'Tabell 5.1'!I45+'Tabell 5.1'!I57+'Tabell 5.1'!I71+'Tabell 5.1'!I83+'Tabell 5.1'!I95+'Tabell 5.1'!I107+'Tabell 5.2'!I21+'Tabell 5.2'!I33+'Tabell 5.2'!I45+'Tabell 5.2'!I57+'Tabell 5.2'!I93+'Tabell 5.2'!I105+'Tabell 5.2'!I131+'Tabell 5.2'!I143+I21+I33+'Tabell 5.2'!I69+'Tabell 5.2'!I81+'Tabell 5.2'!I117</f>
        <v>15830.408393537022</v>
      </c>
      <c r="J47" s="634">
        <f t="shared" si="19"/>
        <v>96.2</v>
      </c>
      <c r="K47" s="634">
        <f>'Tabell 5.1'!K21+'Tabell 5.1'!K33+'Tabell 5.1'!K45+'Tabell 5.1'!K57+'Tabell 5.1'!K71+'Tabell 5.1'!K83+'Tabell 5.1'!K95+'Tabell 5.1'!K107+'Tabell 5.2'!K21+'Tabell 5.2'!K33+'Tabell 5.2'!K45+'Tabell 5.2'!K57+'Tabell 5.2'!K93+'Tabell 5.2'!K105+'Tabell 5.2'!K131+'Tabell 5.2'!K143+K21+K33+'Tabell 5.2'!K69+'Tabell 5.2'!K81+'Tabell 5.2'!K117</f>
        <v>0</v>
      </c>
      <c r="L47" s="634">
        <f>'Tabell 5.1'!L21+'Tabell 5.1'!L33+'Tabell 5.1'!L45+'Tabell 5.1'!L57+'Tabell 5.1'!L71+'Tabell 5.1'!L83+'Tabell 5.1'!L95+'Tabell 5.1'!L107+'Tabell 5.2'!L21+'Tabell 5.2'!L33+'Tabell 5.2'!L45+'Tabell 5.2'!L57+'Tabell 5.2'!L93+'Tabell 5.2'!L105+'Tabell 5.2'!L131+'Tabell 5.2'!L143+L21+L33+'Tabell 5.2'!L69+'Tabell 5.2'!L81+'Tabell 5.2'!L117</f>
        <v>0</v>
      </c>
      <c r="M47" s="634" t="str">
        <f t="shared" si="20"/>
        <v xml:space="preserve">    ---- </v>
      </c>
      <c r="N47" s="634">
        <f>'Tabell 5.1'!N21+'Tabell 5.1'!N33+'Tabell 5.1'!N45+'Tabell 5.1'!N57+'Tabell 5.1'!N71+'Tabell 5.1'!N83+'Tabell 5.1'!N95+'Tabell 5.1'!N107+'Tabell 5.2'!N21+'Tabell 5.2'!N33+'Tabell 5.2'!N45+'Tabell 5.2'!N57+'Tabell 5.2'!N93+'Tabell 5.2'!N105+'Tabell 5.2'!N131+'Tabell 5.2'!N143+N21+N33+'Tabell 5.2'!N69+'Tabell 5.2'!N81+'Tabell 5.2'!N117</f>
        <v>0</v>
      </c>
      <c r="O47" s="634">
        <f>'Tabell 5.1'!O21+'Tabell 5.1'!O33+'Tabell 5.1'!O45+'Tabell 5.1'!O57+'Tabell 5.1'!O71+'Tabell 5.1'!O83+'Tabell 5.1'!O95+'Tabell 5.1'!O107+'Tabell 5.2'!O21+'Tabell 5.2'!O33+'Tabell 5.2'!O45+'Tabell 5.2'!O57+'Tabell 5.2'!O93+'Tabell 5.2'!O105+'Tabell 5.2'!O131+'Tabell 5.2'!O143+O21+O33+'Tabell 5.2'!O69+'Tabell 5.2'!O81+'Tabell 5.2'!O117</f>
        <v>0</v>
      </c>
      <c r="P47" s="634" t="str">
        <f t="shared" si="21"/>
        <v xml:space="preserve">    ---- </v>
      </c>
      <c r="Q47" s="634">
        <f>'Tabell 5.1'!Q21+'Tabell 5.1'!Q33+'Tabell 5.1'!Q45+'Tabell 5.1'!Q57+'Tabell 5.1'!Q71+'Tabell 5.1'!Q83+'Tabell 5.1'!Q95+'Tabell 5.1'!Q107+'Tabell 5.2'!Q21+'Tabell 5.2'!Q33+'Tabell 5.2'!Q45+'Tabell 5.2'!Q57+'Tabell 5.2'!Q93+'Tabell 5.2'!Q105+'Tabell 5.2'!Q131+'Tabell 5.2'!Q143+Q21+Q33+'Tabell 5.2'!Q69+'Tabell 5.2'!Q81+'Tabell 5.2'!Q117</f>
        <v>17.7</v>
      </c>
      <c r="R47" s="634">
        <f>'Tabell 5.1'!R21+'Tabell 5.1'!R33+'Tabell 5.1'!R45+'Tabell 5.1'!R57+'Tabell 5.1'!R71+'Tabell 5.1'!R83+'Tabell 5.1'!R95+'Tabell 5.1'!R107+'Tabell 5.2'!R21+'Tabell 5.2'!R33+'Tabell 5.2'!R45+'Tabell 5.2'!R57+'Tabell 5.2'!R93+'Tabell 5.2'!R105+'Tabell 5.2'!R131+'Tabell 5.2'!R143+R21+R33+'Tabell 5.2'!R69+'Tabell 5.2'!R81+'Tabell 5.2'!R117</f>
        <v>59.900000000000006</v>
      </c>
      <c r="S47" s="634">
        <f t="shared" si="22"/>
        <v>238.4</v>
      </c>
      <c r="T47" s="634">
        <f>'Tabell 5.1'!T21+'Tabell 5.1'!T33+'Tabell 5.1'!T45+'Tabell 5.1'!T57+'Tabell 5.1'!T71+'Tabell 5.1'!T83+'Tabell 5.1'!T95+'Tabell 5.1'!T107+'Tabell 5.2'!T21+'Tabell 5.2'!T33+'Tabell 5.2'!T45+'Tabell 5.2'!T57+'Tabell 5.2'!T93+'Tabell 5.2'!T105+'Tabell 5.2'!T131+'Tabell 5.2'!T143+T21+T33+'Tabell 5.2'!T69+'Tabell 5.2'!T81+'Tabell 5.2'!T117</f>
        <v>0</v>
      </c>
      <c r="U47" s="634">
        <f>'Tabell 5.1'!U21+'Tabell 5.1'!U33+'Tabell 5.1'!U45+'Tabell 5.1'!U57+'Tabell 5.1'!U71+'Tabell 5.1'!U83+'Tabell 5.1'!U95+'Tabell 5.1'!U107+'Tabell 5.2'!U21+'Tabell 5.2'!U33+'Tabell 5.2'!U45+'Tabell 5.2'!U57+'Tabell 5.2'!U93+'Tabell 5.2'!U105+'Tabell 5.2'!U131+'Tabell 5.2'!U143+U21+U33+'Tabell 5.2'!U69+'Tabell 5.2'!U81+'Tabell 5.2'!U117</f>
        <v>0</v>
      </c>
      <c r="V47" s="634" t="str">
        <f t="shared" si="23"/>
        <v xml:space="preserve">    ---- </v>
      </c>
      <c r="W47" s="634">
        <f>'Tabell 5.1'!W21+'Tabell 5.1'!W33+'Tabell 5.1'!W45+'Tabell 5.1'!W57+'Tabell 5.1'!W71+'Tabell 5.1'!W83+'Tabell 5.1'!W95+'Tabell 5.1'!W107+'Tabell 5.2'!W21+'Tabell 5.2'!W33+'Tabell 5.2'!W45+'Tabell 5.2'!W57+'Tabell 5.2'!W93+'Tabell 5.2'!W105+'Tabell 5.2'!W131+'Tabell 5.2'!W143+W21+W33+'Tabell 5.2'!W69+'Tabell 5.2'!W81+'Tabell 5.2'!W117</f>
        <v>12350.488425966603</v>
      </c>
      <c r="X47" s="634">
        <f>'Tabell 5.1'!X21+'Tabell 5.1'!X33+'Tabell 5.1'!X45+'Tabell 5.1'!X57+'Tabell 5.1'!X71+'Tabell 5.1'!X83+'Tabell 5.1'!X95+'Tabell 5.1'!X107+'Tabell 5.2'!X21+'Tabell 5.2'!X33+'Tabell 5.2'!X45+'Tabell 5.2'!X57+'Tabell 5.2'!X93+'Tabell 5.2'!X105+'Tabell 5.2'!X131+'Tabell 5.2'!X143+X21+X33+'Tabell 5.2'!X69+'Tabell 5.2'!X81+'Tabell 5.2'!X117</f>
        <v>16796.005419137167</v>
      </c>
      <c r="Y47" s="634">
        <f t="shared" si="24"/>
        <v>36</v>
      </c>
      <c r="Z47" s="634">
        <f>'Tabell 5.1'!Z21+'Tabell 5.1'!Z33+'Tabell 5.1'!Z45+'Tabell 5.1'!Z57+'Tabell 5.1'!Z71+'Tabell 5.1'!Z83+'Tabell 5.1'!Z95+'Tabell 5.1'!Z107+'Tabell 5.2'!Z21+'Tabell 5.2'!Z33+'Tabell 5.2'!Z45+'Tabell 5.2'!Z57+'Tabell 5.2'!Z93+'Tabell 5.2'!Z105+'Tabell 5.2'!Z131+'Tabell 5.2'!Z143+Z21+Z33+'Tabell 5.2'!Z69+'Tabell 5.2'!Z81+'Tabell 5.2'!Z117</f>
        <v>119.24000000000001</v>
      </c>
      <c r="AA47" s="634">
        <f>'Tabell 5.1'!AA21+'Tabell 5.1'!AA33+'Tabell 5.1'!AA45+'Tabell 5.1'!AA57+'Tabell 5.1'!AA71+'Tabell 5.1'!AA83+'Tabell 5.1'!AA95+'Tabell 5.1'!AA107+'Tabell 5.2'!AA21+'Tabell 5.2'!AA33+'Tabell 5.2'!AA45+'Tabell 5.2'!AA57+'Tabell 5.2'!AA93+'Tabell 5.2'!AA105+'Tabell 5.2'!AA131+'Tabell 5.2'!AA143+AA21+AA33+'Tabell 5.2'!AA69+'Tabell 5.2'!AA81+'Tabell 5.2'!AA117</f>
        <v>370.14</v>
      </c>
      <c r="AB47" s="634">
        <f t="shared" si="25"/>
        <v>210.4</v>
      </c>
      <c r="AC47" s="634">
        <f>'Tabell 5.1'!AC21+'Tabell 5.1'!AC33+'Tabell 5.1'!AC45+'Tabell 5.1'!AC57+'Tabell 5.1'!AC71+'Tabell 5.1'!AC83+'Tabell 5.1'!AC95+'Tabell 5.1'!AC107+'Tabell 5.2'!AC21+'Tabell 5.2'!AC33+'Tabell 5.2'!AC45+'Tabell 5.2'!AC57+'Tabell 5.2'!AC93+'Tabell 5.2'!AC105+'Tabell 5.2'!AC131+'Tabell 5.2'!AC143+AC21+AC33+'Tabell 5.2'!AC69+'Tabell 5.2'!AC81+'Tabell 5.2'!AC117</f>
        <v>3765</v>
      </c>
      <c r="AD47" s="634">
        <f>'Tabell 5.1'!AD21+'Tabell 5.1'!AD33+'Tabell 5.1'!AD45+'Tabell 5.1'!AD57+'Tabell 5.1'!AD71+'Tabell 5.1'!AD83+'Tabell 5.1'!AD95+'Tabell 5.1'!AD107+'Tabell 5.2'!AD21+'Tabell 5.2'!AD33+'Tabell 5.2'!AD45+'Tabell 5.2'!AD57+'Tabell 5.2'!AD93+'Tabell 5.2'!AD105+'Tabell 5.2'!AD131+'Tabell 5.2'!AD143+AD21+AD33+'Tabell 5.2'!AD69+'Tabell 5.2'!AD81+'Tabell 5.2'!AD117</f>
        <v>4163</v>
      </c>
      <c r="AE47" s="634">
        <f t="shared" si="26"/>
        <v>10.6</v>
      </c>
      <c r="AF47" s="634">
        <f>'Tabell 5.1'!AF21+'Tabell 5.1'!AF33+'Tabell 5.1'!AF45+'Tabell 5.1'!AF57+'Tabell 5.1'!AF71+'Tabell 5.1'!AF83+'Tabell 5.1'!AF95+'Tabell 5.1'!AF107+'Tabell 5.2'!AF21+'Tabell 5.2'!AF33+'Tabell 5.2'!AF45+'Tabell 5.2'!AF57+'Tabell 5.2'!AF93+'Tabell 5.2'!AF105+'Tabell 5.2'!AF131+'Tabell 5.2'!AF143+AF21+AF33+'Tabell 5.2'!AF69+'Tabell 5.2'!AF81+'Tabell 5.2'!AF117</f>
        <v>0</v>
      </c>
      <c r="AG47" s="634">
        <f>'Tabell 5.1'!AG21+'Tabell 5.1'!AG33+'Tabell 5.1'!AG45+'Tabell 5.1'!AG57+'Tabell 5.1'!AG71+'Tabell 5.1'!AG83+'Tabell 5.1'!AG95+'Tabell 5.1'!AG107+'Tabell 5.2'!AG21+'Tabell 5.2'!AG33+'Tabell 5.2'!AG45+'Tabell 5.2'!AG57+'Tabell 5.2'!AG93+'Tabell 5.2'!AG105+'Tabell 5.2'!AG131+'Tabell 5.2'!AG143+AG21+AG33+'Tabell 5.2'!AG69+'Tabell 5.2'!AG81+'Tabell 5.2'!AG117</f>
        <v>0</v>
      </c>
      <c r="AH47" s="634" t="str">
        <f t="shared" si="27"/>
        <v xml:space="preserve">    ---- </v>
      </c>
      <c r="AI47" s="634">
        <f>'Tabell 5.1'!AI21+'Tabell 5.1'!AI33+'Tabell 5.1'!AI45+'Tabell 5.1'!AI57+'Tabell 5.1'!AI71+'Tabell 5.1'!AI83+'Tabell 5.1'!AI95+'Tabell 5.1'!AI107+'Tabell 5.2'!AI21+'Tabell 5.2'!AI33+'Tabell 5.2'!AI45+'Tabell 5.2'!AI57+'Tabell 5.2'!AI93+'Tabell 5.2'!AI105+'Tabell 5.2'!AI131+'Tabell 5.2'!AI143+AI21+AI33+'Tabell 5.2'!AI69+'Tabell 5.2'!AI81+'Tabell 5.2'!AI117</f>
        <v>111</v>
      </c>
      <c r="AJ47" s="634">
        <f>'Tabell 5.1'!AJ21+'Tabell 5.1'!AJ33+'Tabell 5.1'!AJ45+'Tabell 5.1'!AJ57+'Tabell 5.1'!AJ71+'Tabell 5.1'!AJ83+'Tabell 5.1'!AJ95+'Tabell 5.1'!AJ107+'Tabell 5.2'!AJ21+'Tabell 5.2'!AJ33+'Tabell 5.2'!AJ45+'Tabell 5.2'!AJ57+'Tabell 5.2'!AJ93+'Tabell 5.2'!AJ105+'Tabell 5.2'!AJ131+'Tabell 5.2'!AJ143+AJ21+AJ33+'Tabell 5.2'!AJ69+'Tabell 5.2'!AJ81+'Tabell 5.2'!AJ117</f>
        <v>1104</v>
      </c>
      <c r="AK47" s="634">
        <f t="shared" si="28"/>
        <v>894.6</v>
      </c>
      <c r="AL47" s="634">
        <f>'Tabell 5.1'!AL21+'Tabell 5.1'!AL33+'Tabell 5.1'!AL45+'Tabell 5.1'!AL57+'Tabell 5.1'!AL71+'Tabell 5.1'!AL83+'Tabell 5.1'!AL95+'Tabell 5.1'!AL107+'Tabell 5.2'!AL21+'Tabell 5.2'!AL33+'Tabell 5.2'!AL45+'Tabell 5.2'!AL57+'Tabell 5.2'!AL93+'Tabell 5.2'!AL105+'Tabell 5.2'!AL131+'Tabell 5.2'!AL143+AL21+AL33+'Tabell 5.2'!AL69+'Tabell 5.2'!AL81+'Tabell 5.2'!AL117</f>
        <v>704.81999999999994</v>
      </c>
      <c r="AM47" s="634">
        <f>'Tabell 5.1'!AM21+'Tabell 5.1'!AM33+'Tabell 5.1'!AM45+'Tabell 5.1'!AM57+'Tabell 5.1'!AM71+'Tabell 5.1'!AM83+'Tabell 5.1'!AM95+'Tabell 5.1'!AM107+'Tabell 5.2'!AM21+'Tabell 5.2'!AM33+'Tabell 5.2'!AM45+'Tabell 5.2'!AM57+'Tabell 5.2'!AM93+'Tabell 5.2'!AM105+'Tabell 5.2'!AM131+'Tabell 5.2'!AM143+AM21+AM33+'Tabell 5.2'!AM69+'Tabell 5.2'!AM81+'Tabell 5.2'!AM117</f>
        <v>1394</v>
      </c>
      <c r="AN47" s="634">
        <f t="shared" si="29"/>
        <v>97.8</v>
      </c>
      <c r="AO47" s="634">
        <f t="shared" si="30"/>
        <v>25153.579425966604</v>
      </c>
      <c r="AP47" s="634">
        <f t="shared" si="31"/>
        <v>39725.615812674187</v>
      </c>
      <c r="AQ47" s="634">
        <f t="shared" si="32"/>
        <v>57.9</v>
      </c>
      <c r="AR47" s="596">
        <f t="shared" si="33"/>
        <v>25153.579425966604</v>
      </c>
      <c r="AS47" s="596">
        <f t="shared" si="34"/>
        <v>39725.615812674187</v>
      </c>
      <c r="AT47" s="635">
        <f t="shared" si="35"/>
        <v>57.9</v>
      </c>
      <c r="AU47" s="666"/>
      <c r="AV47" s="618"/>
      <c r="AW47" s="613"/>
      <c r="AX47" s="613"/>
    </row>
    <row r="48" spans="1:50" s="636" customFormat="1" ht="18.75" customHeight="1" x14ac:dyDescent="0.35">
      <c r="A48" s="600" t="s">
        <v>376</v>
      </c>
      <c r="B48" s="649">
        <f>'Tabell 5.1'!B22+'Tabell 5.1'!B34+'Tabell 5.1'!B46+'Tabell 5.1'!B58+'Tabell 5.1'!B72+'Tabell 5.1'!B84+'Tabell 5.1'!B96+'Tabell 5.1'!B108+'Tabell 5.2'!B22+'Tabell 5.2'!B34+'Tabell 5.2'!B46+'Tabell 5.2'!B58+'Tabell 5.2'!B94+'Tabell 5.2'!B106+'Tabell 5.2'!B132+'Tabell 5.2'!B144+B22+B34+'Tabell 5.2'!B70+'Tabell 5.2'!B82+'Tabell 5.2'!B118</f>
        <v>104.23899999999998</v>
      </c>
      <c r="C48" s="649">
        <f>'Tabell 5.1'!C22+'Tabell 5.1'!C34+'Tabell 5.1'!C46+'Tabell 5.1'!C58+'Tabell 5.1'!C72+'Tabell 5.1'!C84+'Tabell 5.1'!C96+'Tabell 5.1'!C108+'Tabell 5.2'!C22+'Tabell 5.2'!C34+'Tabell 5.2'!C46+'Tabell 5.2'!C58+'Tabell 5.2'!C94+'Tabell 5.2'!C106+'Tabell 5.2'!C132+'Tabell 5.2'!C144+C22+C34+'Tabell 5.2'!C70+'Tabell 5.2'!C82+'Tabell 5.2'!C118</f>
        <v>144.95699999999999</v>
      </c>
      <c r="D48" s="648">
        <f t="shared" si="17"/>
        <v>39.1</v>
      </c>
      <c r="E48" s="649">
        <f>'Tabell 5.1'!E22+'Tabell 5.1'!E34+'Tabell 5.1'!E46+'Tabell 5.1'!E58+'Tabell 5.1'!E72+'Tabell 5.1'!E84+'Tabell 5.1'!E96+'Tabell 5.1'!E108+'Tabell 5.2'!E22+'Tabell 5.2'!E34+'Tabell 5.2'!E46+'Tabell 5.2'!E58+'Tabell 5.2'!E94+'Tabell 5.2'!E106+'Tabell 5.2'!E132+'Tabell 5.2'!E144+E22+E34+'Tabell 5.2'!E70+'Tabell 5.2'!E82+'Tabell 5.2'!E118</f>
        <v>-66</v>
      </c>
      <c r="F48" s="649"/>
      <c r="G48" s="648">
        <f t="shared" si="18"/>
        <v>-100</v>
      </c>
      <c r="H48" s="649">
        <f>'Tabell 5.1'!H22+'Tabell 5.1'!H34+'Tabell 5.1'!H46+'Tabell 5.1'!H58+'Tabell 5.1'!H72+'Tabell 5.1'!H84+'Tabell 5.1'!H96+'Tabell 5.1'!H108+'Tabell 5.2'!H22+'Tabell 5.2'!H34+'Tabell 5.2'!H46+'Tabell 5.2'!H58+'Tabell 5.2'!H94+'Tabell 5.2'!H106+'Tabell 5.2'!H132+'Tabell 5.2'!H144+H22+H34+'Tabell 5.2'!H70+'Tabell 5.2'!H82+'Tabell 5.2'!H118</f>
        <v>1033.3000000000002</v>
      </c>
      <c r="I48" s="649">
        <f>'Tabell 5.1'!I22+'Tabell 5.1'!I34+'Tabell 5.1'!I46+'Tabell 5.1'!I58+'Tabell 5.1'!I72+'Tabell 5.1'!I84+'Tabell 5.1'!I96+'Tabell 5.1'!I108+'Tabell 5.2'!I22+'Tabell 5.2'!I34+'Tabell 5.2'!I46+'Tabell 5.2'!I58+'Tabell 5.2'!I94+'Tabell 5.2'!I106+'Tabell 5.2'!I132+'Tabell 5.2'!I144+I22+I34+'Tabell 5.2'!I70+'Tabell 5.2'!I82+'Tabell 5.2'!I118</f>
        <v>1013.2399573796528</v>
      </c>
      <c r="J48" s="648">
        <f t="shared" si="19"/>
        <v>-1.9</v>
      </c>
      <c r="K48" s="649">
        <f>'Tabell 5.1'!K22+'Tabell 5.1'!K34+'Tabell 5.1'!K46+'Tabell 5.1'!K58+'Tabell 5.1'!K72+'Tabell 5.1'!K84+'Tabell 5.1'!K96+'Tabell 5.1'!K108+'Tabell 5.2'!K22+'Tabell 5.2'!K34+'Tabell 5.2'!K46+'Tabell 5.2'!K58+'Tabell 5.2'!K94+'Tabell 5.2'!K106+'Tabell 5.2'!K132+'Tabell 5.2'!K144+K22+K34+'Tabell 5.2'!K70+'Tabell 5.2'!K82+'Tabell 5.2'!K118</f>
        <v>297</v>
      </c>
      <c r="L48" s="649">
        <f>'Tabell 5.1'!L22+'Tabell 5.1'!L34+'Tabell 5.1'!L46+'Tabell 5.1'!L58+'Tabell 5.1'!L72+'Tabell 5.1'!L84+'Tabell 5.1'!L96+'Tabell 5.1'!L108+'Tabell 5.2'!L22+'Tabell 5.2'!L34+'Tabell 5.2'!L46+'Tabell 5.2'!L58+'Tabell 5.2'!L94+'Tabell 5.2'!L106+'Tabell 5.2'!L132+'Tabell 5.2'!L144+L22+L34+'Tabell 5.2'!L70+'Tabell 5.2'!L82+'Tabell 5.2'!L118</f>
        <v>664300.02827000013</v>
      </c>
      <c r="M48" s="648">
        <f t="shared" si="20"/>
        <v>999</v>
      </c>
      <c r="N48" s="649">
        <f>'Tabell 5.1'!N22+'Tabell 5.1'!N34+'Tabell 5.1'!N46+'Tabell 5.1'!N58+'Tabell 5.1'!N72+'Tabell 5.1'!N84+'Tabell 5.1'!N96+'Tabell 5.1'!N108+'Tabell 5.2'!N22+'Tabell 5.2'!N34+'Tabell 5.2'!N46+'Tabell 5.2'!N58+'Tabell 5.2'!N94+'Tabell 5.2'!N106+'Tabell 5.2'!N132+'Tabell 5.2'!N144+N22+N34+'Tabell 5.2'!N70+'Tabell 5.2'!N82+'Tabell 5.2'!N118</f>
        <v>354.31899999999996</v>
      </c>
      <c r="O48" s="649">
        <f>'Tabell 5.1'!O22+'Tabell 5.1'!O34+'Tabell 5.1'!O46+'Tabell 5.1'!O58+'Tabell 5.1'!O72+'Tabell 5.1'!O84+'Tabell 5.1'!O96+'Tabell 5.1'!O108+'Tabell 5.2'!O22+'Tabell 5.2'!O34+'Tabell 5.2'!O46+'Tabell 5.2'!O58+'Tabell 5.2'!O94+'Tabell 5.2'!O106+'Tabell 5.2'!O132+'Tabell 5.2'!O144+O22+O34+'Tabell 5.2'!O70+'Tabell 5.2'!O82+'Tabell 5.2'!O118</f>
        <v>105.37700000000001</v>
      </c>
      <c r="P48" s="648">
        <f t="shared" si="21"/>
        <v>-70.3</v>
      </c>
      <c r="Q48" s="649">
        <f>'Tabell 5.1'!Q22+'Tabell 5.1'!Q34+'Tabell 5.1'!Q46+'Tabell 5.1'!Q58+'Tabell 5.1'!Q72+'Tabell 5.1'!Q84+'Tabell 5.1'!Q96+'Tabell 5.1'!Q108+'Tabell 5.2'!Q22+'Tabell 5.2'!Q34+'Tabell 5.2'!Q46+'Tabell 5.2'!Q58+'Tabell 5.2'!Q94+'Tabell 5.2'!Q106+'Tabell 5.2'!Q132+'Tabell 5.2'!Q144+Q22+Q34+'Tabell 5.2'!Q70+'Tabell 5.2'!Q82+'Tabell 5.2'!Q118</f>
        <v>160.6</v>
      </c>
      <c r="R48" s="649">
        <f>'Tabell 5.1'!R22+'Tabell 5.1'!R34+'Tabell 5.1'!R46+'Tabell 5.1'!R58+'Tabell 5.1'!R72+'Tabell 5.1'!R84+'Tabell 5.1'!R96+'Tabell 5.1'!R108+'Tabell 5.2'!R22+'Tabell 5.2'!R34+'Tabell 5.2'!R46+'Tabell 5.2'!R58+'Tabell 5.2'!R94+'Tabell 5.2'!R106+'Tabell 5.2'!R132+'Tabell 5.2'!R144+R22+R34+'Tabell 5.2'!R70+'Tabell 5.2'!R82+'Tabell 5.2'!R118</f>
        <v>213.1</v>
      </c>
      <c r="S48" s="648">
        <f t="shared" si="22"/>
        <v>32.700000000000003</v>
      </c>
      <c r="T48" s="649">
        <f>'Tabell 5.1'!T22+'Tabell 5.1'!T34+'Tabell 5.1'!T46+'Tabell 5.1'!T58+'Tabell 5.1'!T72+'Tabell 5.1'!T84+'Tabell 5.1'!T96+'Tabell 5.1'!T108+'Tabell 5.2'!T22+'Tabell 5.2'!T34+'Tabell 5.2'!T46+'Tabell 5.2'!T58+'Tabell 5.2'!T94+'Tabell 5.2'!T106+'Tabell 5.2'!T132+'Tabell 5.2'!T144+T22+T34+'Tabell 5.2'!T70+'Tabell 5.2'!T82+'Tabell 5.2'!T118</f>
        <v>13.7</v>
      </c>
      <c r="U48" s="649">
        <f>'Tabell 5.1'!U22+'Tabell 5.1'!U34+'Tabell 5.1'!U46+'Tabell 5.1'!U58+'Tabell 5.1'!U72+'Tabell 5.1'!U84+'Tabell 5.1'!U96+'Tabell 5.1'!U108+'Tabell 5.2'!U22+'Tabell 5.2'!U34+'Tabell 5.2'!U46+'Tabell 5.2'!U58+'Tabell 5.2'!U94+'Tabell 5.2'!U106+'Tabell 5.2'!U132+'Tabell 5.2'!U144+U22+U34+'Tabell 5.2'!U70+'Tabell 5.2'!U82+'Tabell 5.2'!U118</f>
        <v>12.679747364716835</v>
      </c>
      <c r="V48" s="648">
        <f t="shared" si="23"/>
        <v>-7.4</v>
      </c>
      <c r="W48" s="649">
        <f>'Tabell 5.1'!W22+'Tabell 5.1'!W34+'Tabell 5.1'!W46+'Tabell 5.1'!W58+'Tabell 5.1'!W72+'Tabell 5.1'!W84+'Tabell 5.1'!W96+'Tabell 5.1'!W108+'Tabell 5.2'!W22+'Tabell 5.2'!W34+'Tabell 5.2'!W46+'Tabell 5.2'!W58+'Tabell 5.2'!W94+'Tabell 5.2'!W106+'Tabell 5.2'!W132+'Tabell 5.2'!W144+W22+W34+'Tabell 5.2'!W70+'Tabell 5.2'!W82+'Tabell 5.2'!W118</f>
        <v>526.60894853366437</v>
      </c>
      <c r="X48" s="649">
        <f>'Tabell 5.1'!X22+'Tabell 5.1'!X34+'Tabell 5.1'!X46+'Tabell 5.1'!X58+'Tabell 5.1'!X72+'Tabell 5.1'!X84+'Tabell 5.1'!X96+'Tabell 5.1'!X108+'Tabell 5.2'!X22+'Tabell 5.2'!X34+'Tabell 5.2'!X46+'Tabell 5.2'!X58+'Tabell 5.2'!X94+'Tabell 5.2'!X106+'Tabell 5.2'!X132+'Tabell 5.2'!X144+X22+X34+'Tabell 5.2'!X70+'Tabell 5.2'!X82+'Tabell 5.2'!X118</f>
        <v>-787.0934335990745</v>
      </c>
      <c r="Y48" s="648">
        <f t="shared" si="24"/>
        <v>-249.5</v>
      </c>
      <c r="Z48" s="649">
        <f>'Tabell 5.1'!Z22+'Tabell 5.1'!Z34+'Tabell 5.1'!Z46+'Tabell 5.1'!Z58+'Tabell 5.1'!Z72+'Tabell 5.1'!Z84+'Tabell 5.1'!Z96+'Tabell 5.1'!Z108+'Tabell 5.2'!Z22+'Tabell 5.2'!Z34+'Tabell 5.2'!Z46+'Tabell 5.2'!Z58+'Tabell 5.2'!Z94+'Tabell 5.2'!Z106+'Tabell 5.2'!Z132+'Tabell 5.2'!Z144+Z22+Z34+'Tabell 5.2'!Z70+'Tabell 5.2'!Z82+'Tabell 5.2'!Z118</f>
        <v>662.59000000000015</v>
      </c>
      <c r="AA48" s="649">
        <f>'Tabell 5.1'!AA22+'Tabell 5.1'!AA34+'Tabell 5.1'!AA46+'Tabell 5.1'!AA58+'Tabell 5.1'!AA72+'Tabell 5.1'!AA84+'Tabell 5.1'!AA96+'Tabell 5.1'!AA108+'Tabell 5.2'!AA22+'Tabell 5.2'!AA34+'Tabell 5.2'!AA46+'Tabell 5.2'!AA58+'Tabell 5.2'!AA94+'Tabell 5.2'!AA106+'Tabell 5.2'!AA132+'Tabell 5.2'!AA144+AA22+AA34+'Tabell 5.2'!AA70+'Tabell 5.2'!AA82+'Tabell 5.2'!AA118</f>
        <v>1014.4899999999999</v>
      </c>
      <c r="AB48" s="648">
        <f t="shared" si="25"/>
        <v>53.1</v>
      </c>
      <c r="AC48" s="649">
        <f>'Tabell 5.1'!AC22+'Tabell 5.1'!AC34+'Tabell 5.1'!AC46+'Tabell 5.1'!AC58+'Tabell 5.1'!AC72+'Tabell 5.1'!AC84+'Tabell 5.1'!AC96+'Tabell 5.1'!AC108+'Tabell 5.2'!AC22+'Tabell 5.2'!AC34+'Tabell 5.2'!AC46+'Tabell 5.2'!AC58+'Tabell 5.2'!AC94+'Tabell 5.2'!AC106+'Tabell 5.2'!AC132+'Tabell 5.2'!AC144+AC22+AC34+'Tabell 5.2'!AC70+'Tabell 5.2'!AC82+'Tabell 5.2'!AC118</f>
        <v>1128</v>
      </c>
      <c r="AD48" s="649">
        <f>'Tabell 5.1'!AD22+'Tabell 5.1'!AD34+'Tabell 5.1'!AD46+'Tabell 5.1'!AD58+'Tabell 5.1'!AD72+'Tabell 5.1'!AD84+'Tabell 5.1'!AD96+'Tabell 5.1'!AD108+'Tabell 5.2'!AD22+'Tabell 5.2'!AD34+'Tabell 5.2'!AD46+'Tabell 5.2'!AD58+'Tabell 5.2'!AD94+'Tabell 5.2'!AD106+'Tabell 5.2'!AD132+'Tabell 5.2'!AD144+AD22+AD34+'Tabell 5.2'!AD70+'Tabell 5.2'!AD82+'Tabell 5.2'!AD118</f>
        <v>1211</v>
      </c>
      <c r="AE48" s="648">
        <f t="shared" si="26"/>
        <v>7.4</v>
      </c>
      <c r="AF48" s="649">
        <f>'Tabell 5.1'!AF22+'Tabell 5.1'!AF34+'Tabell 5.1'!AF46+'Tabell 5.1'!AF58+'Tabell 5.1'!AF72+'Tabell 5.1'!AF84+'Tabell 5.1'!AF96+'Tabell 5.1'!AF108+'Tabell 5.2'!AF22+'Tabell 5.2'!AF34+'Tabell 5.2'!AF46+'Tabell 5.2'!AF58+'Tabell 5.2'!AF94+'Tabell 5.2'!AF106+'Tabell 5.2'!AF132+'Tabell 5.2'!AF144+AF22+AF34+'Tabell 5.2'!AF70+'Tabell 5.2'!AF82+'Tabell 5.2'!AF118</f>
        <v>14</v>
      </c>
      <c r="AG48" s="649">
        <f>'Tabell 5.1'!AG22+'Tabell 5.1'!AG34+'Tabell 5.1'!AG46+'Tabell 5.1'!AG58+'Tabell 5.1'!AG72+'Tabell 5.1'!AG84+'Tabell 5.1'!AG96+'Tabell 5.1'!AG108+'Tabell 5.2'!AG22+'Tabell 5.2'!AG34+'Tabell 5.2'!AG46+'Tabell 5.2'!AG58+'Tabell 5.2'!AG94+'Tabell 5.2'!AG106+'Tabell 5.2'!AG132+'Tabell 5.2'!AG144+AG22+AG34+'Tabell 5.2'!AG70+'Tabell 5.2'!AG82+'Tabell 5.2'!AG118</f>
        <v>17.223387889999959</v>
      </c>
      <c r="AH48" s="648">
        <f t="shared" si="27"/>
        <v>23</v>
      </c>
      <c r="AI48" s="649">
        <f>'Tabell 5.1'!AI22+'Tabell 5.1'!AI34+'Tabell 5.1'!AI46+'Tabell 5.1'!AI58+'Tabell 5.1'!AI72+'Tabell 5.1'!AI84+'Tabell 5.1'!AI96+'Tabell 5.1'!AI108+'Tabell 5.2'!AI22+'Tabell 5.2'!AI34+'Tabell 5.2'!AI46+'Tabell 5.2'!AI58+'Tabell 5.2'!AI94+'Tabell 5.2'!AI106+'Tabell 5.2'!AI132+'Tabell 5.2'!AI144+AI22+AI34+'Tabell 5.2'!AI70+'Tabell 5.2'!AI82+'Tabell 5.2'!AI118</f>
        <v>89</v>
      </c>
      <c r="AJ48" s="649">
        <f>'Tabell 5.1'!AJ22+'Tabell 5.1'!AJ34+'Tabell 5.1'!AJ46+'Tabell 5.1'!AJ58+'Tabell 5.1'!AJ72+'Tabell 5.1'!AJ84+'Tabell 5.1'!AJ96+'Tabell 5.1'!AJ108+'Tabell 5.2'!AJ22+'Tabell 5.2'!AJ34+'Tabell 5.2'!AJ46+'Tabell 5.2'!AJ58+'Tabell 5.2'!AJ94+'Tabell 5.2'!AJ106+'Tabell 5.2'!AJ132+'Tabell 5.2'!AJ144+AJ22+AJ34+'Tabell 5.2'!AJ70+'Tabell 5.2'!AJ82+'Tabell 5.2'!AJ118</f>
        <v>535</v>
      </c>
      <c r="AK48" s="648">
        <f t="shared" si="28"/>
        <v>501.1</v>
      </c>
      <c r="AL48" s="649">
        <f>'Tabell 5.1'!AL22+'Tabell 5.1'!AL34+'Tabell 5.1'!AL46+'Tabell 5.1'!AL58+'Tabell 5.1'!AL72+'Tabell 5.1'!AL84+'Tabell 5.1'!AL96+'Tabell 5.1'!AL108+'Tabell 5.2'!AL22+'Tabell 5.2'!AL34+'Tabell 5.2'!AL46+'Tabell 5.2'!AL58+'Tabell 5.2'!AL94+'Tabell 5.2'!AL106+'Tabell 5.2'!AL132+'Tabell 5.2'!AL144+AL22+AL34+'Tabell 5.2'!AL70+'Tabell 5.2'!AL82+'Tabell 5.2'!AL118</f>
        <v>807.39</v>
      </c>
      <c r="AM48" s="649">
        <f>'Tabell 5.1'!AM22+'Tabell 5.1'!AM34+'Tabell 5.1'!AM46+'Tabell 5.1'!AM58+'Tabell 5.1'!AM72+'Tabell 5.1'!AM84+'Tabell 5.1'!AM96+'Tabell 5.1'!AM108+'Tabell 5.2'!AM22+'Tabell 5.2'!AM34+'Tabell 5.2'!AM46+'Tabell 5.2'!AM58+'Tabell 5.2'!AM94+'Tabell 5.2'!AM106+'Tabell 5.2'!AM132+'Tabell 5.2'!AM144+AM22+AM34+'Tabell 5.2'!AM70+'Tabell 5.2'!AM82+'Tabell 5.2'!AM118</f>
        <v>1416.9999999999998</v>
      </c>
      <c r="AN48" s="648">
        <f t="shared" si="29"/>
        <v>75.5</v>
      </c>
      <c r="AO48" s="649">
        <f t="shared" si="30"/>
        <v>5097.0469485336644</v>
      </c>
      <c r="AP48" s="649">
        <f t="shared" si="31"/>
        <v>669167.09879378066</v>
      </c>
      <c r="AQ48" s="648">
        <f t="shared" si="32"/>
        <v>999</v>
      </c>
      <c r="AR48" s="603">
        <f t="shared" si="33"/>
        <v>5124.7469485336651</v>
      </c>
      <c r="AS48" s="603">
        <f t="shared" si="34"/>
        <v>669197.00192903541</v>
      </c>
      <c r="AT48" s="649">
        <f t="shared" si="35"/>
        <v>999</v>
      </c>
      <c r="AU48" s="666"/>
      <c r="AV48" s="618"/>
      <c r="AW48" s="613"/>
      <c r="AX48" s="613"/>
    </row>
    <row r="49" spans="1:50" s="651" customFormat="1" ht="18.75" customHeight="1" x14ac:dyDescent="0.35">
      <c r="A49" s="613" t="s">
        <v>252</v>
      </c>
      <c r="B49" s="563"/>
      <c r="C49" s="650"/>
      <c r="D49" s="650"/>
      <c r="E49" s="613"/>
      <c r="F49" s="613"/>
      <c r="G49" s="613"/>
      <c r="H49" s="650"/>
      <c r="I49" s="650"/>
      <c r="J49" s="650"/>
      <c r="K49" s="618"/>
      <c r="L49" s="613"/>
      <c r="M49" s="613"/>
      <c r="N49" s="618"/>
      <c r="O49" s="613"/>
      <c r="P49" s="613"/>
      <c r="R49" s="613"/>
      <c r="S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8"/>
      <c r="AS49" s="618"/>
      <c r="AT49" s="618"/>
      <c r="AU49" s="652"/>
      <c r="AV49" s="653"/>
      <c r="AW49" s="652"/>
      <c r="AX49" s="652"/>
    </row>
    <row r="50" spans="1:50" s="651" customFormat="1" ht="18" x14ac:dyDescent="0.35">
      <c r="A50" s="652"/>
      <c r="B50" s="650"/>
      <c r="C50" s="650"/>
      <c r="D50" s="650"/>
      <c r="E50" s="652"/>
      <c r="F50" s="652"/>
      <c r="G50" s="652"/>
      <c r="H50" s="650"/>
      <c r="I50" s="650"/>
      <c r="J50" s="650"/>
      <c r="K50" s="653"/>
      <c r="L50" s="652"/>
      <c r="M50" s="652"/>
      <c r="N50" s="653"/>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3"/>
      <c r="AW50" s="652"/>
      <c r="AX50" s="652"/>
    </row>
    <row r="51" spans="1:50" s="651" customFormat="1" ht="18" x14ac:dyDescent="0.35">
      <c r="A51" s="652"/>
      <c r="B51" s="668"/>
      <c r="C51" s="650"/>
      <c r="D51" s="650"/>
      <c r="E51" s="652"/>
      <c r="F51" s="652"/>
      <c r="G51" s="652"/>
      <c r="H51" s="650"/>
      <c r="I51" s="650"/>
      <c r="J51" s="650"/>
      <c r="K51" s="653"/>
      <c r="L51" s="652"/>
      <c r="M51" s="652"/>
      <c r="N51" s="653"/>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3"/>
      <c r="AW51" s="652"/>
      <c r="AX51" s="652"/>
    </row>
    <row r="52" spans="1:50" s="651" customFormat="1" ht="18" x14ac:dyDescent="0.35">
      <c r="A52" s="652"/>
      <c r="B52" s="650"/>
      <c r="C52" s="650"/>
      <c r="D52" s="650"/>
      <c r="H52" s="650"/>
      <c r="I52" s="650"/>
      <c r="J52" s="650"/>
      <c r="K52" s="656"/>
      <c r="N52" s="656"/>
      <c r="AV52" s="656"/>
    </row>
    <row r="53" spans="1:50" s="651" customFormat="1" ht="18" x14ac:dyDescent="0.35">
      <c r="A53" s="652"/>
      <c r="W53" s="669"/>
      <c r="X53" s="669"/>
      <c r="AV53" s="656"/>
    </row>
    <row r="54" spans="1:50" s="651" customFormat="1" ht="18" x14ac:dyDescent="0.35">
      <c r="A54" s="652"/>
      <c r="W54" s="669"/>
      <c r="X54" s="669"/>
      <c r="AV54" s="656"/>
    </row>
    <row r="55" spans="1:50" s="651" customFormat="1" ht="18" x14ac:dyDescent="0.35">
      <c r="A55" s="652"/>
      <c r="W55" s="669"/>
      <c r="X55" s="669"/>
      <c r="AV55" s="656"/>
    </row>
    <row r="56" spans="1:50" ht="18" x14ac:dyDescent="0.35">
      <c r="A56" s="613"/>
      <c r="W56" s="636"/>
      <c r="X56" s="636"/>
      <c r="AV56" s="658"/>
    </row>
    <row r="57" spans="1:50" ht="18" x14ac:dyDescent="0.35">
      <c r="A57" s="613"/>
      <c r="W57" s="636"/>
      <c r="X57" s="636"/>
      <c r="AV57" s="658"/>
    </row>
    <row r="58" spans="1:50" ht="18" x14ac:dyDescent="0.35">
      <c r="A58" s="613"/>
      <c r="W58" s="636"/>
      <c r="X58" s="636"/>
      <c r="AV58" s="658"/>
    </row>
    <row r="59" spans="1:50" ht="18" x14ac:dyDescent="0.35">
      <c r="A59" s="613"/>
      <c r="W59" s="636"/>
      <c r="X59" s="636"/>
      <c r="AV59" s="658"/>
    </row>
    <row r="60" spans="1:50" ht="18" x14ac:dyDescent="0.35">
      <c r="A60" s="613"/>
      <c r="W60" s="636"/>
      <c r="X60" s="636"/>
      <c r="AV60" s="658"/>
    </row>
    <row r="61" spans="1:50" ht="18" x14ac:dyDescent="0.35">
      <c r="A61" s="613"/>
      <c r="W61" s="636"/>
      <c r="X61" s="636"/>
      <c r="AV61" s="658"/>
    </row>
    <row r="62" spans="1:50" ht="18" x14ac:dyDescent="0.35">
      <c r="A62" s="613"/>
      <c r="W62" s="636"/>
      <c r="X62" s="636"/>
      <c r="AV62" s="658"/>
    </row>
    <row r="63" spans="1:50" ht="18" x14ac:dyDescent="0.35">
      <c r="A63" s="613"/>
      <c r="W63" s="636"/>
      <c r="X63" s="636"/>
      <c r="AV63" s="658"/>
    </row>
    <row r="64" spans="1:50" ht="18" x14ac:dyDescent="0.35">
      <c r="A64" s="613"/>
      <c r="W64" s="636"/>
      <c r="X64" s="636"/>
      <c r="AV64" s="658"/>
    </row>
    <row r="65" spans="1:48" ht="18" x14ac:dyDescent="0.35">
      <c r="A65" s="613"/>
      <c r="W65" s="636"/>
      <c r="X65" s="636"/>
      <c r="AV65" s="658"/>
    </row>
    <row r="66" spans="1:48" ht="18" x14ac:dyDescent="0.35">
      <c r="A66" s="613"/>
      <c r="W66" s="636"/>
      <c r="X66" s="636"/>
      <c r="AV66" s="658"/>
    </row>
    <row r="67" spans="1:48" ht="18" x14ac:dyDescent="0.35">
      <c r="A67" s="613"/>
      <c r="W67" s="636"/>
      <c r="X67" s="636"/>
      <c r="AV67" s="658"/>
    </row>
    <row r="68" spans="1:48" ht="18" x14ac:dyDescent="0.35">
      <c r="A68" s="613"/>
      <c r="W68" s="636"/>
      <c r="X68" s="636"/>
      <c r="AV68" s="658"/>
    </row>
    <row r="69" spans="1:48" ht="18" x14ac:dyDescent="0.35">
      <c r="A69" s="613"/>
      <c r="W69" s="636"/>
      <c r="X69" s="636"/>
      <c r="AV69" s="658"/>
    </row>
    <row r="70" spans="1:48" ht="18" x14ac:dyDescent="0.35">
      <c r="A70" s="613"/>
      <c r="W70" s="636"/>
      <c r="X70" s="636"/>
      <c r="AV70" s="658"/>
    </row>
    <row r="71" spans="1:48" ht="18" x14ac:dyDescent="0.35">
      <c r="A71" s="613"/>
      <c r="W71" s="636"/>
      <c r="X71" s="636"/>
      <c r="AV71" s="658"/>
    </row>
    <row r="72" spans="1:48" ht="18" x14ac:dyDescent="0.35">
      <c r="A72" s="613"/>
      <c r="W72" s="636"/>
      <c r="X72" s="636"/>
      <c r="AV72" s="658"/>
    </row>
    <row r="73" spans="1:48" ht="18" x14ac:dyDescent="0.35">
      <c r="A73" s="613"/>
      <c r="W73" s="636"/>
      <c r="X73" s="636"/>
      <c r="AV73" s="658"/>
    </row>
    <row r="74" spans="1:48" ht="18" x14ac:dyDescent="0.35">
      <c r="A74" s="613"/>
      <c r="W74" s="636"/>
      <c r="X74" s="636"/>
      <c r="AV74" s="658"/>
    </row>
    <row r="75" spans="1:48" ht="18" x14ac:dyDescent="0.35">
      <c r="A75" s="613"/>
      <c r="W75" s="636"/>
      <c r="X75" s="636"/>
      <c r="AV75" s="658"/>
    </row>
    <row r="76" spans="1:48" ht="18" x14ac:dyDescent="0.35">
      <c r="A76" s="613"/>
      <c r="W76" s="636"/>
      <c r="X76" s="636"/>
      <c r="AV76" s="658"/>
    </row>
    <row r="77" spans="1:48" ht="18" x14ac:dyDescent="0.35">
      <c r="A77" s="613"/>
      <c r="W77" s="636"/>
      <c r="X77" s="636"/>
      <c r="AV77" s="658"/>
    </row>
    <row r="78" spans="1:48" ht="18" x14ac:dyDescent="0.35">
      <c r="A78" s="613"/>
      <c r="W78" s="636"/>
      <c r="X78" s="636"/>
      <c r="AV78" s="658"/>
    </row>
    <row r="79" spans="1:48" ht="18" x14ac:dyDescent="0.35">
      <c r="A79" s="613"/>
      <c r="W79" s="636"/>
      <c r="X79" s="636"/>
      <c r="AV79" s="658"/>
    </row>
    <row r="80" spans="1:48" ht="18" x14ac:dyDescent="0.35">
      <c r="A80" s="613"/>
      <c r="W80" s="636"/>
      <c r="X80" s="636"/>
      <c r="AV80" s="658"/>
    </row>
    <row r="81" spans="1:48" ht="18" x14ac:dyDescent="0.35">
      <c r="A81" s="613"/>
      <c r="W81" s="636"/>
      <c r="X81" s="636"/>
      <c r="AV81" s="658"/>
    </row>
    <row r="82" spans="1:48" ht="18" x14ac:dyDescent="0.35">
      <c r="A82" s="613"/>
      <c r="W82" s="636"/>
      <c r="X82" s="636"/>
      <c r="AV82" s="658"/>
    </row>
    <row r="83" spans="1:48" ht="18" x14ac:dyDescent="0.35">
      <c r="A83" s="613"/>
      <c r="W83" s="636"/>
      <c r="X83" s="636"/>
      <c r="AV83" s="658"/>
    </row>
    <row r="84" spans="1:48" ht="18" x14ac:dyDescent="0.35">
      <c r="A84" s="613"/>
      <c r="W84" s="636"/>
      <c r="X84" s="636"/>
      <c r="AV84" s="658"/>
    </row>
    <row r="85" spans="1:48" ht="18" x14ac:dyDescent="0.35">
      <c r="A85" s="613"/>
      <c r="W85" s="636"/>
      <c r="X85" s="636"/>
      <c r="AV85" s="658"/>
    </row>
    <row r="86" spans="1:48" ht="18" x14ac:dyDescent="0.35">
      <c r="A86" s="613"/>
      <c r="W86" s="636"/>
      <c r="X86" s="636"/>
      <c r="AV86" s="658"/>
    </row>
    <row r="87" spans="1:48" ht="18" x14ac:dyDescent="0.35">
      <c r="A87" s="613"/>
      <c r="W87" s="636"/>
      <c r="X87" s="636"/>
      <c r="AV87" s="658"/>
    </row>
    <row r="88" spans="1:48" ht="18" x14ac:dyDescent="0.35">
      <c r="A88" s="613"/>
      <c r="W88" s="636"/>
      <c r="X88" s="636"/>
      <c r="AV88" s="658"/>
    </row>
    <row r="89" spans="1:48" ht="18" x14ac:dyDescent="0.35">
      <c r="A89" s="613"/>
      <c r="W89" s="636"/>
      <c r="X89" s="636"/>
      <c r="AV89" s="658"/>
    </row>
    <row r="90" spans="1:48" ht="18" x14ac:dyDescent="0.35">
      <c r="A90" s="613"/>
      <c r="W90" s="636"/>
      <c r="X90" s="636"/>
      <c r="AV90" s="658"/>
    </row>
    <row r="91" spans="1:48" ht="18" x14ac:dyDescent="0.35">
      <c r="A91" s="613"/>
      <c r="W91" s="636"/>
      <c r="X91" s="636"/>
      <c r="AV91" s="658"/>
    </row>
    <row r="92" spans="1:48" ht="18" x14ac:dyDescent="0.35">
      <c r="A92" s="613"/>
      <c r="W92" s="636"/>
      <c r="X92" s="636"/>
      <c r="AV92" s="658"/>
    </row>
    <row r="93" spans="1:48" ht="18" x14ac:dyDescent="0.35">
      <c r="A93" s="613"/>
      <c r="W93" s="636"/>
      <c r="X93" s="636"/>
      <c r="AV93" s="658"/>
    </row>
    <row r="94" spans="1:48" ht="18" x14ac:dyDescent="0.35">
      <c r="A94" s="613"/>
      <c r="W94" s="636"/>
      <c r="X94" s="636"/>
      <c r="AV94" s="658"/>
    </row>
    <row r="95" spans="1:48" ht="18" x14ac:dyDescent="0.35">
      <c r="A95" s="613"/>
      <c r="W95" s="636"/>
      <c r="X95" s="636"/>
      <c r="AV95" s="658"/>
    </row>
    <row r="96" spans="1:48" ht="18" x14ac:dyDescent="0.35">
      <c r="A96" s="613"/>
      <c r="W96" s="636"/>
      <c r="X96" s="636"/>
      <c r="AV96" s="658"/>
    </row>
    <row r="97" spans="1:48" ht="18" x14ac:dyDescent="0.35">
      <c r="A97" s="613"/>
      <c r="W97" s="636"/>
      <c r="X97" s="636"/>
      <c r="AV97" s="658"/>
    </row>
    <row r="98" spans="1:48" ht="18" x14ac:dyDescent="0.35">
      <c r="A98" s="613"/>
      <c r="W98" s="636"/>
      <c r="X98" s="636"/>
      <c r="AV98" s="658"/>
    </row>
    <row r="99" spans="1:48" ht="18" x14ac:dyDescent="0.35">
      <c r="A99" s="613"/>
      <c r="W99" s="636"/>
      <c r="X99" s="636"/>
      <c r="AV99" s="658"/>
    </row>
    <row r="100" spans="1:48" ht="18" x14ac:dyDescent="0.35">
      <c r="A100" s="613"/>
      <c r="H100" s="614">
        <v>0</v>
      </c>
      <c r="W100" s="636">
        <v>8021.1680385597992</v>
      </c>
      <c r="X100" s="636"/>
      <c r="AV100" s="658"/>
    </row>
    <row r="101" spans="1:48" ht="18" x14ac:dyDescent="0.35">
      <c r="A101" s="613"/>
      <c r="H101" s="614">
        <v>0</v>
      </c>
      <c r="W101" s="636">
        <v>4.3610605525112156</v>
      </c>
      <c r="X101" s="636"/>
      <c r="AV101" s="658"/>
    </row>
    <row r="102" spans="1:48" ht="18" x14ac:dyDescent="0.35">
      <c r="A102" s="613"/>
      <c r="H102" s="614">
        <v>-10.638999999999999</v>
      </c>
      <c r="W102" s="636">
        <v>-49.179410697877408</v>
      </c>
      <c r="X102" s="636"/>
      <c r="AV102" s="658"/>
    </row>
    <row r="103" spans="1:48" ht="18" x14ac:dyDescent="0.35">
      <c r="A103" s="613"/>
      <c r="H103" s="614">
        <v>0.87009999999999998</v>
      </c>
      <c r="W103" s="636"/>
      <c r="X103" s="636"/>
      <c r="AV103" s="658"/>
    </row>
    <row r="104" spans="1:48" ht="18" x14ac:dyDescent="0.35">
      <c r="A104" s="613"/>
      <c r="H104" s="614">
        <v>4.2350000000000003</v>
      </c>
      <c r="W104" s="636">
        <v>683.36542899999995</v>
      </c>
      <c r="X104" s="636"/>
      <c r="AV104" s="658"/>
    </row>
    <row r="105" spans="1:48" ht="18" x14ac:dyDescent="0.35">
      <c r="A105" s="613"/>
      <c r="H105" s="614">
        <v>27.494</v>
      </c>
      <c r="W105" s="636">
        <v>784.80863243128704</v>
      </c>
      <c r="X105" s="636"/>
      <c r="AV105" s="658"/>
    </row>
    <row r="106" spans="1:48" ht="18" x14ac:dyDescent="0.35">
      <c r="A106" s="613"/>
      <c r="W106" s="636">
        <v>392.40431699999999</v>
      </c>
      <c r="X106" s="636"/>
      <c r="AV106" s="658"/>
    </row>
    <row r="107" spans="1:48" ht="18" x14ac:dyDescent="0.35">
      <c r="A107" s="613"/>
      <c r="W107" s="636"/>
      <c r="X107" s="636"/>
      <c r="AV107" s="658"/>
    </row>
    <row r="108" spans="1:48" ht="18" x14ac:dyDescent="0.35">
      <c r="A108" s="613"/>
      <c r="H108" s="614">
        <v>21.960100000000001</v>
      </c>
      <c r="W108" s="636">
        <v>9444.5237498457191</v>
      </c>
      <c r="X108" s="636"/>
      <c r="AV108" s="658"/>
    </row>
    <row r="109" spans="1:48" ht="18" x14ac:dyDescent="0.35">
      <c r="A109" s="613"/>
      <c r="H109" s="614">
        <v>13.747</v>
      </c>
      <c r="W109" s="636">
        <v>8266.1340353077503</v>
      </c>
      <c r="X109" s="636"/>
      <c r="AV109" s="658"/>
    </row>
    <row r="110" spans="1:48" ht="18" x14ac:dyDescent="0.35">
      <c r="A110" s="613"/>
      <c r="H110" s="614">
        <v>8.2140000000000004</v>
      </c>
      <c r="W110" s="636">
        <v>1178.3897145379706</v>
      </c>
      <c r="X110" s="636"/>
      <c r="AV110" s="658"/>
    </row>
    <row r="111" spans="1:48" ht="18" x14ac:dyDescent="0.35">
      <c r="A111" s="613"/>
      <c r="W111" s="636"/>
      <c r="X111" s="636"/>
      <c r="AV111" s="658"/>
    </row>
    <row r="112" spans="1:48" ht="18" x14ac:dyDescent="0.35">
      <c r="A112" s="613"/>
      <c r="W112" s="636">
        <v>75.069982449999998</v>
      </c>
      <c r="X112" s="636"/>
      <c r="AV112" s="658"/>
    </row>
    <row r="113" spans="1:48" ht="18" x14ac:dyDescent="0.35">
      <c r="A113" s="613"/>
      <c r="W113" s="636">
        <v>-5.1040498539805413E-7</v>
      </c>
      <c r="X113" s="636"/>
      <c r="AV113" s="658"/>
    </row>
    <row r="114" spans="1:48" ht="18" x14ac:dyDescent="0.35">
      <c r="A114" s="613"/>
      <c r="W114" s="636">
        <v>0.52398130088905714</v>
      </c>
      <c r="X114" s="636"/>
      <c r="AV114" s="658"/>
    </row>
    <row r="115" spans="1:48" ht="18" x14ac:dyDescent="0.35">
      <c r="A115" s="613"/>
      <c r="W115" s="636"/>
      <c r="X115" s="636"/>
      <c r="AV115" s="658"/>
    </row>
    <row r="116" spans="1:48" ht="18" x14ac:dyDescent="0.35">
      <c r="A116" s="613"/>
      <c r="W116" s="636">
        <v>6.8000999999999996</v>
      </c>
      <c r="X116" s="636"/>
      <c r="AV116" s="658"/>
    </row>
    <row r="117" spans="1:48" ht="18" x14ac:dyDescent="0.35">
      <c r="A117" s="613"/>
      <c r="W117" s="636">
        <v>3.4650685687130585</v>
      </c>
      <c r="X117" s="636"/>
      <c r="AV117" s="658"/>
    </row>
    <row r="118" spans="1:48" ht="18" x14ac:dyDescent="0.35">
      <c r="A118" s="613"/>
      <c r="W118" s="636">
        <v>1.732534</v>
      </c>
      <c r="X118" s="636"/>
      <c r="AV118" s="658"/>
    </row>
    <row r="119" spans="1:48" ht="18" x14ac:dyDescent="0.35">
      <c r="A119" s="613"/>
      <c r="W119" s="636"/>
      <c r="X119" s="636"/>
      <c r="AV119" s="658"/>
    </row>
    <row r="120" spans="1:48" ht="18" x14ac:dyDescent="0.35">
      <c r="A120" s="613"/>
      <c r="W120" s="636">
        <v>85.859131809197137</v>
      </c>
      <c r="X120" s="636"/>
      <c r="AV120" s="658"/>
    </row>
    <row r="121" spans="1:48" ht="18" x14ac:dyDescent="0.35">
      <c r="A121" s="613"/>
      <c r="W121" s="636">
        <v>76.802516734356502</v>
      </c>
      <c r="X121" s="636"/>
    </row>
    <row r="122" spans="1:48" ht="18" x14ac:dyDescent="0.35">
      <c r="A122" s="613"/>
      <c r="W122" s="636">
        <v>9.0566150748406198</v>
      </c>
      <c r="X122" s="636"/>
    </row>
    <row r="123" spans="1:48" ht="18" x14ac:dyDescent="0.35">
      <c r="A123" s="613"/>
    </row>
    <row r="124" spans="1:48" ht="18" x14ac:dyDescent="0.35">
      <c r="A124" s="613"/>
    </row>
    <row r="125" spans="1:48" ht="18" x14ac:dyDescent="0.35">
      <c r="A125" s="613"/>
    </row>
    <row r="126" spans="1:48" ht="18" x14ac:dyDescent="0.35">
      <c r="A126" s="613"/>
    </row>
    <row r="127" spans="1:48" ht="18" x14ac:dyDescent="0.35">
      <c r="A127" s="613"/>
    </row>
    <row r="128" spans="1:48" ht="18" x14ac:dyDescent="0.35">
      <c r="A128" s="613"/>
    </row>
    <row r="129" spans="1:1" ht="18" x14ac:dyDescent="0.35">
      <c r="A129" s="613"/>
    </row>
    <row r="130" spans="1:1" ht="18" x14ac:dyDescent="0.35">
      <c r="A130" s="613"/>
    </row>
  </sheetData>
  <mergeCells count="27">
    <mergeCell ref="AR6:AT6"/>
    <mergeCell ref="B6:D6"/>
    <mergeCell ref="H6:J6"/>
    <mergeCell ref="N6:P6"/>
    <mergeCell ref="Q6:S6"/>
    <mergeCell ref="T6:V6"/>
    <mergeCell ref="E6:G6"/>
    <mergeCell ref="K6:M6"/>
    <mergeCell ref="AC6:AE6"/>
    <mergeCell ref="AI6:AK6"/>
    <mergeCell ref="AL6:AN6"/>
    <mergeCell ref="AO6:AQ6"/>
    <mergeCell ref="B7:D7"/>
    <mergeCell ref="H7:J7"/>
    <mergeCell ref="N7:P7"/>
    <mergeCell ref="Q7:S7"/>
    <mergeCell ref="T7:V7"/>
    <mergeCell ref="K7:M7"/>
    <mergeCell ref="AO7:AQ7"/>
    <mergeCell ref="AR7:AT7"/>
    <mergeCell ref="E7:G7"/>
    <mergeCell ref="Z7:AB7"/>
    <mergeCell ref="AC7:AE7"/>
    <mergeCell ref="AF7:AH7"/>
    <mergeCell ref="AI7:AK7"/>
    <mergeCell ref="W7:Y7"/>
    <mergeCell ref="AL7:AN7"/>
  </mergeCells>
  <conditionalFormatting sqref="E20">
    <cfRule type="expression" dxfId="357" priority="147">
      <formula>#REF!="20≠12+13+14+15+16+17+19"</formula>
    </cfRule>
    <cfRule type="expression" dxfId="356" priority="148">
      <formula>#REF!="20≠21+22"</formula>
    </cfRule>
  </conditionalFormatting>
  <conditionalFormatting sqref="E32">
    <cfRule type="expression" dxfId="355" priority="149">
      <formula>#REF!="32≠24+25+26+27+28+29+31"</formula>
    </cfRule>
  </conditionalFormatting>
  <conditionalFormatting sqref="E32">
    <cfRule type="expression" dxfId="354" priority="150">
      <formula>#REF!="32≠33+34"</formula>
    </cfRule>
  </conditionalFormatting>
  <conditionalFormatting sqref="B20">
    <cfRule type="expression" dxfId="353" priority="91">
      <formula>#REF!="20≠12+13+14+15+16+17+19"</formula>
    </cfRule>
    <cfRule type="expression" dxfId="352" priority="92">
      <formula>#REF!="20≠21+22"</formula>
    </cfRule>
  </conditionalFormatting>
  <conditionalFormatting sqref="B32">
    <cfRule type="expression" dxfId="351" priority="93">
      <formula>#REF!="32≠24+25+26+27+28+29+31"</formula>
    </cfRule>
  </conditionalFormatting>
  <conditionalFormatting sqref="B32">
    <cfRule type="expression" dxfId="350" priority="94">
      <formula>#REF!="32≠33+34"</formula>
    </cfRule>
  </conditionalFormatting>
  <conditionalFormatting sqref="H20">
    <cfRule type="expression" dxfId="349" priority="83">
      <formula>#REF!="20≠12+13+14+15+16+17+19"</formula>
    </cfRule>
    <cfRule type="expression" dxfId="348" priority="84">
      <formula>#REF!="20≠21+22"</formula>
    </cfRule>
  </conditionalFormatting>
  <conditionalFormatting sqref="H32">
    <cfRule type="expression" dxfId="347" priority="85">
      <formula>#REF!="32≠24+25+26+27+28+29+31"</formula>
    </cfRule>
  </conditionalFormatting>
  <conditionalFormatting sqref="H32">
    <cfRule type="expression" dxfId="346" priority="86">
      <formula>#REF!="32≠33+34"</formula>
    </cfRule>
  </conditionalFormatting>
  <conditionalFormatting sqref="K20">
    <cfRule type="expression" dxfId="345" priority="75">
      <formula>#REF!="20≠12+13+14+15+16+17+19"</formula>
    </cfRule>
    <cfRule type="expression" dxfId="344" priority="76">
      <formula>#REF!="20≠21+22"</formula>
    </cfRule>
  </conditionalFormatting>
  <conditionalFormatting sqref="K32">
    <cfRule type="expression" dxfId="343" priority="77">
      <formula>#REF!="32≠24+25+26+27+28+29+31"</formula>
    </cfRule>
  </conditionalFormatting>
  <conditionalFormatting sqref="K32">
    <cfRule type="expression" dxfId="342" priority="78">
      <formula>#REF!="32≠33+34"</formula>
    </cfRule>
  </conditionalFormatting>
  <conditionalFormatting sqref="N20">
    <cfRule type="expression" dxfId="341" priority="67">
      <formula>#REF!="20≠12+13+14+15+16+17+19"</formula>
    </cfRule>
    <cfRule type="expression" dxfId="340" priority="68">
      <formula>#REF!="20≠21+22"</formula>
    </cfRule>
  </conditionalFormatting>
  <conditionalFormatting sqref="N32">
    <cfRule type="expression" dxfId="339" priority="69">
      <formula>#REF!="32≠24+25+26+27+28+29+31"</formula>
    </cfRule>
  </conditionalFormatting>
  <conditionalFormatting sqref="N32">
    <cfRule type="expression" dxfId="338" priority="70">
      <formula>#REF!="32≠33+34"</formula>
    </cfRule>
  </conditionalFormatting>
  <conditionalFormatting sqref="Q20">
    <cfRule type="expression" dxfId="337" priority="59">
      <formula>#REF!="20≠12+13+14+15+16+17+19"</formula>
    </cfRule>
    <cfRule type="expression" dxfId="336" priority="60">
      <formula>#REF!="20≠21+22"</formula>
    </cfRule>
  </conditionalFormatting>
  <conditionalFormatting sqref="Q32">
    <cfRule type="expression" dxfId="335" priority="61">
      <formula>#REF!="32≠24+25+26+27+28+29+31"</formula>
    </cfRule>
  </conditionalFormatting>
  <conditionalFormatting sqref="Q32">
    <cfRule type="expression" dxfId="334" priority="62">
      <formula>#REF!="32≠33+34"</formula>
    </cfRule>
  </conditionalFormatting>
  <conditionalFormatting sqref="AF20">
    <cfRule type="expression" dxfId="333" priority="51">
      <formula>#REF!="20≠12+13+14+15+16+17+19"</formula>
    </cfRule>
    <cfRule type="expression" dxfId="332" priority="52">
      <formula>#REF!="20≠21+22"</formula>
    </cfRule>
  </conditionalFormatting>
  <conditionalFormatting sqref="AF32">
    <cfRule type="expression" dxfId="331" priority="53">
      <formula>#REF!="32≠24+25+26+27+28+29+31"</formula>
    </cfRule>
  </conditionalFormatting>
  <conditionalFormatting sqref="AF32">
    <cfRule type="expression" dxfId="330" priority="54">
      <formula>#REF!="32≠33+34"</formula>
    </cfRule>
  </conditionalFormatting>
  <conditionalFormatting sqref="T20">
    <cfRule type="expression" dxfId="329" priority="43">
      <formula>#REF!="20≠12+13+14+15+16+17+19"</formula>
    </cfRule>
    <cfRule type="expression" dxfId="328" priority="44">
      <formula>#REF!="20≠21+22"</formula>
    </cfRule>
  </conditionalFormatting>
  <conditionalFormatting sqref="T32">
    <cfRule type="expression" dxfId="327" priority="45">
      <formula>#REF!="32≠24+25+26+27+28+29+31"</formula>
    </cfRule>
  </conditionalFormatting>
  <conditionalFormatting sqref="T32">
    <cfRule type="expression" dxfId="326" priority="46">
      <formula>#REF!="32≠33+34"</formula>
    </cfRule>
  </conditionalFormatting>
  <conditionalFormatting sqref="W20">
    <cfRule type="expression" dxfId="325" priority="35">
      <formula>#REF!="20≠12+13+14+15+16+17+19"</formula>
    </cfRule>
    <cfRule type="expression" dxfId="324" priority="36">
      <formula>#REF!="20≠21+22"</formula>
    </cfRule>
  </conditionalFormatting>
  <conditionalFormatting sqref="W32">
    <cfRule type="expression" dxfId="323" priority="37">
      <formula>#REF!="32≠24+25+26+27+28+29+31"</formula>
    </cfRule>
  </conditionalFormatting>
  <conditionalFormatting sqref="W32">
    <cfRule type="expression" dxfId="322" priority="38">
      <formula>#REF!="32≠33+34"</formula>
    </cfRule>
  </conditionalFormatting>
  <conditionalFormatting sqref="Z20">
    <cfRule type="expression" dxfId="321" priority="27">
      <formula>#REF!="20≠12+13+14+15+16+17+19"</formula>
    </cfRule>
    <cfRule type="expression" dxfId="320" priority="28">
      <formula>#REF!="20≠21+22"</formula>
    </cfRule>
  </conditionalFormatting>
  <conditionalFormatting sqref="Z32">
    <cfRule type="expression" dxfId="319" priority="29">
      <formula>#REF!="32≠24+25+26+27+28+29+31"</formula>
    </cfRule>
  </conditionalFormatting>
  <conditionalFormatting sqref="Z32">
    <cfRule type="expression" dxfId="318" priority="30">
      <formula>#REF!="32≠33+34"</formula>
    </cfRule>
  </conditionalFormatting>
  <conditionalFormatting sqref="AC32">
    <cfRule type="expression" dxfId="317" priority="19">
      <formula>#REF!="32≠24+25+26+27+28+29+31"</formula>
    </cfRule>
  </conditionalFormatting>
  <conditionalFormatting sqref="AC32">
    <cfRule type="expression" dxfId="316" priority="20">
      <formula>#REF!="32≠33+34"</formula>
    </cfRule>
  </conditionalFormatting>
  <conditionalFormatting sqref="AC20">
    <cfRule type="expression" dxfId="315" priority="21">
      <formula>#REF!="20≠12+13+14+15+16+17+19"</formula>
    </cfRule>
    <cfRule type="expression" dxfId="314" priority="22">
      <formula>#REF!="20≠21+22"</formula>
    </cfRule>
  </conditionalFormatting>
  <conditionalFormatting sqref="AI20">
    <cfRule type="expression" dxfId="313" priority="11">
      <formula>#REF!="20≠12+13+14+15+16+17+19"</formula>
    </cfRule>
    <cfRule type="expression" dxfId="312" priority="12">
      <formula>#REF!="20≠21+22"</formula>
    </cfRule>
  </conditionalFormatting>
  <conditionalFormatting sqref="AI32">
    <cfRule type="expression" dxfId="311" priority="13">
      <formula>#REF!="32≠24+25+26+27+28+29+31"</formula>
    </cfRule>
  </conditionalFormatting>
  <conditionalFormatting sqref="AI32">
    <cfRule type="expression" dxfId="310" priority="14">
      <formula>#REF!="32≠33+34"</formula>
    </cfRule>
  </conditionalFormatting>
  <conditionalFormatting sqref="AL20">
    <cfRule type="expression" dxfId="309" priority="3">
      <formula>#REF!="20≠12+13+14+15+16+17+19"</formula>
    </cfRule>
    <cfRule type="expression" dxfId="308" priority="4">
      <formula>#REF!="20≠21+22"</formula>
    </cfRule>
  </conditionalFormatting>
  <conditionalFormatting sqref="AL32">
    <cfRule type="expression" dxfId="307" priority="5">
      <formula>#REF!="32≠24+25+26+27+28+29+31"</formula>
    </cfRule>
  </conditionalFormatting>
  <conditionalFormatting sqref="AL32">
    <cfRule type="expression" dxfId="306" priority="6">
      <formula>#REF!="32≠33+34"</formula>
    </cfRule>
  </conditionalFormatting>
  <conditionalFormatting sqref="F20 I20 L20 O20 R20 U20 X20 AG20 AA20 AD20 AJ20 AM20 C20">
    <cfRule type="expression" dxfId="305" priority="1365">
      <formula>#REF!="20≠12+13+14+15+16+17+19"</formula>
    </cfRule>
    <cfRule type="expression" dxfId="304" priority="1366">
      <formula>#REF!="20≠21+22"</formula>
    </cfRule>
  </conditionalFormatting>
  <conditionalFormatting sqref="F32 C32 I32 L32 O32 R32 AG32 U32 AA32 AD32 AJ32 AM32 X32">
    <cfRule type="expression" dxfId="303" priority="1389">
      <formula>#REF!="32≠24+25+26+27+28+29+31"</formula>
    </cfRule>
  </conditionalFormatting>
  <conditionalFormatting sqref="F32 C32 I32 L32 O32 R32 AG32 U32 AA32 AD32 AJ32 AM32 X32">
    <cfRule type="expression" dxfId="302" priority="1390">
      <formula>#REF!="32≠33+34"</formula>
    </cfRule>
  </conditionalFormatting>
  <hyperlinks>
    <hyperlink ref="B1" location="Innhold!A1" display="Tilbake" xr:uid="{00000000-0004-0000-21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4140625" defaultRowHeight="13.2" x14ac:dyDescent="0.25"/>
  <cols>
    <col min="1" max="1" width="106.6640625" style="460" customWidth="1"/>
    <col min="2" max="40" width="11.6640625" style="460" customWidth="1"/>
    <col min="41" max="41" width="15.33203125" style="460" customWidth="1"/>
    <col min="42" max="42" width="13" style="460" customWidth="1"/>
    <col min="43" max="43" width="11.6640625" style="460" customWidth="1"/>
    <col min="44" max="45" width="13" style="460" customWidth="1"/>
    <col min="46" max="46" width="11.6640625" style="460" customWidth="1"/>
    <col min="47" max="16384" width="11.44140625" style="460"/>
  </cols>
  <sheetData>
    <row r="1" spans="1:60" ht="20.25" customHeight="1" x14ac:dyDescent="0.35">
      <c r="A1" s="465" t="s">
        <v>173</v>
      </c>
      <c r="B1" s="466" t="s">
        <v>52</v>
      </c>
      <c r="C1" s="467"/>
      <c r="D1" s="467"/>
      <c r="H1" s="467"/>
      <c r="I1" s="467"/>
      <c r="J1" s="467"/>
      <c r="K1" s="467"/>
      <c r="L1" s="467"/>
      <c r="M1" s="467"/>
      <c r="N1" s="467"/>
      <c r="O1" s="467"/>
      <c r="P1" s="467"/>
    </row>
    <row r="2" spans="1:60" ht="20.100000000000001" customHeight="1" x14ac:dyDescent="0.35">
      <c r="A2" s="465" t="s">
        <v>174</v>
      </c>
    </row>
    <row r="3" spans="1:60" ht="20.100000000000001" customHeight="1" x14ac:dyDescent="0.3">
      <c r="A3" s="468" t="s">
        <v>175</v>
      </c>
      <c r="B3" s="469"/>
      <c r="C3" s="469"/>
      <c r="D3" s="469"/>
      <c r="H3" s="469"/>
      <c r="I3" s="469"/>
      <c r="J3" s="469"/>
      <c r="K3" s="469"/>
      <c r="L3" s="469"/>
      <c r="M3" s="469"/>
      <c r="N3" s="469"/>
      <c r="O3" s="469"/>
      <c r="P3" s="469"/>
    </row>
    <row r="4" spans="1:60" ht="18.75" customHeight="1" x14ac:dyDescent="0.3">
      <c r="A4" s="470" t="s">
        <v>360</v>
      </c>
      <c r="B4" s="471"/>
      <c r="C4" s="471"/>
      <c r="D4" s="472"/>
      <c r="E4" s="475"/>
      <c r="F4" s="474"/>
      <c r="G4" s="476"/>
      <c r="H4" s="471"/>
      <c r="I4" s="471"/>
      <c r="J4" s="472"/>
      <c r="K4" s="473"/>
      <c r="L4" s="471"/>
      <c r="M4" s="472"/>
      <c r="N4" s="473"/>
      <c r="O4" s="471"/>
      <c r="P4" s="472"/>
      <c r="Q4" s="474"/>
      <c r="R4" s="474"/>
      <c r="S4" s="474"/>
      <c r="T4" s="475"/>
      <c r="U4" s="474"/>
      <c r="V4" s="476"/>
      <c r="W4" s="475"/>
      <c r="X4" s="474"/>
      <c r="Y4" s="476"/>
      <c r="Z4" s="475"/>
      <c r="AA4" s="474"/>
      <c r="AB4" s="476"/>
      <c r="AC4" s="475"/>
      <c r="AD4" s="474"/>
      <c r="AE4" s="476"/>
      <c r="AF4" s="475"/>
      <c r="AG4" s="474"/>
      <c r="AH4" s="476"/>
      <c r="AI4" s="475"/>
      <c r="AJ4" s="474"/>
      <c r="AK4" s="476"/>
      <c r="AL4" s="475"/>
      <c r="AM4" s="474"/>
      <c r="AN4" s="476"/>
      <c r="AO4" s="475"/>
      <c r="AP4" s="474"/>
      <c r="AQ4" s="476"/>
      <c r="AR4" s="475"/>
      <c r="AS4" s="474"/>
      <c r="AT4" s="476"/>
      <c r="AU4" s="477"/>
      <c r="AV4" s="477"/>
      <c r="AW4" s="477"/>
      <c r="AX4" s="477"/>
      <c r="AY4" s="477"/>
      <c r="AZ4" s="477"/>
      <c r="BA4" s="477"/>
      <c r="BB4" s="477"/>
      <c r="BC4" s="477"/>
      <c r="BD4" s="477"/>
      <c r="BE4" s="477"/>
      <c r="BF4" s="477"/>
      <c r="BG4" s="477"/>
      <c r="BH4" s="477"/>
    </row>
    <row r="5" spans="1:60" ht="18.75" customHeight="1" x14ac:dyDescent="0.3">
      <c r="A5" s="478" t="s">
        <v>101</v>
      </c>
      <c r="B5" s="993" t="s">
        <v>176</v>
      </c>
      <c r="C5" s="994"/>
      <c r="D5" s="995"/>
      <c r="E5" s="993" t="s">
        <v>177</v>
      </c>
      <c r="F5" s="994"/>
      <c r="G5" s="995"/>
      <c r="H5" s="993" t="s">
        <v>177</v>
      </c>
      <c r="I5" s="994"/>
      <c r="J5" s="995"/>
      <c r="K5" s="993" t="s">
        <v>481</v>
      </c>
      <c r="L5" s="994"/>
      <c r="M5" s="995"/>
      <c r="N5" s="993" t="s">
        <v>178</v>
      </c>
      <c r="O5" s="994"/>
      <c r="P5" s="995"/>
      <c r="Q5" s="993" t="s">
        <v>179</v>
      </c>
      <c r="R5" s="994"/>
      <c r="S5" s="995"/>
      <c r="T5" s="861" t="s">
        <v>180</v>
      </c>
      <c r="U5" s="862"/>
      <c r="V5" s="863"/>
      <c r="W5" s="861" t="s">
        <v>180</v>
      </c>
      <c r="X5" s="862"/>
      <c r="Y5" s="863"/>
      <c r="Z5" s="861"/>
      <c r="AA5" s="862"/>
      <c r="AB5" s="863"/>
      <c r="AC5" s="993" t="s">
        <v>181</v>
      </c>
      <c r="AD5" s="994"/>
      <c r="AE5" s="995"/>
      <c r="AF5" s="861"/>
      <c r="AG5" s="862"/>
      <c r="AH5" s="863"/>
      <c r="AI5" s="971" t="s">
        <v>68</v>
      </c>
      <c r="AJ5" s="972"/>
      <c r="AK5" s="973"/>
      <c r="AL5" s="993" t="s">
        <v>73</v>
      </c>
      <c r="AM5" s="994"/>
      <c r="AN5" s="995"/>
      <c r="AO5" s="999" t="s">
        <v>2</v>
      </c>
      <c r="AP5" s="1000"/>
      <c r="AQ5" s="1001"/>
      <c r="AR5" s="993" t="s">
        <v>2</v>
      </c>
      <c r="AS5" s="994"/>
      <c r="AT5" s="995"/>
      <c r="AU5" s="929"/>
      <c r="AV5" s="929"/>
      <c r="AW5" s="992"/>
      <c r="AX5" s="992"/>
      <c r="AY5" s="992"/>
      <c r="AZ5" s="992"/>
      <c r="BA5" s="992"/>
      <c r="BB5" s="992"/>
      <c r="BC5" s="992"/>
      <c r="BD5" s="992"/>
      <c r="BE5" s="992"/>
      <c r="BF5" s="992"/>
      <c r="BG5" s="992"/>
      <c r="BH5" s="992"/>
    </row>
    <row r="6" spans="1:60" ht="21" customHeight="1" x14ac:dyDescent="0.3">
      <c r="A6" s="480"/>
      <c r="B6" s="996" t="s">
        <v>182</v>
      </c>
      <c r="C6" s="997"/>
      <c r="D6" s="998"/>
      <c r="E6" s="996" t="s">
        <v>496</v>
      </c>
      <c r="F6" s="997"/>
      <c r="G6" s="998"/>
      <c r="H6" s="996" t="s">
        <v>183</v>
      </c>
      <c r="I6" s="997"/>
      <c r="J6" s="998"/>
      <c r="K6" s="996" t="s">
        <v>183</v>
      </c>
      <c r="L6" s="997"/>
      <c r="M6" s="998"/>
      <c r="N6" s="996" t="s">
        <v>183</v>
      </c>
      <c r="O6" s="997"/>
      <c r="P6" s="998"/>
      <c r="Q6" s="996" t="s">
        <v>184</v>
      </c>
      <c r="R6" s="997"/>
      <c r="S6" s="998"/>
      <c r="T6" s="996" t="s">
        <v>91</v>
      </c>
      <c r="U6" s="997"/>
      <c r="V6" s="998"/>
      <c r="W6" s="996" t="s">
        <v>63</v>
      </c>
      <c r="X6" s="997"/>
      <c r="Y6" s="998"/>
      <c r="Z6" s="996" t="s">
        <v>66</v>
      </c>
      <c r="AA6" s="997"/>
      <c r="AB6" s="998"/>
      <c r="AC6" s="996" t="s">
        <v>182</v>
      </c>
      <c r="AD6" s="997"/>
      <c r="AE6" s="998"/>
      <c r="AF6" s="996" t="s">
        <v>72</v>
      </c>
      <c r="AG6" s="997"/>
      <c r="AH6" s="998"/>
      <c r="AI6" s="965" t="s">
        <v>497</v>
      </c>
      <c r="AJ6" s="966"/>
      <c r="AK6" s="967"/>
      <c r="AL6" s="996" t="s">
        <v>183</v>
      </c>
      <c r="AM6" s="997"/>
      <c r="AN6" s="998"/>
      <c r="AO6" s="1002" t="s">
        <v>512</v>
      </c>
      <c r="AP6" s="1003"/>
      <c r="AQ6" s="1004"/>
      <c r="AR6" s="996" t="s">
        <v>185</v>
      </c>
      <c r="AS6" s="997"/>
      <c r="AT6" s="998"/>
      <c r="AU6" s="929"/>
      <c r="AV6" s="929"/>
      <c r="AW6" s="992"/>
      <c r="AX6" s="992"/>
      <c r="AY6" s="992"/>
      <c r="AZ6" s="992"/>
      <c r="BA6" s="992"/>
      <c r="BB6" s="992"/>
      <c r="BC6" s="992"/>
      <c r="BD6" s="992"/>
      <c r="BE6" s="992"/>
      <c r="BF6" s="992"/>
      <c r="BG6" s="992"/>
      <c r="BH6" s="992"/>
    </row>
    <row r="7" spans="1:60" ht="18.75" customHeight="1" x14ac:dyDescent="0.3">
      <c r="A7" s="480"/>
      <c r="B7" s="505"/>
      <c r="C7" s="505"/>
      <c r="D7" s="481" t="s">
        <v>81</v>
      </c>
      <c r="E7" s="505"/>
      <c r="F7" s="505"/>
      <c r="G7" s="481" t="s">
        <v>81</v>
      </c>
      <c r="H7" s="505"/>
      <c r="I7" s="505"/>
      <c r="J7" s="481" t="s">
        <v>81</v>
      </c>
      <c r="K7" s="505"/>
      <c r="L7" s="505"/>
      <c r="M7" s="481" t="s">
        <v>81</v>
      </c>
      <c r="N7" s="505"/>
      <c r="O7" s="505"/>
      <c r="P7" s="481" t="s">
        <v>81</v>
      </c>
      <c r="Q7" s="505"/>
      <c r="R7" s="505"/>
      <c r="S7" s="481" t="s">
        <v>81</v>
      </c>
      <c r="T7" s="505"/>
      <c r="U7" s="505"/>
      <c r="V7" s="481" t="s">
        <v>81</v>
      </c>
      <c r="W7" s="505"/>
      <c r="X7" s="505"/>
      <c r="Y7" s="481" t="s">
        <v>81</v>
      </c>
      <c r="Z7" s="505"/>
      <c r="AA7" s="505"/>
      <c r="AB7" s="481" t="s">
        <v>81</v>
      </c>
      <c r="AC7" s="505"/>
      <c r="AD7" s="505"/>
      <c r="AE7" s="481" t="s">
        <v>81</v>
      </c>
      <c r="AF7" s="505"/>
      <c r="AG7" s="505"/>
      <c r="AH7" s="481" t="s">
        <v>81</v>
      </c>
      <c r="AI7" s="505"/>
      <c r="AJ7" s="505"/>
      <c r="AK7" s="481" t="s">
        <v>81</v>
      </c>
      <c r="AL7" s="505"/>
      <c r="AM7" s="505"/>
      <c r="AN7" s="481" t="s">
        <v>81</v>
      </c>
      <c r="AO7" s="930"/>
      <c r="AP7" s="930"/>
      <c r="AQ7" s="931" t="s">
        <v>81</v>
      </c>
      <c r="AR7" s="505"/>
      <c r="AS7" s="505"/>
      <c r="AT7" s="481" t="s">
        <v>81</v>
      </c>
      <c r="AU7" s="929"/>
      <c r="AV7" s="929"/>
      <c r="AW7" s="479"/>
      <c r="AX7" s="479"/>
      <c r="AY7" s="479"/>
      <c r="AZ7" s="479"/>
      <c r="BA7" s="479"/>
      <c r="BB7" s="479"/>
      <c r="BC7" s="479"/>
      <c r="BD7" s="479"/>
      <c r="BE7" s="479"/>
      <c r="BF7" s="479"/>
      <c r="BG7" s="479"/>
      <c r="BH7" s="479"/>
    </row>
    <row r="8" spans="1:60" ht="18.75" customHeight="1" x14ac:dyDescent="0.35">
      <c r="A8" s="450" t="s">
        <v>186</v>
      </c>
      <c r="B8" s="809">
        <v>2020</v>
      </c>
      <c r="C8" s="809">
        <v>2021</v>
      </c>
      <c r="D8" s="451" t="s">
        <v>83</v>
      </c>
      <c r="E8" s="809">
        <f>$B$8</f>
        <v>2020</v>
      </c>
      <c r="F8" s="809">
        <f>$C$8</f>
        <v>2021</v>
      </c>
      <c r="G8" s="451" t="s">
        <v>83</v>
      </c>
      <c r="H8" s="809">
        <f>$B$8</f>
        <v>2020</v>
      </c>
      <c r="I8" s="809">
        <f>$C$8</f>
        <v>2021</v>
      </c>
      <c r="J8" s="451" t="s">
        <v>83</v>
      </c>
      <c r="K8" s="809">
        <f>$B$8</f>
        <v>2020</v>
      </c>
      <c r="L8" s="809">
        <f>$C$8</f>
        <v>2021</v>
      </c>
      <c r="M8" s="451" t="s">
        <v>83</v>
      </c>
      <c r="N8" s="809">
        <f>$B$8</f>
        <v>2020</v>
      </c>
      <c r="O8" s="809">
        <f>$C$8</f>
        <v>2021</v>
      </c>
      <c r="P8" s="451" t="s">
        <v>83</v>
      </c>
      <c r="Q8" s="809">
        <f>$B$8</f>
        <v>2020</v>
      </c>
      <c r="R8" s="809">
        <f>$C$8</f>
        <v>2021</v>
      </c>
      <c r="S8" s="451" t="s">
        <v>83</v>
      </c>
      <c r="T8" s="809">
        <f>$B$8</f>
        <v>2020</v>
      </c>
      <c r="U8" s="809">
        <f>$C$8</f>
        <v>2021</v>
      </c>
      <c r="V8" s="451" t="s">
        <v>83</v>
      </c>
      <c r="W8" s="809">
        <f>$B$8</f>
        <v>2020</v>
      </c>
      <c r="X8" s="809">
        <f>$C$8</f>
        <v>2021</v>
      </c>
      <c r="Y8" s="451" t="s">
        <v>83</v>
      </c>
      <c r="Z8" s="809">
        <f>$B$8</f>
        <v>2020</v>
      </c>
      <c r="AA8" s="809">
        <f>$C$8</f>
        <v>2021</v>
      </c>
      <c r="AB8" s="451" t="s">
        <v>83</v>
      </c>
      <c r="AC8" s="809">
        <f>$B$8</f>
        <v>2020</v>
      </c>
      <c r="AD8" s="809">
        <f>$C$8</f>
        <v>2021</v>
      </c>
      <c r="AE8" s="451" t="s">
        <v>83</v>
      </c>
      <c r="AF8" s="809">
        <f>$B$8</f>
        <v>2020</v>
      </c>
      <c r="AG8" s="809">
        <f>$C$8</f>
        <v>2021</v>
      </c>
      <c r="AH8" s="451" t="s">
        <v>83</v>
      </c>
      <c r="AI8" s="809">
        <f>$B$8</f>
        <v>2020</v>
      </c>
      <c r="AJ8" s="809">
        <f>$C$8</f>
        <v>2021</v>
      </c>
      <c r="AK8" s="451" t="s">
        <v>83</v>
      </c>
      <c r="AL8" s="809">
        <f>$B$8</f>
        <v>2020</v>
      </c>
      <c r="AM8" s="809">
        <f>$C$8</f>
        <v>2021</v>
      </c>
      <c r="AN8" s="451" t="s">
        <v>83</v>
      </c>
      <c r="AO8" s="809">
        <f>$B$8</f>
        <v>2020</v>
      </c>
      <c r="AP8" s="809">
        <f>$C$8</f>
        <v>2021</v>
      </c>
      <c r="AQ8" s="932" t="s">
        <v>83</v>
      </c>
      <c r="AR8" s="809">
        <f>$B$8</f>
        <v>2020</v>
      </c>
      <c r="AS8" s="809">
        <f>$C$8</f>
        <v>2021</v>
      </c>
      <c r="AT8" s="451" t="s">
        <v>83</v>
      </c>
      <c r="AU8" s="483"/>
      <c r="AV8" s="482"/>
      <c r="AW8" s="483"/>
      <c r="AX8" s="483"/>
      <c r="AY8" s="482"/>
      <c r="AZ8" s="483"/>
      <c r="BA8" s="483"/>
      <c r="BB8" s="482"/>
      <c r="BC8" s="483"/>
      <c r="BD8" s="483"/>
      <c r="BE8" s="482"/>
      <c r="BF8" s="483"/>
      <c r="BG8" s="483"/>
      <c r="BH8" s="482"/>
    </row>
    <row r="9" spans="1:60" ht="18.75" customHeight="1" x14ac:dyDescent="0.35">
      <c r="A9" s="452"/>
      <c r="B9" s="885"/>
      <c r="C9" s="885"/>
      <c r="D9" s="430"/>
      <c r="E9" s="431"/>
      <c r="F9" s="430"/>
      <c r="G9" s="334"/>
      <c r="H9" s="885"/>
      <c r="I9" s="885"/>
      <c r="J9" s="430"/>
      <c r="K9" s="885"/>
      <c r="L9" s="885"/>
      <c r="M9" s="430"/>
      <c r="N9" s="885"/>
      <c r="O9" s="885"/>
      <c r="P9" s="430"/>
      <c r="Q9" s="879"/>
      <c r="R9" s="885"/>
      <c r="S9" s="431"/>
      <c r="T9" s="432"/>
      <c r="U9" s="885"/>
      <c r="V9" s="334"/>
      <c r="W9" s="879"/>
      <c r="X9" s="885"/>
      <c r="Y9" s="334"/>
      <c r="Z9" s="879"/>
      <c r="AA9" s="885"/>
      <c r="AB9" s="334"/>
      <c r="AC9" s="879"/>
      <c r="AD9" s="885"/>
      <c r="AE9" s="334"/>
      <c r="AF9" s="879"/>
      <c r="AG9" s="885"/>
      <c r="AH9" s="334"/>
      <c r="AI9" s="879"/>
      <c r="AJ9" s="885"/>
      <c r="AK9" s="334"/>
      <c r="AL9" s="879"/>
      <c r="AM9" s="885"/>
      <c r="AN9" s="334"/>
      <c r="AO9" s="933"/>
      <c r="AP9" s="933"/>
      <c r="AQ9" s="334"/>
      <c r="AR9" s="433"/>
      <c r="AS9" s="433"/>
      <c r="AT9" s="334"/>
    </row>
    <row r="10" spans="1:60" s="461" customFormat="1" ht="18.75" customHeight="1" x14ac:dyDescent="0.35">
      <c r="A10" s="453" t="s">
        <v>187</v>
      </c>
      <c r="B10" s="886"/>
      <c r="C10" s="886"/>
      <c r="D10" s="434"/>
      <c r="E10" s="431"/>
      <c r="F10" s="434"/>
      <c r="G10" s="334"/>
      <c r="H10" s="886"/>
      <c r="I10" s="886"/>
      <c r="J10" s="434"/>
      <c r="K10" s="886"/>
      <c r="L10" s="886"/>
      <c r="M10" s="434"/>
      <c r="N10" s="886"/>
      <c r="O10" s="886"/>
      <c r="P10" s="434"/>
      <c r="Q10" s="879"/>
      <c r="R10" s="886"/>
      <c r="S10" s="431"/>
      <c r="T10" s="432"/>
      <c r="U10" s="886"/>
      <c r="V10" s="334"/>
      <c r="W10" s="879"/>
      <c r="X10" s="886"/>
      <c r="Y10" s="334"/>
      <c r="Z10" s="879"/>
      <c r="AA10" s="886"/>
      <c r="AB10" s="334"/>
      <c r="AC10" s="879"/>
      <c r="AD10" s="886"/>
      <c r="AE10" s="334"/>
      <c r="AF10" s="879"/>
      <c r="AG10" s="886"/>
      <c r="AH10" s="334"/>
      <c r="AI10" s="879"/>
      <c r="AJ10" s="886"/>
      <c r="AK10" s="334"/>
      <c r="AL10" s="879"/>
      <c r="AM10" s="886"/>
      <c r="AN10" s="334"/>
      <c r="AO10" s="933"/>
      <c r="AP10" s="933"/>
      <c r="AQ10" s="334"/>
      <c r="AR10" s="433"/>
      <c r="AS10" s="433"/>
      <c r="AT10" s="334"/>
    </row>
    <row r="11" spans="1:60" s="461" customFormat="1" ht="18.75" customHeight="1" x14ac:dyDescent="0.35">
      <c r="A11" s="454"/>
      <c r="B11" s="886"/>
      <c r="C11" s="886"/>
      <c r="D11" s="434"/>
      <c r="E11" s="431"/>
      <c r="F11" s="434"/>
      <c r="G11" s="334"/>
      <c r="H11" s="886"/>
      <c r="I11" s="886"/>
      <c r="J11" s="434"/>
      <c r="K11" s="886"/>
      <c r="L11" s="886"/>
      <c r="M11" s="434"/>
      <c r="N11" s="886"/>
      <c r="O11" s="886"/>
      <c r="P11" s="434"/>
      <c r="Q11" s="879"/>
      <c r="R11" s="886"/>
      <c r="S11" s="431"/>
      <c r="T11" s="432"/>
      <c r="U11" s="886"/>
      <c r="V11" s="334"/>
      <c r="W11" s="879"/>
      <c r="X11" s="886"/>
      <c r="Y11" s="334"/>
      <c r="Z11" s="879"/>
      <c r="AA11" s="886"/>
      <c r="AB11" s="334"/>
      <c r="AC11" s="879"/>
      <c r="AD11" s="886"/>
      <c r="AE11" s="334"/>
      <c r="AF11" s="879"/>
      <c r="AG11" s="886"/>
      <c r="AH11" s="334"/>
      <c r="AI11" s="879"/>
      <c r="AJ11" s="886"/>
      <c r="AK11" s="334"/>
      <c r="AL11" s="879"/>
      <c r="AM11" s="886"/>
      <c r="AN11" s="334"/>
      <c r="AO11" s="933"/>
      <c r="AP11" s="933"/>
      <c r="AQ11" s="334"/>
      <c r="AR11" s="433"/>
      <c r="AS11" s="433"/>
      <c r="AT11" s="334"/>
    </row>
    <row r="12" spans="1:60" s="461" customFormat="1" ht="20.100000000000001" customHeight="1" x14ac:dyDescent="0.35">
      <c r="A12" s="453" t="s">
        <v>188</v>
      </c>
      <c r="B12" s="887"/>
      <c r="C12" s="887"/>
      <c r="D12" s="435"/>
      <c r="E12" s="431"/>
      <c r="F12" s="435"/>
      <c r="G12" s="334"/>
      <c r="H12" s="887"/>
      <c r="I12" s="887"/>
      <c r="J12" s="435"/>
      <c r="K12" s="887"/>
      <c r="L12" s="887"/>
      <c r="M12" s="435"/>
      <c r="N12" s="887"/>
      <c r="O12" s="887"/>
      <c r="P12" s="435"/>
      <c r="Q12" s="879"/>
      <c r="R12" s="887"/>
      <c r="S12" s="431"/>
      <c r="T12" s="432"/>
      <c r="U12" s="887"/>
      <c r="V12" s="334"/>
      <c r="W12" s="879"/>
      <c r="X12" s="887"/>
      <c r="Y12" s="334"/>
      <c r="Z12" s="879"/>
      <c r="AA12" s="887"/>
      <c r="AB12" s="334"/>
      <c r="AC12" s="879"/>
      <c r="AD12" s="887"/>
      <c r="AE12" s="334"/>
      <c r="AF12" s="879"/>
      <c r="AG12" s="887"/>
      <c r="AH12" s="334"/>
      <c r="AI12" s="879"/>
      <c r="AJ12" s="887"/>
      <c r="AK12" s="334"/>
      <c r="AL12" s="879"/>
      <c r="AM12" s="887"/>
      <c r="AN12" s="334"/>
      <c r="AO12" s="933"/>
      <c r="AP12" s="933"/>
      <c r="AQ12" s="334"/>
      <c r="AR12" s="433"/>
      <c r="AS12" s="433"/>
      <c r="AT12" s="334"/>
    </row>
    <row r="13" spans="1:60" s="484" customFormat="1" ht="20.100000000000001" customHeight="1" x14ac:dyDescent="0.35">
      <c r="A13" s="453" t="s">
        <v>189</v>
      </c>
      <c r="B13" s="887"/>
      <c r="C13" s="887"/>
      <c r="D13" s="436"/>
      <c r="E13" s="805"/>
      <c r="F13" s="435"/>
      <c r="G13" s="438"/>
      <c r="H13" s="887"/>
      <c r="I13" s="887"/>
      <c r="J13" s="436"/>
      <c r="K13" s="887"/>
      <c r="L13" s="887"/>
      <c r="M13" s="436"/>
      <c r="N13" s="887"/>
      <c r="O13" s="887"/>
      <c r="P13" s="436"/>
      <c r="Q13" s="905"/>
      <c r="R13" s="887"/>
      <c r="S13" s="437"/>
      <c r="T13" s="814"/>
      <c r="U13" s="887"/>
      <c r="V13" s="438"/>
      <c r="W13" s="905"/>
      <c r="X13" s="887"/>
      <c r="Y13" s="438"/>
      <c r="Z13" s="905"/>
      <c r="AA13" s="887"/>
      <c r="AB13" s="438"/>
      <c r="AC13" s="905"/>
      <c r="AD13" s="887"/>
      <c r="AE13" s="438"/>
      <c r="AF13" s="905"/>
      <c r="AG13" s="887"/>
      <c r="AH13" s="438"/>
      <c r="AI13" s="905"/>
      <c r="AJ13" s="887"/>
      <c r="AK13" s="438"/>
      <c r="AL13" s="905"/>
      <c r="AM13" s="887"/>
      <c r="AN13" s="438"/>
      <c r="AO13" s="103"/>
      <c r="AP13" s="103"/>
      <c r="AQ13" s="441"/>
      <c r="AR13" s="439"/>
      <c r="AS13" s="439"/>
      <c r="AT13" s="438"/>
    </row>
    <row r="14" spans="1:60" s="484" customFormat="1" ht="20.100000000000001" customHeight="1" x14ac:dyDescent="0.35">
      <c r="A14" s="455" t="s">
        <v>190</v>
      </c>
      <c r="B14" s="882"/>
      <c r="C14" s="882"/>
      <c r="D14" s="438"/>
      <c r="E14" s="805"/>
      <c r="F14" s="441"/>
      <c r="G14" s="438"/>
      <c r="H14" s="882"/>
      <c r="I14" s="882"/>
      <c r="J14" s="438"/>
      <c r="K14" s="882"/>
      <c r="L14" s="882"/>
      <c r="M14" s="438"/>
      <c r="N14" s="882"/>
      <c r="O14" s="882"/>
      <c r="P14" s="438"/>
      <c r="Q14" s="905">
        <v>7.5</v>
      </c>
      <c r="R14" s="882">
        <v>4.7</v>
      </c>
      <c r="S14" s="437">
        <f t="shared" ref="S14" si="0">IF(Q14=0, "    ---- ", IF(ABS(ROUND(100/Q14*R14-100,1))&lt;999,ROUND(100/Q14*R14-100,1),IF(ROUND(100/Q14*R14-100,1)&gt;999,999,-999)))</f>
        <v>-37.299999999999997</v>
      </c>
      <c r="T14" s="814"/>
      <c r="U14" s="882"/>
      <c r="V14" s="438"/>
      <c r="W14" s="905">
        <v>1017.28865475</v>
      </c>
      <c r="X14" s="882">
        <v>1004.26205975</v>
      </c>
      <c r="Y14" s="438">
        <f t="shared" ref="Y14:Y28" si="1">IF(W14=0, "    ---- ", IF(ABS(ROUND(100/W14*X14-100,1))&lt;999,ROUND(100/W14*X14-100,1),IF(ROUND(100/W14*X14-100,1)&gt;999,999,-999)))</f>
        <v>-1.3</v>
      </c>
      <c r="Z14" s="905"/>
      <c r="AA14" s="882"/>
      <c r="AB14" s="438"/>
      <c r="AC14" s="905"/>
      <c r="AD14" s="882"/>
      <c r="AE14" s="438"/>
      <c r="AF14" s="905"/>
      <c r="AG14" s="882"/>
      <c r="AH14" s="438"/>
      <c r="AI14" s="905"/>
      <c r="AJ14" s="882"/>
      <c r="AK14" s="438"/>
      <c r="AL14" s="905"/>
      <c r="AM14" s="882"/>
      <c r="AN14" s="438"/>
      <c r="AO14" s="103">
        <f t="shared" ref="AO14:AP29" si="2">B14+H14+K14+N14+Q14+W14+E14+Z14+AC14+AI14+AL14</f>
        <v>1024.78865475</v>
      </c>
      <c r="AP14" s="103">
        <f t="shared" si="2"/>
        <v>1008.9620597500001</v>
      </c>
      <c r="AQ14" s="441">
        <f t="shared" ref="AQ14:AQ28" si="3">IF(AO14=0, "    ---- ", IF(ABS(ROUND(100/AO14*AP14-100,1))&lt;999,ROUND(100/AO14*AP14-100,1),IF(ROUND(100/AO14*AP14-100,1)&gt;999,999,-999)))</f>
        <v>-1.5</v>
      </c>
      <c r="AR14" s="439">
        <f t="shared" ref="AR14:AR29" si="4">B14+H14+K14+N14+Q14+T14+W14+E14+Z14+AC14+AF14+AI14+AL14</f>
        <v>1024.78865475</v>
      </c>
      <c r="AS14" s="439">
        <f t="shared" ref="AS14:AS29" si="5">C14+I14+L14+O14+R14+U14+X14+F14+AA14+AD14+AG14+AJ14+AM14</f>
        <v>1008.9620597500001</v>
      </c>
      <c r="AT14" s="438">
        <f t="shared" ref="AT14:AT29" si="6">IF(AR14=0, "    ---- ", IF(ABS(ROUND(100/AR14*AS14-100,1))&lt;999,ROUND(100/AR14*AS14-100,1),IF(ROUND(100/AR14*AS14-100,1)&gt;999,999,-999)))</f>
        <v>-1.5</v>
      </c>
    </row>
    <row r="15" spans="1:60" s="484" customFormat="1" ht="20.100000000000001" customHeight="1" x14ac:dyDescent="0.35">
      <c r="A15" s="455" t="s">
        <v>191</v>
      </c>
      <c r="B15" s="882"/>
      <c r="C15" s="882"/>
      <c r="D15" s="438"/>
      <c r="E15" s="805"/>
      <c r="F15" s="441"/>
      <c r="G15" s="438"/>
      <c r="H15" s="882">
        <v>1781.26678947</v>
      </c>
      <c r="I15" s="882">
        <v>1419.99943592</v>
      </c>
      <c r="J15" s="438">
        <f t="shared" ref="J15:J28" si="7">IF(H15=0, "    ---- ", IF(ABS(ROUND(100/H15*I15-100,1))&lt;999,ROUND(100/H15*I15-100,1),IF(ROUND(100/H15*I15-100,1)&gt;999,999,-999)))</f>
        <v>-20.3</v>
      </c>
      <c r="K15" s="882"/>
      <c r="L15" s="882">
        <v>5.1664899999999996</v>
      </c>
      <c r="M15" s="438" t="str">
        <f t="shared" ref="M15:M16" si="8">IF(K15=0, "    ---- ", IF(ABS(ROUND(100/K15*L15-100,1))&lt;999,ROUND(100/K15*L15-100,1),IF(ROUND(100/K15*L15-100,1)&gt;999,999,-999)))</f>
        <v xml:space="preserve">    ---- </v>
      </c>
      <c r="N15" s="882"/>
      <c r="O15" s="882"/>
      <c r="P15" s="438"/>
      <c r="Q15" s="905"/>
      <c r="R15" s="882"/>
      <c r="S15" s="437"/>
      <c r="T15" s="814"/>
      <c r="U15" s="882"/>
      <c r="V15" s="438"/>
      <c r="W15" s="905">
        <v>8290.0021718600001</v>
      </c>
      <c r="X15" s="882">
        <v>8684.0586703600002</v>
      </c>
      <c r="Y15" s="438">
        <f t="shared" si="1"/>
        <v>4.8</v>
      </c>
      <c r="Z15" s="905"/>
      <c r="AA15" s="882">
        <v>2</v>
      </c>
      <c r="AB15" s="438" t="str">
        <f t="shared" ref="AB15" si="9">IF(Z15=0, "    ---- ", IF(ABS(ROUND(100/Z15*AA15-100,1))&lt;999,ROUND(100/Z15*AA15-100,1),IF(ROUND(100/Z15*AA15-100,1)&gt;999,999,-999)))</f>
        <v xml:space="preserve">    ---- </v>
      </c>
      <c r="AC15" s="905">
        <v>1182</v>
      </c>
      <c r="AD15" s="882">
        <f>1084+364</f>
        <v>1448</v>
      </c>
      <c r="AE15" s="438">
        <f t="shared" ref="AE15:AE28" si="10">IF(AC15=0, "    ---- ", IF(ABS(ROUND(100/AC15*AD15-100,1))&lt;999,ROUND(100/AC15*AD15-100,1),IF(ROUND(100/AC15*AD15-100,1)&gt;999,999,-999)))</f>
        <v>22.5</v>
      </c>
      <c r="AF15" s="905"/>
      <c r="AG15" s="882"/>
      <c r="AH15" s="438"/>
      <c r="AI15" s="905">
        <v>1738.934</v>
      </c>
      <c r="AJ15" s="882">
        <v>1320.229</v>
      </c>
      <c r="AK15" s="438">
        <f t="shared" ref="AK15:AK28" si="11">IF(AI15=0, "    ---- ", IF(ABS(ROUND(100/AI15*AJ15-100,1))&lt;999,ROUND(100/AI15*AJ15-100,1),IF(ROUND(100/AI15*AJ15-100,1)&gt;999,999,-999)))</f>
        <v>-24.1</v>
      </c>
      <c r="AL15" s="905">
        <v>13225</v>
      </c>
      <c r="AM15" s="882">
        <v>12478</v>
      </c>
      <c r="AN15" s="438">
        <f t="shared" ref="AN15:AN28" si="12">IF(AL15=0, "    ---- ", IF(ABS(ROUND(100/AL15*AM15-100,1))&lt;999,ROUND(100/AL15*AM15-100,1),IF(ROUND(100/AL15*AM15-100,1)&gt;999,999,-999)))</f>
        <v>-5.6</v>
      </c>
      <c r="AO15" s="103">
        <f t="shared" si="2"/>
        <v>26217.20296133</v>
      </c>
      <c r="AP15" s="103">
        <f t="shared" si="2"/>
        <v>25357.45359628</v>
      </c>
      <c r="AQ15" s="441">
        <f t="shared" si="3"/>
        <v>-3.3</v>
      </c>
      <c r="AR15" s="439">
        <f t="shared" si="4"/>
        <v>26217.20296133</v>
      </c>
      <c r="AS15" s="439">
        <f t="shared" si="5"/>
        <v>25357.45359628</v>
      </c>
      <c r="AT15" s="438">
        <f t="shared" si="6"/>
        <v>-3.3</v>
      </c>
    </row>
    <row r="16" spans="1:60" s="484" customFormat="1" ht="20.100000000000001" customHeight="1" x14ac:dyDescent="0.35">
      <c r="A16" s="455" t="s">
        <v>192</v>
      </c>
      <c r="B16" s="882"/>
      <c r="C16" s="882"/>
      <c r="D16" s="438"/>
      <c r="E16" s="805">
        <f>SUM(E17+E19)</f>
        <v>297.39999999999998</v>
      </c>
      <c r="F16" s="441"/>
      <c r="G16" s="438"/>
      <c r="H16" s="882">
        <f>SUM(H17+H19)</f>
        <v>9173.3331005799992</v>
      </c>
      <c r="I16" s="882">
        <f>SUM(I17+I19)</f>
        <v>15068.26809401</v>
      </c>
      <c r="J16" s="438">
        <f t="shared" si="7"/>
        <v>64.3</v>
      </c>
      <c r="K16" s="882">
        <f>SUM(K17+K19)</f>
        <v>0</v>
      </c>
      <c r="L16" s="882">
        <f>SUM(L17+L19)</f>
        <v>245.73140524999999</v>
      </c>
      <c r="M16" s="438" t="str">
        <f t="shared" si="8"/>
        <v xml:space="preserve">    ---- </v>
      </c>
      <c r="N16" s="882">
        <f>SUM(N17+N19)</f>
        <v>127.21299999999999</v>
      </c>
      <c r="O16" s="882">
        <f>SUM(O17+O19)</f>
        <v>99.861000000000004</v>
      </c>
      <c r="P16" s="438">
        <f t="shared" ref="P16:P18" si="13">IF(N16=0, "    ---- ", IF(ABS(ROUND(100/N16*O16-100,1))&lt;999,ROUND(100/N16*O16-100,1),IF(ROUND(100/N16*O16-100,1)&gt;999,999,-999)))</f>
        <v>-21.5</v>
      </c>
      <c r="Q16" s="905">
        <f>SUM(Q17+Q19)</f>
        <v>251</v>
      </c>
      <c r="R16" s="882">
        <f>SUM(R17+R19)</f>
        <v>282.60000000000002</v>
      </c>
      <c r="S16" s="437">
        <f t="shared" ref="S16" si="14">IF(Q16=0, "    ---- ", IF(ABS(ROUND(100/Q16*R16-100,1))&lt;999,ROUND(100/Q16*R16-100,1),IF(ROUND(100/Q16*R16-100,1)&gt;999,999,-999)))</f>
        <v>12.6</v>
      </c>
      <c r="T16" s="814"/>
      <c r="U16" s="882"/>
      <c r="V16" s="438"/>
      <c r="W16" s="905">
        <v>19012.186930030002</v>
      </c>
      <c r="X16" s="882">
        <v>19456.377366779998</v>
      </c>
      <c r="Y16" s="438">
        <f t="shared" si="1"/>
        <v>2.2999999999999998</v>
      </c>
      <c r="Z16" s="905"/>
      <c r="AA16" s="882"/>
      <c r="AB16" s="438"/>
      <c r="AC16" s="905">
        <f>SUM(AC17+AC19)</f>
        <v>4461</v>
      </c>
      <c r="AD16" s="882">
        <f>SUM(AD17+AD19)</f>
        <v>5015</v>
      </c>
      <c r="AE16" s="438">
        <f t="shared" si="10"/>
        <v>12.4</v>
      </c>
      <c r="AF16" s="905"/>
      <c r="AG16" s="882"/>
      <c r="AH16" s="438"/>
      <c r="AI16" s="905">
        <f>SUM(AI17+AI19)</f>
        <v>1152.1870000000001</v>
      </c>
      <c r="AJ16" s="882">
        <f>SUM(AJ17+AJ19)</f>
        <v>1145.0749999999998</v>
      </c>
      <c r="AK16" s="438">
        <f t="shared" si="11"/>
        <v>-0.6</v>
      </c>
      <c r="AL16" s="905">
        <f>7361+373</f>
        <v>7734</v>
      </c>
      <c r="AM16" s="882">
        <f>SUM(AM17+AM19)</f>
        <v>10123</v>
      </c>
      <c r="AN16" s="438">
        <f t="shared" si="12"/>
        <v>30.9</v>
      </c>
      <c r="AO16" s="103">
        <f t="shared" si="2"/>
        <v>42208.320030609997</v>
      </c>
      <c r="AP16" s="103">
        <f t="shared" si="2"/>
        <v>51435.912866039995</v>
      </c>
      <c r="AQ16" s="441">
        <f t="shared" si="3"/>
        <v>21.9</v>
      </c>
      <c r="AR16" s="439">
        <f t="shared" si="4"/>
        <v>42208.320030609997</v>
      </c>
      <c r="AS16" s="439">
        <f t="shared" si="5"/>
        <v>51435.912866039995</v>
      </c>
      <c r="AT16" s="438">
        <f t="shared" si="6"/>
        <v>21.9</v>
      </c>
    </row>
    <row r="17" spans="1:46" s="484" customFormat="1" ht="20.100000000000001" customHeight="1" x14ac:dyDescent="0.35">
      <c r="A17" s="455" t="s">
        <v>193</v>
      </c>
      <c r="B17" s="882"/>
      <c r="C17" s="882"/>
      <c r="D17" s="438"/>
      <c r="E17" s="805"/>
      <c r="F17" s="441"/>
      <c r="G17" s="438"/>
      <c r="H17" s="882">
        <v>6770.08041718</v>
      </c>
      <c r="I17" s="882">
        <v>12399.642137049999</v>
      </c>
      <c r="J17" s="438">
        <f t="shared" si="7"/>
        <v>83.2</v>
      </c>
      <c r="K17" s="882"/>
      <c r="L17" s="882"/>
      <c r="M17" s="438"/>
      <c r="N17" s="882">
        <v>127.21299999999999</v>
      </c>
      <c r="O17" s="882">
        <v>99.861000000000004</v>
      </c>
      <c r="P17" s="438">
        <f t="shared" si="13"/>
        <v>-21.5</v>
      </c>
      <c r="Q17" s="905"/>
      <c r="R17" s="882"/>
      <c r="S17" s="437"/>
      <c r="T17" s="814"/>
      <c r="U17" s="882"/>
      <c r="V17" s="438"/>
      <c r="W17" s="905">
        <v>7149.1942136300004</v>
      </c>
      <c r="X17" s="882">
        <v>6734.7354975299995</v>
      </c>
      <c r="Y17" s="438">
        <f t="shared" si="1"/>
        <v>-5.8</v>
      </c>
      <c r="Z17" s="905"/>
      <c r="AA17" s="882"/>
      <c r="AB17" s="438"/>
      <c r="AC17" s="905">
        <v>10</v>
      </c>
      <c r="AD17" s="882">
        <v>10</v>
      </c>
      <c r="AE17" s="438">
        <f t="shared" si="10"/>
        <v>0</v>
      </c>
      <c r="AF17" s="905"/>
      <c r="AG17" s="882"/>
      <c r="AH17" s="438"/>
      <c r="AI17" s="905">
        <v>68.007000000000005</v>
      </c>
      <c r="AJ17" s="882">
        <v>39.764000000000003</v>
      </c>
      <c r="AK17" s="438">
        <f t="shared" si="11"/>
        <v>-41.5</v>
      </c>
      <c r="AL17" s="905"/>
      <c r="AM17" s="882"/>
      <c r="AN17" s="438"/>
      <c r="AO17" s="103">
        <f t="shared" si="2"/>
        <v>14124.494630809999</v>
      </c>
      <c r="AP17" s="103">
        <f t="shared" si="2"/>
        <v>19284.00263458</v>
      </c>
      <c r="AQ17" s="441">
        <f t="shared" si="3"/>
        <v>36.5</v>
      </c>
      <c r="AR17" s="439">
        <f t="shared" si="4"/>
        <v>14124.494630809999</v>
      </c>
      <c r="AS17" s="439">
        <f t="shared" si="5"/>
        <v>19284.00263458</v>
      </c>
      <c r="AT17" s="438">
        <f t="shared" si="6"/>
        <v>36.5</v>
      </c>
    </row>
    <row r="18" spans="1:46" s="484" customFormat="1" ht="20.100000000000001" customHeight="1" x14ac:dyDescent="0.35">
      <c r="A18" s="455" t="s">
        <v>194</v>
      </c>
      <c r="B18" s="882"/>
      <c r="C18" s="882"/>
      <c r="D18" s="438"/>
      <c r="E18" s="805"/>
      <c r="F18" s="441"/>
      <c r="G18" s="438"/>
      <c r="H18" s="882">
        <v>6770.08041718</v>
      </c>
      <c r="I18" s="882">
        <v>12399.642137049999</v>
      </c>
      <c r="J18" s="438">
        <f t="shared" si="7"/>
        <v>83.2</v>
      </c>
      <c r="K18" s="882"/>
      <c r="L18" s="882"/>
      <c r="M18" s="438"/>
      <c r="N18" s="882">
        <v>127.21299999999999</v>
      </c>
      <c r="O18" s="882">
        <v>99.861000000000004</v>
      </c>
      <c r="P18" s="438">
        <f t="shared" si="13"/>
        <v>-21.5</v>
      </c>
      <c r="Q18" s="905"/>
      <c r="R18" s="882"/>
      <c r="S18" s="437"/>
      <c r="T18" s="814"/>
      <c r="U18" s="882"/>
      <c r="V18" s="438"/>
      <c r="W18" s="905">
        <v>7149.1942136300004</v>
      </c>
      <c r="X18" s="882">
        <v>6734.7354975299995</v>
      </c>
      <c r="Y18" s="438">
        <f t="shared" si="1"/>
        <v>-5.8</v>
      </c>
      <c r="Z18" s="905"/>
      <c r="AA18" s="882"/>
      <c r="AB18" s="438"/>
      <c r="AC18" s="905"/>
      <c r="AD18" s="882"/>
      <c r="AE18" s="438"/>
      <c r="AF18" s="905"/>
      <c r="AG18" s="882"/>
      <c r="AH18" s="438"/>
      <c r="AI18" s="905">
        <v>-3.2782554626464843E-13</v>
      </c>
      <c r="AJ18" s="882">
        <v>-3.2782554626464843E-13</v>
      </c>
      <c r="AK18" s="438">
        <f t="shared" si="11"/>
        <v>0</v>
      </c>
      <c r="AL18" s="905"/>
      <c r="AM18" s="882"/>
      <c r="AN18" s="438"/>
      <c r="AO18" s="103">
        <f t="shared" si="2"/>
        <v>14046.487630809999</v>
      </c>
      <c r="AP18" s="103">
        <f t="shared" si="2"/>
        <v>19234.238634580001</v>
      </c>
      <c r="AQ18" s="441">
        <f t="shared" si="3"/>
        <v>36.9</v>
      </c>
      <c r="AR18" s="439">
        <f t="shared" si="4"/>
        <v>14046.487630809999</v>
      </c>
      <c r="AS18" s="439">
        <f t="shared" si="5"/>
        <v>19234.238634580001</v>
      </c>
      <c r="AT18" s="438">
        <f t="shared" si="6"/>
        <v>36.9</v>
      </c>
    </row>
    <row r="19" spans="1:46" s="484" customFormat="1" ht="20.100000000000001" customHeight="1" x14ac:dyDescent="0.35">
      <c r="A19" s="455" t="s">
        <v>195</v>
      </c>
      <c r="B19" s="882"/>
      <c r="C19" s="882"/>
      <c r="D19" s="438"/>
      <c r="E19" s="805">
        <v>297.39999999999998</v>
      </c>
      <c r="F19" s="441"/>
      <c r="G19" s="438"/>
      <c r="H19" s="882">
        <v>2403.2526834</v>
      </c>
      <c r="I19" s="882">
        <v>2668.6259569600002</v>
      </c>
      <c r="J19" s="438">
        <f t="shared" si="7"/>
        <v>11</v>
      </c>
      <c r="K19" s="882"/>
      <c r="L19" s="882">
        <v>245.73140524999999</v>
      </c>
      <c r="M19" s="438" t="str">
        <f>IF(K19=0, "    ---- ", IF(ABS(ROUND(100/K19*L19-100,1))&lt;999,ROUND(100/K19*L19-100,1),IF(ROUND(100/K19*L19-100,1)&gt;999,999,-999)))</f>
        <v xml:space="preserve">    ---- </v>
      </c>
      <c r="N19" s="882"/>
      <c r="O19" s="882"/>
      <c r="P19" s="438"/>
      <c r="Q19" s="905">
        <v>251</v>
      </c>
      <c r="R19" s="882">
        <v>282.60000000000002</v>
      </c>
      <c r="S19" s="437">
        <f t="shared" ref="S19:S28" si="15">IF(Q19=0, "    ---- ", IF(ABS(ROUND(100/Q19*R19-100,1))&lt;999,ROUND(100/Q19*R19-100,1),IF(ROUND(100/Q19*R19-100,1)&gt;999,999,-999)))</f>
        <v>12.6</v>
      </c>
      <c r="T19" s="814"/>
      <c r="U19" s="882"/>
      <c r="V19" s="438"/>
      <c r="W19" s="905">
        <v>11862.9927164</v>
      </c>
      <c r="X19" s="882">
        <v>12721.641869249999</v>
      </c>
      <c r="Y19" s="438">
        <f t="shared" si="1"/>
        <v>7.2</v>
      </c>
      <c r="Z19" s="905"/>
      <c r="AA19" s="882"/>
      <c r="AB19" s="438"/>
      <c r="AC19" s="905">
        <v>4451</v>
      </c>
      <c r="AD19" s="882">
        <v>5005</v>
      </c>
      <c r="AE19" s="438">
        <f t="shared" si="10"/>
        <v>12.4</v>
      </c>
      <c r="AF19" s="905"/>
      <c r="AG19" s="882"/>
      <c r="AH19" s="438"/>
      <c r="AI19" s="905">
        <v>1084.18</v>
      </c>
      <c r="AJ19" s="882">
        <v>1105.3109999999999</v>
      </c>
      <c r="AK19" s="438">
        <f t="shared" si="11"/>
        <v>1.9</v>
      </c>
      <c r="AL19" s="905">
        <f>7361+373</f>
        <v>7734</v>
      </c>
      <c r="AM19" s="882">
        <f>9408.4+714.6</f>
        <v>10123</v>
      </c>
      <c r="AN19" s="438">
        <f t="shared" si="12"/>
        <v>30.9</v>
      </c>
      <c r="AO19" s="103">
        <f t="shared" si="2"/>
        <v>28083.8253998</v>
      </c>
      <c r="AP19" s="103">
        <f t="shared" si="2"/>
        <v>32151.910231460002</v>
      </c>
      <c r="AQ19" s="441">
        <f t="shared" si="3"/>
        <v>14.5</v>
      </c>
      <c r="AR19" s="439">
        <f t="shared" si="4"/>
        <v>28083.8253998</v>
      </c>
      <c r="AS19" s="439">
        <f t="shared" si="5"/>
        <v>32151.910231460002</v>
      </c>
      <c r="AT19" s="438">
        <f t="shared" si="6"/>
        <v>14.5</v>
      </c>
    </row>
    <row r="20" spans="1:46" s="484" customFormat="1" ht="20.100000000000001" customHeight="1" x14ac:dyDescent="0.35">
      <c r="A20" s="455" t="s">
        <v>196</v>
      </c>
      <c r="B20" s="882">
        <f>SUM(B21:B25)</f>
        <v>814.11800000000005</v>
      </c>
      <c r="C20" s="882">
        <f>SUM(C21:C25)</f>
        <v>865.11500000000001</v>
      </c>
      <c r="D20" s="438">
        <f>IF(B20=0, "    ---- ", IF(ABS(ROUND(100/B20*C20-100,1))&lt;999,ROUND(100/B20*C20-100,1),IF(ROUND(100/B20*C20-100,1)&gt;999,999,-999)))</f>
        <v>6.3</v>
      </c>
      <c r="E20" s="805">
        <f>SUM(E21:E25)</f>
        <v>261.8</v>
      </c>
      <c r="F20" s="441"/>
      <c r="G20" s="438">
        <f t="shared" ref="G20:G28" si="16">IF(E20=0, "    ---- ", IF(ABS(ROUND(100/E20*F20-100,1))&lt;999,ROUND(100/E20*F20-100,1),IF(ROUND(100/E20*F20-100,1)&gt;999,999,-999)))</f>
        <v>-100</v>
      </c>
      <c r="H20" s="882">
        <f>SUM(H21:H25)</f>
        <v>22206.639055979998</v>
      </c>
      <c r="I20" s="882">
        <f>SUM(I21:I25)</f>
        <v>17490.908459779999</v>
      </c>
      <c r="J20" s="438">
        <f t="shared" si="7"/>
        <v>-21.2</v>
      </c>
      <c r="K20" s="882">
        <f>SUM(K21:K25)</f>
        <v>1899.8152579800003</v>
      </c>
      <c r="L20" s="882">
        <f>SUM(L21:L25)</f>
        <v>2379.9041106100008</v>
      </c>
      <c r="M20" s="438">
        <f>IF(K20=0, "    ---- ", IF(ABS(ROUND(100/K20*L20-100,1))&lt;999,ROUND(100/K20*L20-100,1),IF(ROUND(100/K20*L20-100,1)&gt;999,999,-999)))</f>
        <v>25.3</v>
      </c>
      <c r="N20" s="882">
        <f>SUM(N21:N25)</f>
        <v>573.02500000000009</v>
      </c>
      <c r="O20" s="882">
        <f>SUM(O21:O25)</f>
        <v>383.91399999999999</v>
      </c>
      <c r="P20" s="438">
        <f t="shared" ref="P20:P28" si="17">IF(N20=0, "    ---- ", IF(ABS(ROUND(100/N20*O20-100,1))&lt;999,ROUND(100/N20*O20-100,1),IF(ROUND(100/N20*O20-100,1)&gt;999,999,-999)))</f>
        <v>-33</v>
      </c>
      <c r="Q20" s="905">
        <f>SUM(Q21:Q25)</f>
        <v>859.7</v>
      </c>
      <c r="R20" s="882">
        <f>SUM(R21:R25)</f>
        <v>1036.8</v>
      </c>
      <c r="S20" s="437">
        <f t="shared" si="15"/>
        <v>20.6</v>
      </c>
      <c r="T20" s="814"/>
      <c r="U20" s="882"/>
      <c r="V20" s="438"/>
      <c r="W20" s="905">
        <v>12816.122588979999</v>
      </c>
      <c r="X20" s="882">
        <v>12221.035040070001</v>
      </c>
      <c r="Y20" s="438">
        <f t="shared" si="1"/>
        <v>-4.5999999999999996</v>
      </c>
      <c r="Z20" s="905">
        <f>SUM(Z21:Z25)</f>
        <v>10727.19</v>
      </c>
      <c r="AA20" s="882">
        <f>SUM(AA21:AA25)</f>
        <v>11212.2</v>
      </c>
      <c r="AB20" s="438">
        <f t="shared" ref="AB20:AB28" si="18">IF(Z20=0, "    ---- ", IF(ABS(ROUND(100/Z20*AA20-100,1))&lt;999,ROUND(100/Z20*AA20-100,1),IF(ROUND(100/Z20*AA20-100,1)&gt;999,999,-999)))</f>
        <v>4.5</v>
      </c>
      <c r="AC20" s="905">
        <f>SUM(AC21:AC25)</f>
        <v>4872</v>
      </c>
      <c r="AD20" s="882">
        <f>SUM(AD21:AD25)</f>
        <v>4275</v>
      </c>
      <c r="AE20" s="438">
        <f t="shared" si="10"/>
        <v>-12.3</v>
      </c>
      <c r="AF20" s="905"/>
      <c r="AG20" s="882"/>
      <c r="AH20" s="334"/>
      <c r="AI20" s="905">
        <f>SUM(AI21:AI25)</f>
        <v>3875.828</v>
      </c>
      <c r="AJ20" s="882">
        <f>SUM(AJ21:AJ25)</f>
        <v>3627.0680000000002</v>
      </c>
      <c r="AK20" s="438">
        <f t="shared" si="11"/>
        <v>-6.4</v>
      </c>
      <c r="AL20" s="905">
        <f>SUM(AL21:AL25)</f>
        <v>12126.1</v>
      </c>
      <c r="AM20" s="882">
        <f>SUM(AM21:AM25)</f>
        <v>13738.8</v>
      </c>
      <c r="AN20" s="438">
        <f t="shared" si="12"/>
        <v>13.3</v>
      </c>
      <c r="AO20" s="103">
        <f t="shared" si="2"/>
        <v>71032.337902940009</v>
      </c>
      <c r="AP20" s="103">
        <f t="shared" si="2"/>
        <v>67230.744610460009</v>
      </c>
      <c r="AQ20" s="441">
        <f t="shared" si="3"/>
        <v>-5.4</v>
      </c>
      <c r="AR20" s="439">
        <f t="shared" si="4"/>
        <v>71032.337902940009</v>
      </c>
      <c r="AS20" s="439">
        <f t="shared" si="5"/>
        <v>67230.744610460009</v>
      </c>
      <c r="AT20" s="438">
        <f t="shared" si="6"/>
        <v>-5.4</v>
      </c>
    </row>
    <row r="21" spans="1:46" s="484" customFormat="1" ht="20.100000000000001" customHeight="1" x14ac:dyDescent="0.35">
      <c r="A21" s="455" t="s">
        <v>197</v>
      </c>
      <c r="B21" s="882">
        <v>6.62</v>
      </c>
      <c r="C21" s="882">
        <v>7.42</v>
      </c>
      <c r="D21" s="438">
        <f>IF(B21=0, "    ---- ", IF(ABS(ROUND(100/B21*C21-100,1))&lt;999,ROUND(100/B21*C21-100,1),IF(ROUND(100/B21*C21-100,1)&gt;999,999,-999)))</f>
        <v>12.1</v>
      </c>
      <c r="E21" s="805">
        <v>0</v>
      </c>
      <c r="F21" s="441"/>
      <c r="G21" s="438" t="str">
        <f t="shared" si="16"/>
        <v xml:space="preserve">    ---- </v>
      </c>
      <c r="H21" s="882">
        <v>693.39495496000006</v>
      </c>
      <c r="I21" s="882">
        <v>1627.7915899100001</v>
      </c>
      <c r="J21" s="438">
        <f t="shared" si="7"/>
        <v>134.80000000000001</v>
      </c>
      <c r="K21" s="882"/>
      <c r="L21" s="882"/>
      <c r="M21" s="438" t="str">
        <f>IF(K21=0, "    ---- ", IF(ABS(ROUND(100/K21*L21-100,1))&lt;999,ROUND(100/K21*L21-100,1),IF(ROUND(100/K21*L21-100,1)&gt;999,999,-999)))</f>
        <v xml:space="preserve">    ---- </v>
      </c>
      <c r="N21" s="882">
        <v>82.533000000000001</v>
      </c>
      <c r="O21" s="882">
        <v>56.889000000000003</v>
      </c>
      <c r="P21" s="438">
        <f t="shared" si="17"/>
        <v>-31.1</v>
      </c>
      <c r="Q21" s="905">
        <v>3.7</v>
      </c>
      <c r="R21" s="882">
        <v>19.399999999999999</v>
      </c>
      <c r="S21" s="437">
        <f t="shared" si="15"/>
        <v>424.3</v>
      </c>
      <c r="T21" s="814"/>
      <c r="U21" s="882"/>
      <c r="V21" s="438"/>
      <c r="W21" s="905">
        <v>6.7540584500000005</v>
      </c>
      <c r="X21" s="882">
        <v>7.6531584500000003</v>
      </c>
      <c r="Y21" s="438">
        <f t="shared" si="1"/>
        <v>13.3</v>
      </c>
      <c r="Z21" s="905">
        <v>0</v>
      </c>
      <c r="AA21" s="882">
        <v>10</v>
      </c>
      <c r="AB21" s="438" t="str">
        <f t="shared" si="18"/>
        <v xml:space="preserve">    ---- </v>
      </c>
      <c r="AC21" s="905">
        <v>2363</v>
      </c>
      <c r="AD21" s="882">
        <v>2232</v>
      </c>
      <c r="AE21" s="438">
        <f t="shared" si="10"/>
        <v>-5.5</v>
      </c>
      <c r="AF21" s="905"/>
      <c r="AG21" s="882"/>
      <c r="AH21" s="438"/>
      <c r="AI21" s="905">
        <v>1.204</v>
      </c>
      <c r="AJ21" s="882">
        <v>1.355</v>
      </c>
      <c r="AK21" s="438">
        <f t="shared" si="11"/>
        <v>12.5</v>
      </c>
      <c r="AL21" s="905">
        <v>50.6</v>
      </c>
      <c r="AM21" s="882">
        <v>476</v>
      </c>
      <c r="AN21" s="438">
        <f t="shared" si="12"/>
        <v>840.7</v>
      </c>
      <c r="AO21" s="103">
        <f t="shared" si="2"/>
        <v>3207.8060134100001</v>
      </c>
      <c r="AP21" s="103">
        <f t="shared" si="2"/>
        <v>4438.50874836</v>
      </c>
      <c r="AQ21" s="441">
        <f t="shared" si="3"/>
        <v>38.4</v>
      </c>
      <c r="AR21" s="439">
        <f t="shared" si="4"/>
        <v>3207.8060134100001</v>
      </c>
      <c r="AS21" s="439">
        <f t="shared" si="5"/>
        <v>4438.50874836</v>
      </c>
      <c r="AT21" s="438">
        <f t="shared" si="6"/>
        <v>38.4</v>
      </c>
    </row>
    <row r="22" spans="1:46" s="484" customFormat="1" ht="20.100000000000001" customHeight="1" x14ac:dyDescent="0.35">
      <c r="A22" s="455" t="s">
        <v>198</v>
      </c>
      <c r="B22" s="882">
        <v>807.49800000000005</v>
      </c>
      <c r="C22" s="882">
        <v>857.69500000000005</v>
      </c>
      <c r="D22" s="438">
        <f>IF(B22=0, "    ---- ", IF(ABS(ROUND(100/B22*C22-100,1))&lt;999,ROUND(100/B22*C22-100,1),IF(ROUND(100/B22*C22-100,1)&gt;999,999,-999)))</f>
        <v>6.2</v>
      </c>
      <c r="E22" s="805">
        <v>260.60000000000002</v>
      </c>
      <c r="F22" s="441"/>
      <c r="G22" s="438">
        <f t="shared" si="16"/>
        <v>-100</v>
      </c>
      <c r="H22" s="882">
        <v>21180.407843280002</v>
      </c>
      <c r="I22" s="882">
        <v>15533.87760772</v>
      </c>
      <c r="J22" s="438">
        <f t="shared" si="7"/>
        <v>-26.7</v>
      </c>
      <c r="K22" s="882">
        <v>1761.5733119600002</v>
      </c>
      <c r="L22" s="882">
        <v>2440.6706777400009</v>
      </c>
      <c r="M22" s="438">
        <f>IF(K22=0, "    ---- ", IF(ABS(ROUND(100/K22*L22-100,1))&lt;999,ROUND(100/K22*L22-100,1),IF(ROUND(100/K22*L22-100,1)&gt;999,999,-999)))</f>
        <v>38.6</v>
      </c>
      <c r="N22" s="882">
        <v>407.03500000000003</v>
      </c>
      <c r="O22" s="882">
        <v>242.55500000000001</v>
      </c>
      <c r="P22" s="438">
        <f t="shared" si="17"/>
        <v>-40.4</v>
      </c>
      <c r="Q22" s="905">
        <v>856</v>
      </c>
      <c r="R22" s="882">
        <v>1017.4</v>
      </c>
      <c r="S22" s="437">
        <f t="shared" si="15"/>
        <v>18.899999999999999</v>
      </c>
      <c r="T22" s="814"/>
      <c r="U22" s="882"/>
      <c r="V22" s="438"/>
      <c r="W22" s="905">
        <v>10225.8361859</v>
      </c>
      <c r="X22" s="882">
        <v>10280.339871780001</v>
      </c>
      <c r="Y22" s="438">
        <f t="shared" si="1"/>
        <v>0.5</v>
      </c>
      <c r="Z22" s="905">
        <v>10726.93</v>
      </c>
      <c r="AA22" s="882">
        <v>11100.51</v>
      </c>
      <c r="AB22" s="438">
        <f t="shared" si="18"/>
        <v>3.5</v>
      </c>
      <c r="AC22" s="905">
        <v>2374</v>
      </c>
      <c r="AD22" s="882">
        <v>2020</v>
      </c>
      <c r="AE22" s="438">
        <f t="shared" si="10"/>
        <v>-14.9</v>
      </c>
      <c r="AF22" s="905"/>
      <c r="AG22" s="882"/>
      <c r="AH22" s="438"/>
      <c r="AI22" s="905">
        <v>3321.7829999999999</v>
      </c>
      <c r="AJ22" s="882">
        <v>2456.2220000000002</v>
      </c>
      <c r="AK22" s="438">
        <f t="shared" si="11"/>
        <v>-26.1</v>
      </c>
      <c r="AL22" s="905">
        <f>10747.5+12</f>
        <v>10759.5</v>
      </c>
      <c r="AM22" s="882">
        <v>12419.4</v>
      </c>
      <c r="AN22" s="438">
        <f t="shared" si="12"/>
        <v>15.4</v>
      </c>
      <c r="AO22" s="103">
        <f t="shared" si="2"/>
        <v>62681.163341140003</v>
      </c>
      <c r="AP22" s="103">
        <f t="shared" si="2"/>
        <v>58368.670157240005</v>
      </c>
      <c r="AQ22" s="441">
        <f t="shared" si="3"/>
        <v>-6.9</v>
      </c>
      <c r="AR22" s="439">
        <f t="shared" si="4"/>
        <v>62681.163341140003</v>
      </c>
      <c r="AS22" s="439">
        <f t="shared" si="5"/>
        <v>58368.670157240005</v>
      </c>
      <c r="AT22" s="438">
        <f t="shared" si="6"/>
        <v>-6.9</v>
      </c>
    </row>
    <row r="23" spans="1:46" s="484" customFormat="1" ht="20.100000000000001" customHeight="1" x14ac:dyDescent="0.35">
      <c r="A23" s="455" t="s">
        <v>199</v>
      </c>
      <c r="B23" s="882"/>
      <c r="C23" s="882"/>
      <c r="D23" s="438"/>
      <c r="E23" s="805">
        <v>1.2</v>
      </c>
      <c r="F23" s="441"/>
      <c r="G23" s="438">
        <f t="shared" si="16"/>
        <v>-100</v>
      </c>
      <c r="H23" s="882">
        <v>21.513744210000002</v>
      </c>
      <c r="I23" s="882">
        <v>15.857659029999999</v>
      </c>
      <c r="J23" s="438">
        <f t="shared" si="7"/>
        <v>-26.3</v>
      </c>
      <c r="K23" s="882">
        <v>27.505179529999992</v>
      </c>
      <c r="L23" s="882">
        <v>-62.498121289999979</v>
      </c>
      <c r="M23" s="438">
        <f>IF(K23=0, "    ---- ", IF(ABS(ROUND(100/K23*L23-100,1))&lt;999,ROUND(100/K23*L23-100,1),IF(ROUND(100/K23*L23-100,1)&gt;999,999,-999)))</f>
        <v>-327.2</v>
      </c>
      <c r="N23" s="882"/>
      <c r="O23" s="882"/>
      <c r="P23" s="438"/>
      <c r="Q23" s="905"/>
      <c r="R23" s="882"/>
      <c r="S23" s="437"/>
      <c r="T23" s="814"/>
      <c r="U23" s="882"/>
      <c r="V23" s="438"/>
      <c r="W23" s="905">
        <v>1699.7113942599999</v>
      </c>
      <c r="X23" s="882">
        <v>1286.96643849</v>
      </c>
      <c r="Y23" s="438">
        <f t="shared" si="1"/>
        <v>-24.3</v>
      </c>
      <c r="Z23" s="905">
        <v>0.26</v>
      </c>
      <c r="AA23" s="882">
        <v>0.11</v>
      </c>
      <c r="AB23" s="438">
        <f t="shared" si="18"/>
        <v>-57.7</v>
      </c>
      <c r="AC23" s="905"/>
      <c r="AD23" s="882"/>
      <c r="AE23" s="438"/>
      <c r="AF23" s="905"/>
      <c r="AG23" s="882"/>
      <c r="AH23" s="438"/>
      <c r="AI23" s="905">
        <v>0</v>
      </c>
      <c r="AJ23" s="882">
        <v>470.45400000000001</v>
      </c>
      <c r="AK23" s="438" t="str">
        <f t="shared" si="11"/>
        <v xml:space="preserve">    ---- </v>
      </c>
      <c r="AL23" s="905">
        <v>1316</v>
      </c>
      <c r="AM23" s="882"/>
      <c r="AN23" s="438">
        <f t="shared" si="12"/>
        <v>-100</v>
      </c>
      <c r="AO23" s="103">
        <f t="shared" si="2"/>
        <v>3066.1903179999999</v>
      </c>
      <c r="AP23" s="103">
        <f t="shared" si="2"/>
        <v>1710.8899762299998</v>
      </c>
      <c r="AQ23" s="441">
        <f t="shared" si="3"/>
        <v>-44.2</v>
      </c>
      <c r="AR23" s="439">
        <f t="shared" si="4"/>
        <v>3066.1903179999999</v>
      </c>
      <c r="AS23" s="439">
        <f t="shared" si="5"/>
        <v>1710.8899762299998</v>
      </c>
      <c r="AT23" s="438">
        <f t="shared" si="6"/>
        <v>-44.2</v>
      </c>
    </row>
    <row r="24" spans="1:46" s="484" customFormat="1" ht="20.100000000000001" customHeight="1" x14ac:dyDescent="0.35">
      <c r="A24" s="455" t="s">
        <v>200</v>
      </c>
      <c r="B24" s="882"/>
      <c r="C24" s="882"/>
      <c r="D24" s="438"/>
      <c r="E24" s="805"/>
      <c r="F24" s="441"/>
      <c r="G24" s="438"/>
      <c r="H24" s="882">
        <v>10.528148869999999</v>
      </c>
      <c r="I24" s="882">
        <v>4.6343780000000001E-2</v>
      </c>
      <c r="J24" s="438">
        <f t="shared" si="7"/>
        <v>-99.6</v>
      </c>
      <c r="K24" s="882">
        <v>0</v>
      </c>
      <c r="L24" s="882"/>
      <c r="M24" s="438"/>
      <c r="N24" s="882"/>
      <c r="O24" s="882"/>
      <c r="P24" s="438"/>
      <c r="Q24" s="905"/>
      <c r="R24" s="882"/>
      <c r="S24" s="437"/>
      <c r="T24" s="814"/>
      <c r="U24" s="882"/>
      <c r="V24" s="438"/>
      <c r="W24" s="905">
        <v>883.82095038</v>
      </c>
      <c r="X24" s="882">
        <v>646.07557136000003</v>
      </c>
      <c r="Y24" s="438">
        <f t="shared" si="1"/>
        <v>-26.9</v>
      </c>
      <c r="Z24" s="905"/>
      <c r="AA24" s="882">
        <v>0.12</v>
      </c>
      <c r="AB24" s="334" t="str">
        <f t="shared" si="18"/>
        <v xml:space="preserve">    ---- </v>
      </c>
      <c r="AC24" s="905">
        <v>135</v>
      </c>
      <c r="AD24" s="882">
        <v>23</v>
      </c>
      <c r="AE24" s="438">
        <f t="shared" si="10"/>
        <v>-83</v>
      </c>
      <c r="AF24" s="905"/>
      <c r="AG24" s="882"/>
      <c r="AH24" s="438"/>
      <c r="AI24" s="905">
        <v>0.32800000000000001</v>
      </c>
      <c r="AJ24" s="882">
        <v>1.377</v>
      </c>
      <c r="AK24" s="438">
        <f t="shared" si="11"/>
        <v>319.8</v>
      </c>
      <c r="AL24" s="905"/>
      <c r="AM24" s="882">
        <v>843.4</v>
      </c>
      <c r="AN24" s="438" t="str">
        <f t="shared" si="12"/>
        <v xml:space="preserve">    ---- </v>
      </c>
      <c r="AO24" s="103">
        <f t="shared" si="2"/>
        <v>1029.6770992500001</v>
      </c>
      <c r="AP24" s="103">
        <f t="shared" si="2"/>
        <v>1514.01891514</v>
      </c>
      <c r="AQ24" s="441">
        <f t="shared" si="3"/>
        <v>47</v>
      </c>
      <c r="AR24" s="439">
        <f t="shared" si="4"/>
        <v>1029.6770992500001</v>
      </c>
      <c r="AS24" s="439">
        <f t="shared" si="5"/>
        <v>1514.01891514</v>
      </c>
      <c r="AT24" s="438">
        <f t="shared" si="6"/>
        <v>47</v>
      </c>
    </row>
    <row r="25" spans="1:46" s="484" customFormat="1" ht="20.100000000000001" customHeight="1" x14ac:dyDescent="0.35">
      <c r="A25" s="455" t="s">
        <v>201</v>
      </c>
      <c r="B25" s="882"/>
      <c r="C25" s="882"/>
      <c r="D25" s="438"/>
      <c r="E25" s="805"/>
      <c r="F25" s="441"/>
      <c r="G25" s="438"/>
      <c r="H25" s="882">
        <v>300.79436465999999</v>
      </c>
      <c r="I25" s="882">
        <v>313.33525933999999</v>
      </c>
      <c r="J25" s="438">
        <f t="shared" si="7"/>
        <v>4.2</v>
      </c>
      <c r="K25" s="882">
        <v>110.73676648999999</v>
      </c>
      <c r="L25" s="882">
        <v>1.7315541599999982</v>
      </c>
      <c r="M25" s="438">
        <f>IF(K25=0, "    ---- ", IF(ABS(ROUND(100/K25*L25-100,1))&lt;999,ROUND(100/K25*L25-100,1),IF(ROUND(100/K25*L25-100,1)&gt;999,999,-999)))</f>
        <v>-98.4</v>
      </c>
      <c r="N25" s="882">
        <v>83.456999999999994</v>
      </c>
      <c r="O25" s="882">
        <v>84.47</v>
      </c>
      <c r="P25" s="438">
        <f t="shared" si="17"/>
        <v>1.2</v>
      </c>
      <c r="Q25" s="905"/>
      <c r="R25" s="882"/>
      <c r="S25" s="437"/>
      <c r="T25" s="814"/>
      <c r="U25" s="882"/>
      <c r="V25" s="438"/>
      <c r="W25" s="905">
        <v>-1E-8</v>
      </c>
      <c r="X25" s="882">
        <v>-1E-8</v>
      </c>
      <c r="Y25" s="438">
        <f t="shared" si="1"/>
        <v>0</v>
      </c>
      <c r="Z25" s="905"/>
      <c r="AA25" s="882">
        <v>101.46</v>
      </c>
      <c r="AB25" s="334" t="str">
        <f t="shared" ref="AB25" si="19">IF(Z25=0, "    ---- ", IF(ABS(ROUND(100/Z25*AA25-100,1))&lt;999,ROUND(100/Z25*AA25-100,1),IF(ROUND(100/Z25*AA25-100,1)&gt;999,999,-999)))</f>
        <v xml:space="preserve">    ---- </v>
      </c>
      <c r="AC25" s="905"/>
      <c r="AD25" s="882"/>
      <c r="AE25" s="438"/>
      <c r="AF25" s="905"/>
      <c r="AG25" s="882"/>
      <c r="AH25" s="334"/>
      <c r="AI25" s="905">
        <v>552.51300000000003</v>
      </c>
      <c r="AJ25" s="882">
        <v>697.66</v>
      </c>
      <c r="AK25" s="438">
        <f t="shared" si="11"/>
        <v>26.3</v>
      </c>
      <c r="AL25" s="905"/>
      <c r="AM25" s="882"/>
      <c r="AN25" s="438"/>
      <c r="AO25" s="103">
        <f t="shared" si="2"/>
        <v>1047.5011311399999</v>
      </c>
      <c r="AP25" s="103">
        <f t="shared" si="2"/>
        <v>1198.6568134899999</v>
      </c>
      <c r="AQ25" s="441">
        <f t="shared" si="3"/>
        <v>14.4</v>
      </c>
      <c r="AR25" s="439">
        <f t="shared" si="4"/>
        <v>1047.5011311399999</v>
      </c>
      <c r="AS25" s="439">
        <f t="shared" si="5"/>
        <v>1198.6568134899999</v>
      </c>
      <c r="AT25" s="438">
        <f t="shared" si="6"/>
        <v>14.4</v>
      </c>
    </row>
    <row r="26" spans="1:46" s="484" customFormat="1" ht="20.100000000000001" customHeight="1" x14ac:dyDescent="0.35">
      <c r="A26" s="455" t="s">
        <v>202</v>
      </c>
      <c r="B26" s="882"/>
      <c r="C26" s="882"/>
      <c r="D26" s="438"/>
      <c r="E26" s="805"/>
      <c r="F26" s="441"/>
      <c r="G26" s="438"/>
      <c r="H26" s="882"/>
      <c r="I26" s="882"/>
      <c r="J26" s="438"/>
      <c r="K26" s="882"/>
      <c r="L26" s="882"/>
      <c r="M26" s="438"/>
      <c r="N26" s="882"/>
      <c r="O26" s="882"/>
      <c r="P26" s="438"/>
      <c r="Q26" s="905"/>
      <c r="R26" s="882"/>
      <c r="S26" s="437"/>
      <c r="T26" s="814"/>
      <c r="U26" s="882"/>
      <c r="V26" s="438"/>
      <c r="W26" s="905"/>
      <c r="X26" s="882"/>
      <c r="Y26" s="438"/>
      <c r="Z26" s="905"/>
      <c r="AA26" s="882"/>
      <c r="AB26" s="334"/>
      <c r="AC26" s="905"/>
      <c r="AD26" s="882"/>
      <c r="AE26" s="438"/>
      <c r="AF26" s="905"/>
      <c r="AG26" s="882"/>
      <c r="AH26" s="438"/>
      <c r="AI26" s="905"/>
      <c r="AJ26" s="882"/>
      <c r="AK26" s="438"/>
      <c r="AL26" s="905"/>
      <c r="AM26" s="882"/>
      <c r="AN26" s="438"/>
      <c r="AO26" s="103">
        <f t="shared" si="2"/>
        <v>0</v>
      </c>
      <c r="AP26" s="103">
        <f t="shared" si="2"/>
        <v>0</v>
      </c>
      <c r="AQ26" s="441" t="str">
        <f t="shared" si="3"/>
        <v xml:space="preserve">    ---- </v>
      </c>
      <c r="AR26" s="439">
        <f t="shared" si="4"/>
        <v>0</v>
      </c>
      <c r="AS26" s="439">
        <f t="shared" si="5"/>
        <v>0</v>
      </c>
      <c r="AT26" s="438" t="str">
        <f t="shared" si="6"/>
        <v xml:space="preserve">    ---- </v>
      </c>
    </row>
    <row r="27" spans="1:46" s="484" customFormat="1" ht="20.100000000000001" customHeight="1" x14ac:dyDescent="0.35">
      <c r="A27" s="456" t="s">
        <v>203</v>
      </c>
      <c r="B27" s="882">
        <f>SUM(B14+B15+B16+B20+B26)</f>
        <v>814.11800000000005</v>
      </c>
      <c r="C27" s="882">
        <f>SUM(C14+C15+C16+C20+C26)</f>
        <v>865.11500000000001</v>
      </c>
      <c r="D27" s="438">
        <f>IF(B27=0, "    ---- ", IF(ABS(ROUND(100/B27*C27-100,1))&lt;999,ROUND(100/B27*C27-100,1),IF(ROUND(100/B27*C27-100,1)&gt;999,999,-999)))</f>
        <v>6.3</v>
      </c>
      <c r="E27" s="805">
        <f>SUM(E14+E15+E16+E20+E26)</f>
        <v>559.20000000000005</v>
      </c>
      <c r="F27" s="441"/>
      <c r="G27" s="438">
        <f t="shared" si="16"/>
        <v>-100</v>
      </c>
      <c r="H27" s="882">
        <f>SUM(H14+H15+H16+H20+H26)</f>
        <v>33161.238946029996</v>
      </c>
      <c r="I27" s="882">
        <f>SUM(I14+I15+I16+I20+I26)</f>
        <v>33979.175989709998</v>
      </c>
      <c r="J27" s="438">
        <f t="shared" si="7"/>
        <v>2.5</v>
      </c>
      <c r="K27" s="882">
        <f>SUM(K14+K15+K16+K20+K26)</f>
        <v>1899.8152579800003</v>
      </c>
      <c r="L27" s="882">
        <f>SUM(L14+L15+L16+L20+L26)</f>
        <v>2630.8020058600009</v>
      </c>
      <c r="M27" s="438">
        <f>IF(K27=0, "    ---- ", IF(ABS(ROUND(100/K27*L27-100,1))&lt;999,ROUND(100/K27*L27-100,1),IF(ROUND(100/K27*L27-100,1)&gt;999,999,-999)))</f>
        <v>38.5</v>
      </c>
      <c r="N27" s="882">
        <f>SUM(N14+N15+N16+N20+N26)</f>
        <v>700.23800000000006</v>
      </c>
      <c r="O27" s="882">
        <f>SUM(O14+O15+O16+O20+O26)</f>
        <v>483.77499999999998</v>
      </c>
      <c r="P27" s="438">
        <f t="shared" si="17"/>
        <v>-30.9</v>
      </c>
      <c r="Q27" s="905">
        <f>SUM(Q14+Q15+Q16+Q20+Q26)</f>
        <v>1118.2</v>
      </c>
      <c r="R27" s="882">
        <f>SUM(R14+R15+R16+R20+R26)</f>
        <v>1324.1</v>
      </c>
      <c r="S27" s="437">
        <f t="shared" si="15"/>
        <v>18.399999999999999</v>
      </c>
      <c r="T27" s="814"/>
      <c r="U27" s="882"/>
      <c r="V27" s="438"/>
      <c r="W27" s="905">
        <v>41135.600345619998</v>
      </c>
      <c r="X27" s="882">
        <v>41365.73313696</v>
      </c>
      <c r="Y27" s="438">
        <f t="shared" si="1"/>
        <v>0.6</v>
      </c>
      <c r="Z27" s="905">
        <f>SUM(Z14+Z15+Z16+Z20+Z26)</f>
        <v>10727.19</v>
      </c>
      <c r="AA27" s="882">
        <f>SUM(AA14+AA15+AA16+AA20+AA26)</f>
        <v>11214.2</v>
      </c>
      <c r="AB27" s="438">
        <f t="shared" si="18"/>
        <v>4.5</v>
      </c>
      <c r="AC27" s="905">
        <f>SUM(AC14+AC15+AC16+AC20+AC26)</f>
        <v>10515</v>
      </c>
      <c r="AD27" s="882">
        <f>SUM(AD14+AD15+AD16+AD20+AD26)</f>
        <v>10738</v>
      </c>
      <c r="AE27" s="438">
        <f t="shared" si="10"/>
        <v>2.1</v>
      </c>
      <c r="AF27" s="905"/>
      <c r="AG27" s="882"/>
      <c r="AH27" s="334"/>
      <c r="AI27" s="905">
        <f>SUM(AI14+AI15+AI16+AI20+AI26)</f>
        <v>6766.9490000000005</v>
      </c>
      <c r="AJ27" s="882">
        <f>SUM(AJ14+AJ15+AJ16+AJ20+AJ26)</f>
        <v>6092.3720000000003</v>
      </c>
      <c r="AK27" s="438">
        <f t="shared" si="11"/>
        <v>-10</v>
      </c>
      <c r="AL27" s="905">
        <f>SUM(AL14+AL15+AL16+AL20+AL26)</f>
        <v>33085.1</v>
      </c>
      <c r="AM27" s="882">
        <f>SUM(AM14+AM15+AM16+AM20+AM26)</f>
        <v>36339.800000000003</v>
      </c>
      <c r="AN27" s="438">
        <f t="shared" si="12"/>
        <v>9.8000000000000007</v>
      </c>
      <c r="AO27" s="103">
        <f t="shared" si="2"/>
        <v>140482.64954963</v>
      </c>
      <c r="AP27" s="103">
        <f t="shared" si="2"/>
        <v>145033.07313253</v>
      </c>
      <c r="AQ27" s="441">
        <f t="shared" si="3"/>
        <v>3.2</v>
      </c>
      <c r="AR27" s="439">
        <f t="shared" si="4"/>
        <v>140482.64954963</v>
      </c>
      <c r="AS27" s="439">
        <f t="shared" si="5"/>
        <v>145033.07313253</v>
      </c>
      <c r="AT27" s="438">
        <f t="shared" si="6"/>
        <v>3.2</v>
      </c>
    </row>
    <row r="28" spans="1:46" s="484" customFormat="1" ht="20.100000000000001" customHeight="1" x14ac:dyDescent="0.35">
      <c r="A28" s="455" t="s">
        <v>204</v>
      </c>
      <c r="B28" s="882">
        <f>67.672+175.911+3.13</f>
        <v>246.71299999999999</v>
      </c>
      <c r="C28" s="882">
        <f>1072.296-865.115</f>
        <v>207.18100000000004</v>
      </c>
      <c r="D28" s="438">
        <f>IF(B28=0, "    ---- ", IF(ABS(ROUND(100/B28*C28-100,1))&lt;999,ROUND(100/B28*C28-100,1),IF(ROUND(100/B28*C28-100,1)&gt;999,999,-999)))</f>
        <v>-16</v>
      </c>
      <c r="E28" s="805">
        <v>84</v>
      </c>
      <c r="F28" s="441"/>
      <c r="G28" s="438">
        <f t="shared" si="16"/>
        <v>-100</v>
      </c>
      <c r="H28" s="882">
        <v>1190.096</v>
      </c>
      <c r="I28" s="882">
        <v>1533.47139836</v>
      </c>
      <c r="J28" s="438">
        <f t="shared" si="7"/>
        <v>28.9</v>
      </c>
      <c r="K28" s="882">
        <v>1408.9114465999999</v>
      </c>
      <c r="L28" s="882">
        <v>1172.6597665200002</v>
      </c>
      <c r="M28" s="438">
        <f>IF(K28=0, "    ---- ", IF(ABS(ROUND(100/K28*L28-100,1))&lt;999,ROUND(100/K28*L28-100,1),IF(ROUND(100/K28*L28-100,1)&gt;999,999,-999)))</f>
        <v>-16.8</v>
      </c>
      <c r="N28" s="882">
        <v>105.01300000000001</v>
      </c>
      <c r="O28" s="882">
        <v>96.534999999999997</v>
      </c>
      <c r="P28" s="438">
        <f t="shared" si="17"/>
        <v>-8.1</v>
      </c>
      <c r="Q28" s="905">
        <v>341.5</v>
      </c>
      <c r="R28" s="882">
        <v>361.6</v>
      </c>
      <c r="S28" s="437">
        <f t="shared" si="15"/>
        <v>5.9</v>
      </c>
      <c r="T28" s="814">
        <v>157.24688584</v>
      </c>
      <c r="U28" s="882">
        <v>167.887</v>
      </c>
      <c r="V28" s="438">
        <f>IF(T28=0, "    ---- ", IF(ABS(ROUND(100/T28*U28-100,1))&lt;999,ROUND(100/T28*U28-100,1),IF(ROUND(100/T28*U28-100,1)&gt;999,999,-999)))</f>
        <v>6.8</v>
      </c>
      <c r="W28" s="905">
        <v>4314.7892796500009</v>
      </c>
      <c r="X28" s="882">
        <v>3902.74131463</v>
      </c>
      <c r="Y28" s="438">
        <f t="shared" si="1"/>
        <v>-9.5</v>
      </c>
      <c r="Z28" s="905">
        <v>1109</v>
      </c>
      <c r="AA28" s="882">
        <v>1152.3399999999999</v>
      </c>
      <c r="AB28" s="438">
        <f t="shared" si="18"/>
        <v>3.9</v>
      </c>
      <c r="AC28" s="905">
        <f>322+344+22+54</f>
        <v>742</v>
      </c>
      <c r="AD28" s="882">
        <f>40+1161+23+60</f>
        <v>1284</v>
      </c>
      <c r="AE28" s="438">
        <f t="shared" si="10"/>
        <v>73</v>
      </c>
      <c r="AF28" s="905">
        <v>93.287827149999998</v>
      </c>
      <c r="AG28" s="882">
        <v>110.59699999999999</v>
      </c>
      <c r="AH28" s="438">
        <f>IF(AF28=0, "    ---- ", IF(ABS(ROUND(100/AF28*AG28-100,1))&lt;999,ROUND(100/AF28*AG28-100,1),IF(ROUND(100/AF28*AG28-100,1)&gt;999,999,-999)))</f>
        <v>18.600000000000001</v>
      </c>
      <c r="AI28" s="905">
        <v>945.40899999999999</v>
      </c>
      <c r="AJ28" s="882">
        <v>665.34900000000005</v>
      </c>
      <c r="AK28" s="438">
        <f t="shared" si="11"/>
        <v>-29.6</v>
      </c>
      <c r="AL28" s="905">
        <f>419+2425+2369+27</f>
        <v>5240</v>
      </c>
      <c r="AM28" s="882">
        <f>455+7430+1796+40</f>
        <v>9721</v>
      </c>
      <c r="AN28" s="438">
        <f t="shared" si="12"/>
        <v>85.5</v>
      </c>
      <c r="AO28" s="103">
        <f t="shared" si="2"/>
        <v>15727.431726250001</v>
      </c>
      <c r="AP28" s="103">
        <f t="shared" si="2"/>
        <v>20096.87747951</v>
      </c>
      <c r="AQ28" s="441">
        <f t="shared" si="3"/>
        <v>27.8</v>
      </c>
      <c r="AR28" s="439">
        <f t="shared" si="4"/>
        <v>15977.966439239999</v>
      </c>
      <c r="AS28" s="439">
        <f t="shared" si="5"/>
        <v>20375.36147951</v>
      </c>
      <c r="AT28" s="438">
        <f t="shared" si="6"/>
        <v>27.5</v>
      </c>
    </row>
    <row r="29" spans="1:46" s="484" customFormat="1" ht="20.100000000000001" customHeight="1" x14ac:dyDescent="0.35">
      <c r="A29" s="455" t="s">
        <v>205</v>
      </c>
      <c r="B29" s="882">
        <f>SUM(B27+B28)</f>
        <v>1060.8310000000001</v>
      </c>
      <c r="C29" s="882">
        <f>SUM(C27+C28)</f>
        <v>1072.296</v>
      </c>
      <c r="D29" s="438">
        <f>IF(B29=0, "    ---- ", IF(ABS(ROUND(100/B29*C29-100,1))&lt;999,ROUND(100/B29*C29-100,1),IF(ROUND(100/B29*C29-100,1)&gt;999,999,-999)))</f>
        <v>1.1000000000000001</v>
      </c>
      <c r="E29" s="441">
        <f>SUM(E27+E28)</f>
        <v>643.20000000000005</v>
      </c>
      <c r="F29" s="441"/>
      <c r="G29" s="438">
        <f>IF(E29=0, "    ---- ", IF(ABS(ROUND(100/E29*F29-100,1))&lt;999,ROUND(100/E29*F29-100,1),IF(ROUND(100/E29*F29-100,1)&gt;999,999,-999)))</f>
        <v>-100</v>
      </c>
      <c r="H29" s="882">
        <f>SUM(H27+H28)</f>
        <v>34351.334946029994</v>
      </c>
      <c r="I29" s="882">
        <f>SUM(I27+I28)</f>
        <v>35512.64738807</v>
      </c>
      <c r="J29" s="438">
        <f>IF(H29=0, "    ---- ", IF(ABS(ROUND(100/H29*I29-100,1))&lt;999,ROUND(100/H29*I29-100,1),IF(ROUND(100/H29*I29-100,1)&gt;999,999,-999)))</f>
        <v>3.4</v>
      </c>
      <c r="K29" s="882">
        <f>SUM(K27+K28)</f>
        <v>3308.7267045799999</v>
      </c>
      <c r="L29" s="882">
        <f>SUM(L27+L28)</f>
        <v>3803.4617723800011</v>
      </c>
      <c r="M29" s="438">
        <f>IF(K29=0, "    ---- ", IF(ABS(ROUND(100/K29*L29-100,1))&lt;999,ROUND(100/K29*L29-100,1),IF(ROUND(100/K29*L29-100,1)&gt;999,999,-999)))</f>
        <v>15</v>
      </c>
      <c r="N29" s="882">
        <f>SUM(N27+N28)</f>
        <v>805.25100000000009</v>
      </c>
      <c r="O29" s="882">
        <f>SUM(O27+O28)</f>
        <v>580.30999999999995</v>
      </c>
      <c r="P29" s="438">
        <f>IF(N29=0, "    ---- ", IF(ABS(ROUND(100/N29*O29-100,1))&lt;999,ROUND(100/N29*O29-100,1),IF(ROUND(100/N29*O29-100,1)&gt;999,999,-999)))</f>
        <v>-27.9</v>
      </c>
      <c r="Q29" s="882">
        <f>SUM(Q27+Q28)</f>
        <v>1459.7</v>
      </c>
      <c r="R29" s="906">
        <f>SUM(R27+R28)</f>
        <v>1685.6999999999998</v>
      </c>
      <c r="S29" s="438">
        <f>IF(Q29=0, "    ---- ", IF(ABS(ROUND(100/Q29*R29-100,1))&lt;999,ROUND(100/Q29*R29-100,1),IF(ROUND(100/Q29*R29-100,1)&gt;999,999,-999)))</f>
        <v>15.5</v>
      </c>
      <c r="T29" s="882">
        <f>SUM(T27+T28)</f>
        <v>157.24688584</v>
      </c>
      <c r="U29" s="882">
        <f>SUM(U27+U28)</f>
        <v>167.887</v>
      </c>
      <c r="V29" s="438">
        <f>IF(T29=0, "    ---- ", IF(ABS(ROUND(100/T29*U29-100,1))&lt;999,ROUND(100/T29*U29-100,1),IF(ROUND(100/T29*U29-100,1)&gt;999,999,-999)))</f>
        <v>6.8</v>
      </c>
      <c r="W29" s="882">
        <v>45450.38962527</v>
      </c>
      <c r="X29" s="882">
        <v>45268.474451590002</v>
      </c>
      <c r="Y29" s="438">
        <f>IF(W29=0, "    ---- ", IF(ABS(ROUND(100/W29*X29-100,1))&lt;999,ROUND(100/W29*X29-100,1),IF(ROUND(100/W29*X29-100,1)&gt;999,999,-999)))</f>
        <v>-0.4</v>
      </c>
      <c r="Z29" s="882">
        <f>SUM(Z27+Z28)</f>
        <v>11836.19</v>
      </c>
      <c r="AA29" s="882">
        <f>SUM(AA27+AA28)</f>
        <v>12366.54</v>
      </c>
      <c r="AB29" s="438">
        <f>IF(Z29=0, "    ---- ", IF(ABS(ROUND(100/Z29*AA29-100,1))&lt;999,ROUND(100/Z29*AA29-100,1),IF(ROUND(100/Z29*AA29-100,1)&gt;999,999,-999)))</f>
        <v>4.5</v>
      </c>
      <c r="AC29" s="882">
        <f>SUM(AC27+AC28)</f>
        <v>11257</v>
      </c>
      <c r="AD29" s="882">
        <f>SUM(AD27+AD28)</f>
        <v>12022</v>
      </c>
      <c r="AE29" s="438">
        <f>IF(AC29=0, "    ---- ", IF(ABS(ROUND(100/AC29*AD29-100,1))&lt;999,ROUND(100/AC29*AD29-100,1),IF(ROUND(100/AC29*AD29-100,1)&gt;999,999,-999)))</f>
        <v>6.8</v>
      </c>
      <c r="AF29" s="882">
        <f>SUM(AF27+AF28)</f>
        <v>93.287827149999998</v>
      </c>
      <c r="AG29" s="882">
        <f>SUM(AG27+AG28)</f>
        <v>110.59699999999999</v>
      </c>
      <c r="AH29" s="438">
        <f>IF(AF29=0, "    ---- ", IF(ABS(ROUND(100/AF29*AG29-100,1))&lt;999,ROUND(100/AF29*AG29-100,1),IF(ROUND(100/AF29*AG29-100,1)&gt;999,999,-999)))</f>
        <v>18.600000000000001</v>
      </c>
      <c r="AI29" s="882">
        <f>SUM(AI27+AI28)</f>
        <v>7712.3580000000002</v>
      </c>
      <c r="AJ29" s="882">
        <f>SUM(AJ27+AJ28)</f>
        <v>6757.7210000000005</v>
      </c>
      <c r="AK29" s="438">
        <f>IF(AI29=0, "    ---- ", IF(ABS(ROUND(100/AI29*AJ29-100,1))&lt;999,ROUND(100/AI29*AJ29-100,1),IF(ROUND(100/AI29*AJ29-100,1)&gt;999,999,-999)))</f>
        <v>-12.4</v>
      </c>
      <c r="AL29" s="882">
        <f>SUM(AL27+AL28)</f>
        <v>38325.1</v>
      </c>
      <c r="AM29" s="882">
        <f>SUM(AM27+AM28)</f>
        <v>46060.800000000003</v>
      </c>
      <c r="AN29" s="438">
        <f>IF(AL29=0, "    ---- ", IF(ABS(ROUND(100/AL29*AM29-100,1))&lt;999,ROUND(100/AL29*AM29-100,1),IF(ROUND(100/AL29*AM29-100,1)&gt;999,999,-999)))</f>
        <v>20.2</v>
      </c>
      <c r="AO29" s="103">
        <f t="shared" si="2"/>
        <v>156210.08127587999</v>
      </c>
      <c r="AP29" s="103">
        <f t="shared" si="2"/>
        <v>165129.95061204</v>
      </c>
      <c r="AQ29" s="441">
        <f>IF(AO29=0, "    ---- ", IF(ABS(ROUND(100/AO29*AP29-100,1))&lt;999,ROUND(100/AO29*AP29-100,1),IF(ROUND(100/AO29*AP29-100,1)&gt;999,999,-999)))</f>
        <v>5.7</v>
      </c>
      <c r="AR29" s="439">
        <f t="shared" si="4"/>
        <v>156460.61598886998</v>
      </c>
      <c r="AS29" s="439">
        <f t="shared" si="5"/>
        <v>165408.43461204</v>
      </c>
      <c r="AT29" s="440">
        <f t="shared" si="6"/>
        <v>5.7</v>
      </c>
    </row>
    <row r="30" spans="1:46" s="461" customFormat="1" ht="20.100000000000001" customHeight="1" x14ac:dyDescent="0.35">
      <c r="A30" s="455"/>
      <c r="B30" s="879"/>
      <c r="C30" s="879"/>
      <c r="D30" s="441"/>
      <c r="E30" s="431"/>
      <c r="F30" s="431"/>
      <c r="G30" s="334"/>
      <c r="H30" s="879"/>
      <c r="I30" s="879"/>
      <c r="J30" s="441"/>
      <c r="K30" s="879"/>
      <c r="L30" s="879"/>
      <c r="M30" s="441"/>
      <c r="N30" s="879"/>
      <c r="O30" s="879"/>
      <c r="P30" s="441"/>
      <c r="Q30" s="882"/>
      <c r="R30" s="879"/>
      <c r="S30" s="431"/>
      <c r="T30" s="879"/>
      <c r="U30" s="879"/>
      <c r="V30" s="334"/>
      <c r="W30" s="879"/>
      <c r="X30" s="879"/>
      <c r="Y30" s="334"/>
      <c r="Z30" s="879"/>
      <c r="AA30" s="879"/>
      <c r="AB30" s="334"/>
      <c r="AC30" s="879"/>
      <c r="AD30" s="879"/>
      <c r="AE30" s="334"/>
      <c r="AF30" s="879"/>
      <c r="AG30" s="879"/>
      <c r="AH30" s="334"/>
      <c r="AI30" s="879"/>
      <c r="AJ30" s="879"/>
      <c r="AK30" s="334"/>
      <c r="AL30" s="879"/>
      <c r="AM30" s="879"/>
      <c r="AN30" s="334"/>
      <c r="AO30" s="933"/>
      <c r="AP30" s="933"/>
      <c r="AQ30" s="334"/>
      <c r="AR30" s="433"/>
      <c r="AS30" s="433"/>
      <c r="AT30" s="442"/>
    </row>
    <row r="31" spans="1:46" s="461" customFormat="1" ht="20.100000000000001" customHeight="1" x14ac:dyDescent="0.35">
      <c r="A31" s="453" t="s">
        <v>206</v>
      </c>
      <c r="B31" s="882"/>
      <c r="C31" s="882"/>
      <c r="D31" s="441"/>
      <c r="E31" s="441"/>
      <c r="F31" s="441"/>
      <c r="G31" s="334"/>
      <c r="H31" s="882"/>
      <c r="I31" s="882"/>
      <c r="J31" s="441"/>
      <c r="K31" s="882"/>
      <c r="L31" s="882"/>
      <c r="M31" s="441"/>
      <c r="N31" s="882"/>
      <c r="O31" s="882"/>
      <c r="P31" s="441"/>
      <c r="Q31" s="882"/>
      <c r="R31" s="882"/>
      <c r="S31" s="431"/>
      <c r="T31" s="882"/>
      <c r="U31" s="882"/>
      <c r="V31" s="334"/>
      <c r="W31" s="882"/>
      <c r="X31" s="882"/>
      <c r="Y31" s="334"/>
      <c r="Z31" s="882"/>
      <c r="AA31" s="882"/>
      <c r="AB31" s="334"/>
      <c r="AC31" s="882"/>
      <c r="AD31" s="882"/>
      <c r="AE31" s="334"/>
      <c r="AF31" s="882"/>
      <c r="AG31" s="882"/>
      <c r="AH31" s="334"/>
      <c r="AI31" s="882"/>
      <c r="AJ31" s="882"/>
      <c r="AK31" s="334"/>
      <c r="AL31" s="882"/>
      <c r="AM31" s="882"/>
      <c r="AN31" s="334"/>
      <c r="AO31" s="933"/>
      <c r="AP31" s="933"/>
      <c r="AQ31" s="334"/>
      <c r="AR31" s="433"/>
      <c r="AS31" s="433"/>
      <c r="AT31" s="442"/>
    </row>
    <row r="32" spans="1:46" s="461" customFormat="1" ht="20.100000000000001" customHeight="1" x14ac:dyDescent="0.35">
      <c r="A32" s="453" t="s">
        <v>207</v>
      </c>
      <c r="B32" s="882"/>
      <c r="C32" s="882"/>
      <c r="D32" s="334"/>
      <c r="E32" s="441"/>
      <c r="F32" s="441"/>
      <c r="G32" s="334"/>
      <c r="H32" s="882"/>
      <c r="I32" s="882"/>
      <c r="J32" s="334"/>
      <c r="K32" s="882"/>
      <c r="L32" s="882"/>
      <c r="M32" s="334"/>
      <c r="N32" s="882"/>
      <c r="O32" s="882"/>
      <c r="P32" s="334"/>
      <c r="Q32" s="882"/>
      <c r="R32" s="882"/>
      <c r="S32" s="431"/>
      <c r="T32" s="882"/>
      <c r="U32" s="882"/>
      <c r="V32" s="334"/>
      <c r="W32" s="882"/>
      <c r="X32" s="882"/>
      <c r="Y32" s="334"/>
      <c r="Z32" s="882"/>
      <c r="AA32" s="882"/>
      <c r="AB32" s="334"/>
      <c r="AC32" s="882"/>
      <c r="AD32" s="882"/>
      <c r="AE32" s="334"/>
      <c r="AF32" s="882"/>
      <c r="AG32" s="882"/>
      <c r="AH32" s="334"/>
      <c r="AI32" s="882"/>
      <c r="AJ32" s="882"/>
      <c r="AK32" s="334"/>
      <c r="AL32" s="882"/>
      <c r="AM32" s="882"/>
      <c r="AN32" s="334"/>
      <c r="AO32" s="933"/>
      <c r="AP32" s="933"/>
      <c r="AQ32" s="334"/>
      <c r="AR32" s="433"/>
      <c r="AS32" s="433"/>
      <c r="AT32" s="442"/>
    </row>
    <row r="33" spans="1:46" s="461" customFormat="1" ht="20.100000000000001" customHeight="1" x14ac:dyDescent="0.35">
      <c r="A33" s="455" t="s">
        <v>208</v>
      </c>
      <c r="B33" s="882"/>
      <c r="C33" s="882"/>
      <c r="D33" s="441"/>
      <c r="E33" s="441"/>
      <c r="F33" s="441"/>
      <c r="G33" s="334"/>
      <c r="H33" s="882">
        <v>19.31040771</v>
      </c>
      <c r="I33" s="882">
        <v>19.31040771</v>
      </c>
      <c r="J33" s="441">
        <f t="shared" ref="J33:J91" si="20">IF(H33=0, "    ---- ", IF(ABS(ROUND(100/H33*I33-100,1))&lt;999,ROUND(100/H33*I33-100,1),IF(ROUND(100/H33*I33-100,1)&gt;999,999,-999)))</f>
        <v>0</v>
      </c>
      <c r="K33" s="882"/>
      <c r="L33" s="882"/>
      <c r="M33" s="441"/>
      <c r="N33" s="882"/>
      <c r="O33" s="882"/>
      <c r="P33" s="441"/>
      <c r="Q33" s="882"/>
      <c r="R33" s="882"/>
      <c r="S33" s="431"/>
      <c r="T33" s="882"/>
      <c r="U33" s="882"/>
      <c r="V33" s="334"/>
      <c r="W33" s="882"/>
      <c r="X33" s="882"/>
      <c r="Y33" s="334"/>
      <c r="Z33" s="882"/>
      <c r="AA33" s="882"/>
      <c r="AB33" s="334"/>
      <c r="AC33" s="882"/>
      <c r="AD33" s="882"/>
      <c r="AE33" s="334"/>
      <c r="AF33" s="882"/>
      <c r="AG33" s="882"/>
      <c r="AH33" s="334"/>
      <c r="AI33" s="882"/>
      <c r="AJ33" s="882"/>
      <c r="AK33" s="334"/>
      <c r="AL33" s="882"/>
      <c r="AM33" s="882"/>
      <c r="AN33" s="334"/>
      <c r="AO33" s="103">
        <f t="shared" ref="AO33:AP46" si="21">B33+H33+K33+N33+Q33+W33+E33+Z33+AC33+AI33+AL33</f>
        <v>19.31040771</v>
      </c>
      <c r="AP33" s="103">
        <f t="shared" si="21"/>
        <v>19.31040771</v>
      </c>
      <c r="AQ33" s="334">
        <f t="shared" ref="AQ33:AQ91" si="22">IF(AO33=0, "    ---- ", IF(ABS(ROUND(100/AO33*AP33-100,1))&lt;999,ROUND(100/AO33*AP33-100,1),IF(ROUND(100/AO33*AP33-100,1)&gt;999,999,-999)))</f>
        <v>0</v>
      </c>
      <c r="AR33" s="439">
        <f t="shared" ref="AR33:AR46" si="23">B33+H33+K33+N33+Q33+T33+W33+E33+Z33+AC33+AF33+AI33+AL33</f>
        <v>19.31040771</v>
      </c>
      <c r="AS33" s="439">
        <f t="shared" ref="AS33:AS46" si="24">C33+I33+L33+O33+R33+U33+X33+F33+AA33+AD33+AG33+AJ33+AM33</f>
        <v>19.31040771</v>
      </c>
      <c r="AT33" s="442">
        <f t="shared" ref="AT33:AT91" si="25">IF(AR33=0, "    ---- ", IF(ABS(ROUND(100/AR33*AS33-100,1))&lt;999,ROUND(100/AR33*AS33-100,1),IF(ROUND(100/AR33*AS33-100,1)&gt;999,999,-999)))</f>
        <v>0</v>
      </c>
    </row>
    <row r="34" spans="1:46" s="461" customFormat="1" ht="20.100000000000001" customHeight="1" x14ac:dyDescent="0.35">
      <c r="A34" s="455" t="s">
        <v>209</v>
      </c>
      <c r="B34" s="882"/>
      <c r="C34" s="882"/>
      <c r="D34" s="441"/>
      <c r="E34" s="441">
        <v>0</v>
      </c>
      <c r="F34" s="441"/>
      <c r="G34" s="334" t="str">
        <f>IF(E34=0, "    ---- ", IF(ABS(ROUND(100/E34*F34-100,1))&lt;999,ROUND(100/E34*F34-100,1),IF(ROUND(100/E34*F34-100,1)&gt;999,999,-999)))</f>
        <v xml:space="preserve">    ---- </v>
      </c>
      <c r="H34" s="882">
        <v>28480.615000000002</v>
      </c>
      <c r="I34" s="882">
        <v>29021.481678959997</v>
      </c>
      <c r="J34" s="441">
        <f t="shared" si="20"/>
        <v>1.9</v>
      </c>
      <c r="K34" s="882"/>
      <c r="L34" s="882">
        <v>432.90472782000001</v>
      </c>
      <c r="M34" s="438" t="str">
        <f t="shared" ref="M34:M35" si="26">IF(K34=0, "    ---- ", IF(ABS(ROUND(100/K34*L34-100,1))&lt;999,ROUND(100/K34*L34-100,1),IF(ROUND(100/K34*L34-100,1)&gt;999,999,-999)))</f>
        <v xml:space="preserve">    ---- </v>
      </c>
      <c r="N34" s="882"/>
      <c r="O34" s="882"/>
      <c r="P34" s="441"/>
      <c r="Q34" s="882">
        <v>1036.4000000000001</v>
      </c>
      <c r="R34" s="882">
        <v>1194.3</v>
      </c>
      <c r="S34" s="431">
        <f>IF(Q34=0, "    ---- ", IF(ABS(ROUND(100/Q34*R34-100,1))&lt;999,ROUND(100/Q34*R34-100,1),IF(ROUND(100/Q34*R34-100,1)&gt;999,999,-999)))</f>
        <v>15.2</v>
      </c>
      <c r="T34" s="882"/>
      <c r="U34" s="882"/>
      <c r="V34" s="334"/>
      <c r="W34" s="882">
        <v>79259.210273520002</v>
      </c>
      <c r="X34" s="882">
        <v>87688.709305249999</v>
      </c>
      <c r="Y34" s="334">
        <f>IF(W34=0, "    ---- ", IF(ABS(ROUND(100/W34*X34-100,1))&lt;999,ROUND(100/W34*X34-100,1),IF(ROUND(100/W34*X34-100,1)&gt;999,999,-999)))</f>
        <v>10.6</v>
      </c>
      <c r="Z34" s="882">
        <v>6950.18</v>
      </c>
      <c r="AA34" s="882">
        <v>7893.9</v>
      </c>
      <c r="AB34" s="334">
        <f t="shared" ref="AB34:AB91" si="27">IF(Z34=0, "    ---- ", IF(ABS(ROUND(100/Z34*AA34-100,1))&lt;999,ROUND(100/Z34*AA34-100,1),IF(ROUND(100/Z34*AA34-100,1)&gt;999,999,-999)))</f>
        <v>13.6</v>
      </c>
      <c r="AC34" s="882">
        <v>17881</v>
      </c>
      <c r="AD34" s="882">
        <f>14562+7791</f>
        <v>22353</v>
      </c>
      <c r="AE34" s="334">
        <f t="shared" ref="AE34:AE41" si="28">IF(AC34=0, "    ---- ", IF(ABS(ROUND(100/AC34*AD34-100,1))&lt;999,ROUND(100/AC34*AD34-100,1),IF(ROUND(100/AC34*AD34-100,1)&gt;999,999,-999)))</f>
        <v>25</v>
      </c>
      <c r="AF34" s="882"/>
      <c r="AG34" s="882"/>
      <c r="AH34" s="334"/>
      <c r="AI34" s="882">
        <v>4926.7380000000003</v>
      </c>
      <c r="AJ34" s="882">
        <v>6003.884</v>
      </c>
      <c r="AK34" s="334">
        <f t="shared" ref="AK34:AK91" si="29">IF(AI34=0, "    ---- ", IF(ABS(ROUND(100/AI34*AJ34-100,1))&lt;999,ROUND(100/AI34*AJ34-100,1),IF(ROUND(100/AI34*AJ34-100,1)&gt;999,999,-999)))</f>
        <v>21.9</v>
      </c>
      <c r="AL34" s="882">
        <v>21155</v>
      </c>
      <c r="AM34" s="882">
        <v>22325</v>
      </c>
      <c r="AN34" s="334">
        <f t="shared" ref="AN34:AN91" si="30">IF(AL34=0, "    ---- ", IF(ABS(ROUND(100/AL34*AM34-100,1))&lt;999,ROUND(100/AL34*AM34-100,1),IF(ROUND(100/AL34*AM34-100,1)&gt;999,999,-999)))</f>
        <v>5.5</v>
      </c>
      <c r="AO34" s="103">
        <f t="shared" si="21"/>
        <v>159689.14327352002</v>
      </c>
      <c r="AP34" s="103">
        <f t="shared" si="21"/>
        <v>176913.17971202999</v>
      </c>
      <c r="AQ34" s="334">
        <f t="shared" si="22"/>
        <v>10.8</v>
      </c>
      <c r="AR34" s="439">
        <f t="shared" si="23"/>
        <v>159689.14327352002</v>
      </c>
      <c r="AS34" s="439">
        <f t="shared" si="24"/>
        <v>176913.17971202999</v>
      </c>
      <c r="AT34" s="442">
        <f t="shared" si="25"/>
        <v>10.8</v>
      </c>
    </row>
    <row r="35" spans="1:46" s="461" customFormat="1" ht="20.100000000000001" customHeight="1" x14ac:dyDescent="0.35">
      <c r="A35" s="455" t="s">
        <v>210</v>
      </c>
      <c r="B35" s="882"/>
      <c r="C35" s="882"/>
      <c r="D35" s="441"/>
      <c r="E35" s="441">
        <f>SUM(E36+E38)</f>
        <v>1452.7</v>
      </c>
      <c r="F35" s="441"/>
      <c r="G35" s="334">
        <f>IF(E35=0, "    ---- ", IF(ABS(ROUND(100/E35*F35-100,1))&lt;999,ROUND(100/E35*F35-100,1),IF(ROUND(100/E35*F35-100,1)&gt;999,999,-999)))</f>
        <v>-100</v>
      </c>
      <c r="H35" s="882">
        <f>SUM(H36+H38)</f>
        <v>96312.397625380007</v>
      </c>
      <c r="I35" s="882">
        <f>SUM(I36+I38)</f>
        <v>96865.451923680012</v>
      </c>
      <c r="J35" s="441">
        <f t="shared" si="20"/>
        <v>0.6</v>
      </c>
      <c r="K35" s="882">
        <f>SUM(K36+K38)</f>
        <v>112.15987903</v>
      </c>
      <c r="L35" s="882">
        <f>SUM(L36+L38)</f>
        <v>675.89030963999994</v>
      </c>
      <c r="M35" s="438">
        <f t="shared" si="26"/>
        <v>502.6</v>
      </c>
      <c r="N35" s="882">
        <f>SUM(N36+N38)</f>
        <v>191.39500000000001</v>
      </c>
      <c r="O35" s="882">
        <f>SUM(O36+O38)</f>
        <v>259.35700000000003</v>
      </c>
      <c r="P35" s="441">
        <f t="shared" ref="P35:P37" si="31">IF(N35=0, "    ---- ", IF(ABS(ROUND(100/N35*O35-100,1))&lt;999,ROUND(100/N35*O35-100,1),IF(ROUND(100/N35*O35-100,1)&gt;999,999,-999)))</f>
        <v>35.5</v>
      </c>
      <c r="Q35" s="882">
        <f>SUM(Q36+Q38)</f>
        <v>5467.7</v>
      </c>
      <c r="R35" s="882">
        <f>SUM(R36+R38)</f>
        <v>5619.9</v>
      </c>
      <c r="S35" s="431">
        <f>IF(Q35=0, "    ---- ", IF(ABS(ROUND(100/Q35*R35-100,1))&lt;999,ROUND(100/Q35*R35-100,1),IF(ROUND(100/Q35*R35-100,1)&gt;999,999,-999)))</f>
        <v>2.8</v>
      </c>
      <c r="T35" s="882"/>
      <c r="U35" s="882"/>
      <c r="V35" s="334"/>
      <c r="W35" s="882">
        <v>248812.94558015998</v>
      </c>
      <c r="X35" s="882">
        <v>259607.65022759998</v>
      </c>
      <c r="Y35" s="334">
        <f>IF(W35=0, "    ---- ", IF(ABS(ROUND(100/W35*X35-100,1))&lt;999,ROUND(100/W35*X35-100,1),IF(ROUND(100/W35*X35-100,1)&gt;999,999,-999)))</f>
        <v>4.3</v>
      </c>
      <c r="Z35" s="882">
        <f>SUM(Z36+Z38)</f>
        <v>32362.61</v>
      </c>
      <c r="AA35" s="882">
        <f>SUM(AA36+AA38)</f>
        <v>33674.870000000003</v>
      </c>
      <c r="AB35" s="334">
        <f t="shared" si="27"/>
        <v>4.0999999999999996</v>
      </c>
      <c r="AC35" s="882">
        <f>SUM(AC36+AC38)</f>
        <v>21887</v>
      </c>
      <c r="AD35" s="882">
        <f>SUM(AD36+AD38)</f>
        <v>26648</v>
      </c>
      <c r="AE35" s="334">
        <f t="shared" si="28"/>
        <v>21.8</v>
      </c>
      <c r="AF35" s="882"/>
      <c r="AG35" s="882"/>
      <c r="AH35" s="334"/>
      <c r="AI35" s="882">
        <f>SUM(AI36+AI38)</f>
        <v>7937.366</v>
      </c>
      <c r="AJ35" s="882">
        <f>SUM(AJ36+AJ38)</f>
        <v>7866.134</v>
      </c>
      <c r="AK35" s="334">
        <f t="shared" si="29"/>
        <v>-0.9</v>
      </c>
      <c r="AL35" s="882">
        <f>SUM(AL36+AL38)</f>
        <v>136103</v>
      </c>
      <c r="AM35" s="882">
        <f>SUM(AM36+AM38)</f>
        <v>138160.20000000001</v>
      </c>
      <c r="AN35" s="334">
        <f t="shared" si="30"/>
        <v>1.5</v>
      </c>
      <c r="AO35" s="103">
        <f t="shared" si="21"/>
        <v>550639.27408457</v>
      </c>
      <c r="AP35" s="103">
        <f t="shared" si="21"/>
        <v>569377.45346092002</v>
      </c>
      <c r="AQ35" s="334">
        <f t="shared" si="22"/>
        <v>3.4</v>
      </c>
      <c r="AR35" s="439">
        <f t="shared" si="23"/>
        <v>550639.27408457</v>
      </c>
      <c r="AS35" s="439">
        <f t="shared" si="24"/>
        <v>569377.45346092002</v>
      </c>
      <c r="AT35" s="442">
        <f t="shared" si="25"/>
        <v>3.4</v>
      </c>
    </row>
    <row r="36" spans="1:46" s="461" customFormat="1" ht="20.100000000000001" customHeight="1" x14ac:dyDescent="0.35">
      <c r="A36" s="455" t="s">
        <v>211</v>
      </c>
      <c r="B36" s="882"/>
      <c r="C36" s="882"/>
      <c r="D36" s="334"/>
      <c r="E36" s="441">
        <v>96</v>
      </c>
      <c r="F36" s="441"/>
      <c r="G36" s="334">
        <f>IF(E36=0, "    ---- ", IF(ABS(ROUND(100/E36*F36-100,1))&lt;999,ROUND(100/E36*F36-100,1),IF(ROUND(100/E36*F36-100,1)&gt;999,999,-999)))</f>
        <v>-100</v>
      </c>
      <c r="H36" s="882">
        <v>69453.924362670004</v>
      </c>
      <c r="I36" s="882">
        <v>70654.646016820014</v>
      </c>
      <c r="J36" s="334">
        <f t="shared" si="20"/>
        <v>1.7</v>
      </c>
      <c r="K36" s="882"/>
      <c r="L36" s="882"/>
      <c r="M36" s="334"/>
      <c r="N36" s="882">
        <v>191.39500000000001</v>
      </c>
      <c r="O36" s="882">
        <v>259.35700000000003</v>
      </c>
      <c r="P36" s="441">
        <f t="shared" si="31"/>
        <v>35.5</v>
      </c>
      <c r="Q36" s="882"/>
      <c r="R36" s="882"/>
      <c r="S36" s="431"/>
      <c r="T36" s="882"/>
      <c r="U36" s="882"/>
      <c r="V36" s="334"/>
      <c r="W36" s="882">
        <v>21763.013410380001</v>
      </c>
      <c r="X36" s="882">
        <v>19185.468130549998</v>
      </c>
      <c r="Y36" s="334">
        <f>IF(W36=0, "    ---- ", IF(ABS(ROUND(100/W36*X36-100,1))&lt;999,ROUND(100/W36*X36-100,1),IF(ROUND(100/W36*X36-100,1)&gt;999,999,-999)))</f>
        <v>-11.8</v>
      </c>
      <c r="Z36" s="882">
        <v>511.32</v>
      </c>
      <c r="AA36" s="882">
        <v>0</v>
      </c>
      <c r="AB36" s="334">
        <f t="shared" si="27"/>
        <v>-100</v>
      </c>
      <c r="AC36" s="882"/>
      <c r="AD36" s="882"/>
      <c r="AE36" s="334"/>
      <c r="AF36" s="882"/>
      <c r="AG36" s="882"/>
      <c r="AH36" s="334"/>
      <c r="AI36" s="882">
        <v>527.24300000000005</v>
      </c>
      <c r="AJ36" s="882">
        <v>308.27800000000002</v>
      </c>
      <c r="AK36" s="334">
        <f t="shared" si="29"/>
        <v>-41.5</v>
      </c>
      <c r="AL36" s="882">
        <v>13026</v>
      </c>
      <c r="AM36" s="882">
        <v>8441.4</v>
      </c>
      <c r="AN36" s="334">
        <f t="shared" si="30"/>
        <v>-35.200000000000003</v>
      </c>
      <c r="AO36" s="103">
        <f t="shared" si="21"/>
        <v>105568.89577305001</v>
      </c>
      <c r="AP36" s="103">
        <f t="shared" si="21"/>
        <v>98849.149147370015</v>
      </c>
      <c r="AQ36" s="334">
        <f t="shared" si="22"/>
        <v>-6.4</v>
      </c>
      <c r="AR36" s="439">
        <f t="shared" si="23"/>
        <v>105568.89577305001</v>
      </c>
      <c r="AS36" s="439">
        <f t="shared" si="24"/>
        <v>98849.149147370015</v>
      </c>
      <c r="AT36" s="442">
        <f t="shared" si="25"/>
        <v>-6.4</v>
      </c>
    </row>
    <row r="37" spans="1:46" s="461" customFormat="1" ht="20.100000000000001" customHeight="1" x14ac:dyDescent="0.35">
      <c r="A37" s="455" t="s">
        <v>194</v>
      </c>
      <c r="B37" s="882"/>
      <c r="C37" s="882"/>
      <c r="D37" s="441"/>
      <c r="E37" s="441"/>
      <c r="F37" s="441"/>
      <c r="G37" s="334"/>
      <c r="H37" s="882">
        <v>69453.924362670004</v>
      </c>
      <c r="I37" s="882">
        <v>70654.646016820014</v>
      </c>
      <c r="J37" s="441">
        <f t="shared" si="20"/>
        <v>1.7</v>
      </c>
      <c r="K37" s="882"/>
      <c r="L37" s="882"/>
      <c r="M37" s="441"/>
      <c r="N37" s="882">
        <v>191.39500000000001</v>
      </c>
      <c r="O37" s="882">
        <v>259.35700000000003</v>
      </c>
      <c r="P37" s="441">
        <f t="shared" si="31"/>
        <v>35.5</v>
      </c>
      <c r="Q37" s="882"/>
      <c r="R37" s="882"/>
      <c r="S37" s="431"/>
      <c r="T37" s="882"/>
      <c r="U37" s="882"/>
      <c r="V37" s="334"/>
      <c r="W37" s="882">
        <v>21763.013410380001</v>
      </c>
      <c r="X37" s="882">
        <v>19185.468130549998</v>
      </c>
      <c r="Y37" s="334">
        <f>IF(W37=0, "    ---- ", IF(ABS(ROUND(100/W37*X37-100,1))&lt;999,ROUND(100/W37*X37-100,1),IF(ROUND(100/W37*X37-100,1)&gt;999,999,-999)))</f>
        <v>-11.8</v>
      </c>
      <c r="Z37" s="882">
        <v>511.32</v>
      </c>
      <c r="AA37" s="882">
        <v>0</v>
      </c>
      <c r="AB37" s="334">
        <f t="shared" si="27"/>
        <v>-100</v>
      </c>
      <c r="AC37" s="882"/>
      <c r="AD37" s="882"/>
      <c r="AE37" s="334"/>
      <c r="AF37" s="882"/>
      <c r="AG37" s="882"/>
      <c r="AH37" s="334"/>
      <c r="AI37" s="882">
        <v>-8.4750354290008545E-13</v>
      </c>
      <c r="AJ37" s="882">
        <v>-8.4750354290008545E-13</v>
      </c>
      <c r="AK37" s="334">
        <f t="shared" si="29"/>
        <v>0</v>
      </c>
      <c r="AL37" s="882">
        <v>13026</v>
      </c>
      <c r="AM37" s="882">
        <v>8441.4</v>
      </c>
      <c r="AN37" s="334">
        <f t="shared" si="30"/>
        <v>-35.200000000000003</v>
      </c>
      <c r="AO37" s="103">
        <f t="shared" si="21"/>
        <v>104945.65277305001</v>
      </c>
      <c r="AP37" s="103">
        <f t="shared" si="21"/>
        <v>98540.87114737001</v>
      </c>
      <c r="AQ37" s="334">
        <f t="shared" si="22"/>
        <v>-6.1</v>
      </c>
      <c r="AR37" s="439">
        <f t="shared" si="23"/>
        <v>104945.65277305001</v>
      </c>
      <c r="AS37" s="439">
        <f t="shared" si="24"/>
        <v>98540.87114737001</v>
      </c>
      <c r="AT37" s="442">
        <f t="shared" si="25"/>
        <v>-6.1</v>
      </c>
    </row>
    <row r="38" spans="1:46" s="461" customFormat="1" ht="20.100000000000001" customHeight="1" x14ac:dyDescent="0.35">
      <c r="A38" s="455" t="s">
        <v>212</v>
      </c>
      <c r="B38" s="882"/>
      <c r="C38" s="882"/>
      <c r="D38" s="441"/>
      <c r="E38" s="441">
        <v>1356.7</v>
      </c>
      <c r="F38" s="441"/>
      <c r="G38" s="334">
        <f>IF(E38=0, "    ---- ", IF(ABS(ROUND(100/E38*F38-100,1))&lt;999,ROUND(100/E38*F38-100,1),IF(ROUND(100/E38*F38-100,1)&gt;999,999,-999)))</f>
        <v>-100</v>
      </c>
      <c r="H38" s="882">
        <v>26858.473262709998</v>
      </c>
      <c r="I38" s="882">
        <v>26210.805906860001</v>
      </c>
      <c r="J38" s="438">
        <f t="shared" si="20"/>
        <v>-2.4</v>
      </c>
      <c r="K38" s="882">
        <v>112.15987903</v>
      </c>
      <c r="L38" s="882">
        <v>675.89030963999994</v>
      </c>
      <c r="M38" s="438">
        <f>IF(K38=0, "    ---- ", IF(ABS(ROUND(100/K38*L38-100,1))&lt;999,ROUND(100/K38*L38-100,1),IF(ROUND(100/K38*L38-100,1)&gt;999,999,-999)))</f>
        <v>502.6</v>
      </c>
      <c r="N38" s="882"/>
      <c r="O38" s="882"/>
      <c r="P38" s="441"/>
      <c r="Q38" s="882">
        <v>5467.7</v>
      </c>
      <c r="R38" s="882">
        <v>5619.9</v>
      </c>
      <c r="S38" s="431">
        <f t="shared" ref="S38:S57" si="32">IF(Q38=0, "    ---- ", IF(ABS(ROUND(100/Q38*R38-100,1))&lt;999,ROUND(100/Q38*R38-100,1),IF(ROUND(100/Q38*R38-100,1)&gt;999,999,-999)))</f>
        <v>2.8</v>
      </c>
      <c r="T38" s="882"/>
      <c r="U38" s="882"/>
      <c r="V38" s="334"/>
      <c r="W38" s="882">
        <v>227049.93216977999</v>
      </c>
      <c r="X38" s="882">
        <v>240422.18209704998</v>
      </c>
      <c r="Y38" s="334">
        <f t="shared" ref="Y38:Y45" si="33">IF(W38=0, "    ---- ", IF(ABS(ROUND(100/W38*X38-100,1))&lt;999,ROUND(100/W38*X38-100,1),IF(ROUND(100/W38*X38-100,1)&gt;999,999,-999)))</f>
        <v>5.9</v>
      </c>
      <c r="Z38" s="882">
        <v>31851.29</v>
      </c>
      <c r="AA38" s="882">
        <v>33674.870000000003</v>
      </c>
      <c r="AB38" s="334">
        <f t="shared" si="27"/>
        <v>5.7</v>
      </c>
      <c r="AC38" s="882">
        <v>21887</v>
      </c>
      <c r="AD38" s="882">
        <v>26648</v>
      </c>
      <c r="AE38" s="334">
        <f t="shared" si="28"/>
        <v>21.8</v>
      </c>
      <c r="AF38" s="882"/>
      <c r="AG38" s="882"/>
      <c r="AH38" s="334"/>
      <c r="AI38" s="882">
        <v>7410.1229999999996</v>
      </c>
      <c r="AJ38" s="882">
        <v>7557.8559999999998</v>
      </c>
      <c r="AK38" s="334">
        <f t="shared" si="29"/>
        <v>2</v>
      </c>
      <c r="AL38" s="882">
        <f>92845.5+23733+6498.5</f>
        <v>123077</v>
      </c>
      <c r="AM38" s="882">
        <f>104974.5+22043+2701.3</f>
        <v>129718.8</v>
      </c>
      <c r="AN38" s="334">
        <f t="shared" si="30"/>
        <v>5.4</v>
      </c>
      <c r="AO38" s="103">
        <f t="shared" si="21"/>
        <v>445070.37831152003</v>
      </c>
      <c r="AP38" s="103">
        <f t="shared" si="21"/>
        <v>470528.30431354995</v>
      </c>
      <c r="AQ38" s="334">
        <f t="shared" si="22"/>
        <v>5.7</v>
      </c>
      <c r="AR38" s="439">
        <f t="shared" si="23"/>
        <v>445070.37831152003</v>
      </c>
      <c r="AS38" s="439">
        <f t="shared" si="24"/>
        <v>470528.30431354995</v>
      </c>
      <c r="AT38" s="442">
        <f t="shared" si="25"/>
        <v>5.7</v>
      </c>
    </row>
    <row r="39" spans="1:46" s="461" customFormat="1" ht="20.100000000000001" customHeight="1" x14ac:dyDescent="0.35">
      <c r="A39" s="455" t="s">
        <v>213</v>
      </c>
      <c r="B39" s="882">
        <f>SUM(B40:B44)</f>
        <v>1320.15</v>
      </c>
      <c r="C39" s="882">
        <f>SUM(C40:C44)</f>
        <v>1398.8030000000001</v>
      </c>
      <c r="D39" s="441">
        <f>IF(B39=0, "    ---- ", IF(ABS(ROUND(100/B39*C39-100,1))&lt;999,ROUND(100/B39*C39-100,1),IF(ROUND(100/B39*C39-100,1)&gt;999,999,-999)))</f>
        <v>6</v>
      </c>
      <c r="E39" s="441">
        <f>SUM(E40:E44)</f>
        <v>352.3</v>
      </c>
      <c r="F39" s="441"/>
      <c r="G39" s="334">
        <f>IF(E39=0, "    ---- ", IF(ABS(ROUND(100/E39*F39-100,1))&lt;999,ROUND(100/E39*F39-100,1),IF(ROUND(100/E39*F39-100,1)&gt;999,999,-999)))</f>
        <v>-100</v>
      </c>
      <c r="H39" s="882">
        <f>SUM(H40:H44)</f>
        <v>75983.999164099994</v>
      </c>
      <c r="I39" s="882">
        <f>SUM(I40:I44)</f>
        <v>74272.362922400018</v>
      </c>
      <c r="J39" s="441">
        <f t="shared" si="20"/>
        <v>-2.2999999999999998</v>
      </c>
      <c r="K39" s="882">
        <f>SUM(K40:K44)</f>
        <v>6711.14350509</v>
      </c>
      <c r="L39" s="882">
        <f>SUM(L40:L44)</f>
        <v>6385.7164686100023</v>
      </c>
      <c r="M39" s="441">
        <f>IF(K39=0, "    ---- ", IF(ABS(ROUND(100/K39*L39-100,1))&lt;999,ROUND(100/K39*L39-100,1),IF(ROUND(100/K39*L39-100,1)&gt;999,999,-999)))</f>
        <v>-4.8</v>
      </c>
      <c r="N39" s="882">
        <f>SUM(N40:N44)</f>
        <v>862.125</v>
      </c>
      <c r="O39" s="882">
        <f>SUM(O40:O44)</f>
        <v>997.09300000000007</v>
      </c>
      <c r="P39" s="441">
        <f t="shared" ref="P39:P46" si="34">IF(N39=0, "    ---- ", IF(ABS(ROUND(100/N39*O39-100,1))&lt;999,ROUND(100/N39*O39-100,1),IF(ROUND(100/N39*O39-100,1)&gt;999,999,-999)))</f>
        <v>15.7</v>
      </c>
      <c r="Q39" s="882">
        <f>SUM(Q40:Q44)</f>
        <v>764.5</v>
      </c>
      <c r="R39" s="882">
        <f>SUM(R40:R44)</f>
        <v>928.09999999999991</v>
      </c>
      <c r="S39" s="431">
        <f t="shared" si="32"/>
        <v>21.4</v>
      </c>
      <c r="T39" s="882"/>
      <c r="U39" s="882"/>
      <c r="V39" s="334"/>
      <c r="W39" s="882">
        <v>276709.74266016</v>
      </c>
      <c r="X39" s="882">
        <v>311984.43664740998</v>
      </c>
      <c r="Y39" s="334">
        <f t="shared" si="33"/>
        <v>12.7</v>
      </c>
      <c r="Z39" s="882">
        <f>SUM(Z40:Z44)</f>
        <v>14055.270000000002</v>
      </c>
      <c r="AA39" s="882">
        <f>SUM(AA40:AA44)</f>
        <v>14715.929999999998</v>
      </c>
      <c r="AB39" s="334">
        <f t="shared" si="27"/>
        <v>4.7</v>
      </c>
      <c r="AC39" s="882">
        <f>SUM(AC40:AC44)</f>
        <v>61399</v>
      </c>
      <c r="AD39" s="882">
        <f>SUM(AD40:AD44)</f>
        <v>64486</v>
      </c>
      <c r="AE39" s="334">
        <f t="shared" si="28"/>
        <v>5</v>
      </c>
      <c r="AF39" s="882"/>
      <c r="AG39" s="882"/>
      <c r="AH39" s="334"/>
      <c r="AI39" s="882">
        <f>SUM(AI40:AI44)</f>
        <v>9557.9110000000001</v>
      </c>
      <c r="AJ39" s="882">
        <f>SUM(AJ40:AJ44)</f>
        <v>9998.1690000000017</v>
      </c>
      <c r="AK39" s="334">
        <f t="shared" si="29"/>
        <v>4.5999999999999996</v>
      </c>
      <c r="AL39" s="882">
        <f>SUM(AL40:AL44)</f>
        <v>43287.700000000004</v>
      </c>
      <c r="AM39" s="882">
        <f>SUM(AM40:AM44)</f>
        <v>46389</v>
      </c>
      <c r="AN39" s="334">
        <f t="shared" si="30"/>
        <v>7.2</v>
      </c>
      <c r="AO39" s="103">
        <f t="shared" si="21"/>
        <v>491003.84132935002</v>
      </c>
      <c r="AP39" s="103">
        <f t="shared" si="21"/>
        <v>531555.61103842</v>
      </c>
      <c r="AQ39" s="334">
        <f t="shared" si="22"/>
        <v>8.3000000000000007</v>
      </c>
      <c r="AR39" s="439">
        <f t="shared" si="23"/>
        <v>491003.84132935002</v>
      </c>
      <c r="AS39" s="439">
        <f t="shared" si="24"/>
        <v>531555.61103842</v>
      </c>
      <c r="AT39" s="442">
        <f t="shared" si="25"/>
        <v>8.3000000000000007</v>
      </c>
    </row>
    <row r="40" spans="1:46" s="461" customFormat="1" ht="20.100000000000001" customHeight="1" x14ac:dyDescent="0.35">
      <c r="A40" s="455" t="s">
        <v>214</v>
      </c>
      <c r="B40" s="882">
        <v>40.335999999999999</v>
      </c>
      <c r="C40" s="882">
        <v>46.042000000000002</v>
      </c>
      <c r="D40" s="334">
        <f>IF(B40=0, "    ---- ", IF(ABS(ROUND(100/B40*C40-100,1))&lt;999,ROUND(100/B40*C40-100,1),IF(ROUND(100/B40*C40-100,1)&gt;999,999,-999)))</f>
        <v>14.1</v>
      </c>
      <c r="E40" s="441">
        <v>192.8</v>
      </c>
      <c r="F40" s="441"/>
      <c r="G40" s="334">
        <f>IF(E40=0, "    ---- ", IF(ABS(ROUND(100/E40*F40-100,1))&lt;999,ROUND(100/E40*F40-100,1),IF(ROUND(100/E40*F40-100,1)&gt;999,999,-999)))</f>
        <v>-100</v>
      </c>
      <c r="H40" s="882">
        <v>8914.31569992</v>
      </c>
      <c r="I40" s="882">
        <v>12673.314555120001</v>
      </c>
      <c r="J40" s="334">
        <f t="shared" si="20"/>
        <v>42.2</v>
      </c>
      <c r="K40" s="882"/>
      <c r="L40" s="882">
        <v>133.16762954999999</v>
      </c>
      <c r="M40" s="334" t="str">
        <f>IF(K40=0, "    ---- ", IF(ABS(ROUND(100/K40*L40-100,1))&lt;999,ROUND(100/K40*L40-100,1),IF(ROUND(100/K40*L40-100,1)&gt;999,999,-999)))</f>
        <v xml:space="preserve">    ---- </v>
      </c>
      <c r="N40" s="882">
        <v>124.172</v>
      </c>
      <c r="O40" s="882">
        <v>147.75200000000001</v>
      </c>
      <c r="P40" s="334">
        <f t="shared" si="34"/>
        <v>19</v>
      </c>
      <c r="Q40" s="882"/>
      <c r="R40" s="882">
        <v>11.4</v>
      </c>
      <c r="S40" s="431" t="str">
        <f t="shared" si="32"/>
        <v xml:space="preserve">    ---- </v>
      </c>
      <c r="T40" s="882"/>
      <c r="U40" s="882"/>
      <c r="V40" s="334"/>
      <c r="W40" s="882">
        <v>129128.42665792</v>
      </c>
      <c r="X40" s="882">
        <v>187678.76981348998</v>
      </c>
      <c r="Y40" s="334">
        <f t="shared" si="33"/>
        <v>45.3</v>
      </c>
      <c r="Z40" s="882">
        <v>5664.34</v>
      </c>
      <c r="AA40" s="882">
        <v>7136.86</v>
      </c>
      <c r="AB40" s="334">
        <f t="shared" si="27"/>
        <v>26</v>
      </c>
      <c r="AC40" s="882">
        <v>36997</v>
      </c>
      <c r="AD40" s="882">
        <v>43958</v>
      </c>
      <c r="AE40" s="334">
        <f t="shared" si="28"/>
        <v>18.8</v>
      </c>
      <c r="AF40" s="882"/>
      <c r="AG40" s="882"/>
      <c r="AH40" s="334"/>
      <c r="AI40" s="882">
        <v>3290.7539999999999</v>
      </c>
      <c r="AJ40" s="882">
        <v>3822.6060000000002</v>
      </c>
      <c r="AK40" s="334">
        <f t="shared" si="29"/>
        <v>16.2</v>
      </c>
      <c r="AL40" s="882">
        <v>11902</v>
      </c>
      <c r="AM40" s="882">
        <v>19006</v>
      </c>
      <c r="AN40" s="334">
        <f t="shared" si="30"/>
        <v>59.7</v>
      </c>
      <c r="AO40" s="103">
        <f t="shared" si="21"/>
        <v>196254.14435783998</v>
      </c>
      <c r="AP40" s="103">
        <f t="shared" si="21"/>
        <v>274613.91199815995</v>
      </c>
      <c r="AQ40" s="334">
        <f t="shared" si="22"/>
        <v>39.9</v>
      </c>
      <c r="AR40" s="439">
        <f t="shared" si="23"/>
        <v>196254.14435783998</v>
      </c>
      <c r="AS40" s="439">
        <f t="shared" si="24"/>
        <v>274613.91199815995</v>
      </c>
      <c r="AT40" s="442">
        <f t="shared" si="25"/>
        <v>39.9</v>
      </c>
    </row>
    <row r="41" spans="1:46" s="461" customFormat="1" ht="20.100000000000001" customHeight="1" x14ac:dyDescent="0.35">
      <c r="A41" s="455" t="s">
        <v>215</v>
      </c>
      <c r="B41" s="882">
        <v>1212.7</v>
      </c>
      <c r="C41" s="882">
        <v>1298.1310000000001</v>
      </c>
      <c r="D41" s="441">
        <f>IF(B41=0, "    ---- ", IF(ABS(ROUND(100/B41*C41-100,1))&lt;999,ROUND(100/B41*C41-100,1),IF(ROUND(100/B41*C41-100,1)&gt;999,999,-999)))</f>
        <v>7</v>
      </c>
      <c r="E41" s="441">
        <v>24</v>
      </c>
      <c r="F41" s="441"/>
      <c r="G41" s="334">
        <f>IF(E41=0, "    ---- ", IF(ABS(ROUND(100/E41*F41-100,1))&lt;999,ROUND(100/E41*F41-100,1),IF(ROUND(100/E41*F41-100,1)&gt;999,999,-999)))</f>
        <v>-100</v>
      </c>
      <c r="H41" s="882">
        <v>64387.529164779997</v>
      </c>
      <c r="I41" s="882">
        <v>60504.8150398</v>
      </c>
      <c r="J41" s="441">
        <f t="shared" si="20"/>
        <v>-6</v>
      </c>
      <c r="K41" s="882">
        <v>6571.0176469300004</v>
      </c>
      <c r="L41" s="882">
        <v>6061.1629041500019</v>
      </c>
      <c r="M41" s="441">
        <f>IF(K41=0, "    ---- ", IF(ABS(ROUND(100/K41*L41-100,1))&lt;999,ROUND(100/K41*L41-100,1),IF(ROUND(100/K41*L41-100,1)&gt;999,999,-999)))</f>
        <v>-7.8</v>
      </c>
      <c r="N41" s="882">
        <v>612.39</v>
      </c>
      <c r="O41" s="882">
        <v>629.95699999999999</v>
      </c>
      <c r="P41" s="441">
        <f>IF(N41=0, "    ---- ", IF(ABS(ROUND(100/N41*O41-100,1))&lt;999,ROUND(100/N41*O41-100,1),IF(ROUND(100/N41*O41-100,1)&gt;999,999,-999)))</f>
        <v>2.9</v>
      </c>
      <c r="Q41" s="882">
        <v>722.3</v>
      </c>
      <c r="R41" s="882">
        <v>914.4</v>
      </c>
      <c r="S41" s="431">
        <f t="shared" si="32"/>
        <v>26.6</v>
      </c>
      <c r="T41" s="882"/>
      <c r="U41" s="882"/>
      <c r="V41" s="334"/>
      <c r="W41" s="882">
        <v>118118.76582602999</v>
      </c>
      <c r="X41" s="882">
        <v>109356.58070124</v>
      </c>
      <c r="Y41" s="334">
        <f t="shared" si="33"/>
        <v>-7.4</v>
      </c>
      <c r="Z41" s="882">
        <v>7937.79</v>
      </c>
      <c r="AA41" s="882">
        <v>7248.45</v>
      </c>
      <c r="AB41" s="334">
        <f t="shared" si="27"/>
        <v>-8.6999999999999993</v>
      </c>
      <c r="AC41" s="882">
        <v>19287</v>
      </c>
      <c r="AD41" s="882">
        <v>19153</v>
      </c>
      <c r="AE41" s="334">
        <f t="shared" si="28"/>
        <v>-0.7</v>
      </c>
      <c r="AF41" s="882"/>
      <c r="AG41" s="882"/>
      <c r="AH41" s="334"/>
      <c r="AI41" s="882">
        <v>6044.277</v>
      </c>
      <c r="AJ41" s="882">
        <v>6329.299</v>
      </c>
      <c r="AK41" s="334">
        <f t="shared" si="29"/>
        <v>4.7</v>
      </c>
      <c r="AL41" s="882">
        <v>27035</v>
      </c>
      <c r="AM41" s="882">
        <v>26107</v>
      </c>
      <c r="AN41" s="334">
        <f t="shared" si="30"/>
        <v>-3.4</v>
      </c>
      <c r="AO41" s="103">
        <f t="shared" si="21"/>
        <v>251952.76963774001</v>
      </c>
      <c r="AP41" s="103">
        <f t="shared" si="21"/>
        <v>237602.79564519</v>
      </c>
      <c r="AQ41" s="334">
        <f t="shared" si="22"/>
        <v>-5.7</v>
      </c>
      <c r="AR41" s="439">
        <f t="shared" si="23"/>
        <v>251952.76963774001</v>
      </c>
      <c r="AS41" s="439">
        <f t="shared" si="24"/>
        <v>237602.79564519</v>
      </c>
      <c r="AT41" s="442">
        <f t="shared" si="25"/>
        <v>-5.7</v>
      </c>
    </row>
    <row r="42" spans="1:46" s="461" customFormat="1" ht="20.100000000000001" customHeight="1" x14ac:dyDescent="0.35">
      <c r="A42" s="455" t="s">
        <v>216</v>
      </c>
      <c r="B42" s="882"/>
      <c r="C42" s="882"/>
      <c r="D42" s="441"/>
      <c r="E42" s="441">
        <v>8.8000000000000007</v>
      </c>
      <c r="F42" s="441"/>
      <c r="G42" s="334">
        <f>IF(E42=0, "    ---- ", IF(ABS(ROUND(100/E42*F42-100,1))&lt;999,ROUND(100/E42*F42-100,1),IF(ROUND(100/E42*F42-100,1)&gt;999,999,-999)))</f>
        <v>-100</v>
      </c>
      <c r="H42" s="882">
        <v>1503.20645827</v>
      </c>
      <c r="I42" s="882">
        <v>435.84722529999999</v>
      </c>
      <c r="J42" s="441">
        <f t="shared" si="20"/>
        <v>-71</v>
      </c>
      <c r="K42" s="882">
        <v>-27.505179529999992</v>
      </c>
      <c r="L42" s="882">
        <v>62.498121289999979</v>
      </c>
      <c r="M42" s="438">
        <f t="shared" ref="M42:M43" si="35">IF(K42=0, "    ---- ", IF(ABS(ROUND(100/K42*L42-100,1))&lt;999,ROUND(100/K42*L42-100,1),IF(ROUND(100/K42*L42-100,1)&gt;999,999,-999)))</f>
        <v>-327.2</v>
      </c>
      <c r="N42" s="882"/>
      <c r="O42" s="882"/>
      <c r="P42" s="441"/>
      <c r="Q42" s="882"/>
      <c r="R42" s="882"/>
      <c r="S42" s="431"/>
      <c r="T42" s="882"/>
      <c r="U42" s="882"/>
      <c r="V42" s="334"/>
      <c r="W42" s="882">
        <v>20976.582362860001</v>
      </c>
      <c r="X42" s="882">
        <v>12392.789648700002</v>
      </c>
      <c r="Y42" s="334">
        <f t="shared" si="33"/>
        <v>-40.9</v>
      </c>
      <c r="Z42" s="882">
        <v>0</v>
      </c>
      <c r="AA42" s="882">
        <v>0</v>
      </c>
      <c r="AB42" s="334" t="str">
        <f t="shared" si="27"/>
        <v xml:space="preserve">    ---- </v>
      </c>
      <c r="AC42" s="882"/>
      <c r="AD42" s="882"/>
      <c r="AE42" s="334"/>
      <c r="AF42" s="882"/>
      <c r="AG42" s="882"/>
      <c r="AH42" s="334"/>
      <c r="AI42" s="882"/>
      <c r="AJ42" s="882">
        <v>-290.66300000000001</v>
      </c>
      <c r="AK42" s="334" t="str">
        <f t="shared" si="29"/>
        <v xml:space="preserve">    ---- </v>
      </c>
      <c r="AL42" s="882">
        <v>103.9</v>
      </c>
      <c r="AM42" s="882"/>
      <c r="AN42" s="334">
        <f t="shared" si="30"/>
        <v>-100</v>
      </c>
      <c r="AO42" s="103">
        <f t="shared" si="21"/>
        <v>22564.9836416</v>
      </c>
      <c r="AP42" s="103">
        <f t="shared" si="21"/>
        <v>12600.471995290001</v>
      </c>
      <c r="AQ42" s="334">
        <f t="shared" si="22"/>
        <v>-44.2</v>
      </c>
      <c r="AR42" s="439">
        <f t="shared" si="23"/>
        <v>22564.9836416</v>
      </c>
      <c r="AS42" s="439">
        <f t="shared" si="24"/>
        <v>12600.471995290001</v>
      </c>
      <c r="AT42" s="442">
        <f t="shared" si="25"/>
        <v>-44.2</v>
      </c>
    </row>
    <row r="43" spans="1:46" s="461" customFormat="1" ht="20.100000000000001" customHeight="1" x14ac:dyDescent="0.35">
      <c r="A43" s="455" t="s">
        <v>217</v>
      </c>
      <c r="B43" s="882"/>
      <c r="C43" s="882"/>
      <c r="D43" s="441"/>
      <c r="E43" s="441"/>
      <c r="F43" s="441"/>
      <c r="G43" s="334"/>
      <c r="H43" s="882">
        <v>493.06359247</v>
      </c>
      <c r="I43" s="882">
        <v>380.75472607999995</v>
      </c>
      <c r="J43" s="441">
        <f t="shared" si="20"/>
        <v>-22.8</v>
      </c>
      <c r="K43" s="882">
        <v>60.108724439999996</v>
      </c>
      <c r="L43" s="882">
        <v>33.589309480000004</v>
      </c>
      <c r="M43" s="438">
        <f t="shared" si="35"/>
        <v>-44.1</v>
      </c>
      <c r="N43" s="882"/>
      <c r="O43" s="882"/>
      <c r="P43" s="441"/>
      <c r="Q43" s="882"/>
      <c r="R43" s="882"/>
      <c r="S43" s="431"/>
      <c r="T43" s="882"/>
      <c r="U43" s="882"/>
      <c r="V43" s="334"/>
      <c r="W43" s="882">
        <v>5943.0767703599995</v>
      </c>
      <c r="X43" s="882">
        <v>1861.5900582100001</v>
      </c>
      <c r="Y43" s="334">
        <f t="shared" si="33"/>
        <v>-68.7</v>
      </c>
      <c r="Z43" s="882">
        <v>348.37</v>
      </c>
      <c r="AA43" s="882">
        <v>97.91</v>
      </c>
      <c r="AB43" s="334">
        <f t="shared" si="27"/>
        <v>-71.900000000000006</v>
      </c>
      <c r="AC43" s="882">
        <v>3428</v>
      </c>
      <c r="AD43" s="882">
        <v>791</v>
      </c>
      <c r="AE43" s="334">
        <f>IF(AC43=0, "    ---- ", IF(ABS(ROUND(100/AC43*AD43-100,1))&lt;999,ROUND(100/AC43*AD43-100,1),IF(ROUND(100/AC43*AD43-100,1)&gt;999,999,-999)))</f>
        <v>-76.900000000000006</v>
      </c>
      <c r="AF43" s="882"/>
      <c r="AG43" s="882"/>
      <c r="AH43" s="334"/>
      <c r="AI43" s="882">
        <v>221.53899999999999</v>
      </c>
      <c r="AJ43" s="882">
        <v>91.789000000000001</v>
      </c>
      <c r="AK43" s="334">
        <f t="shared" si="29"/>
        <v>-58.6</v>
      </c>
      <c r="AL43" s="882">
        <v>4246.8</v>
      </c>
      <c r="AM43" s="882">
        <v>1276</v>
      </c>
      <c r="AN43" s="334">
        <f t="shared" si="30"/>
        <v>-70</v>
      </c>
      <c r="AO43" s="103">
        <f t="shared" si="21"/>
        <v>14740.958087269999</v>
      </c>
      <c r="AP43" s="103">
        <f t="shared" si="21"/>
        <v>4532.6330937700004</v>
      </c>
      <c r="AQ43" s="334">
        <f t="shared" si="22"/>
        <v>-69.3</v>
      </c>
      <c r="AR43" s="439">
        <f t="shared" si="23"/>
        <v>14740.958087269999</v>
      </c>
      <c r="AS43" s="439">
        <f t="shared" si="24"/>
        <v>4532.6330937700004</v>
      </c>
      <c r="AT43" s="442">
        <f t="shared" si="25"/>
        <v>-69.3</v>
      </c>
    </row>
    <row r="44" spans="1:46" s="461" customFormat="1" ht="20.100000000000001" customHeight="1" x14ac:dyDescent="0.35">
      <c r="A44" s="455" t="s">
        <v>218</v>
      </c>
      <c r="B44" s="882">
        <v>67.114000000000004</v>
      </c>
      <c r="C44" s="882">
        <v>54.63</v>
      </c>
      <c r="D44" s="441">
        <f>IF(B44=0, "    ---- ", IF(ABS(ROUND(100/B44*C44-100,1))&lt;999,ROUND(100/B44*C44-100,1),IF(ROUND(100/B44*C44-100,1)&gt;999,999,-999)))</f>
        <v>-18.600000000000001</v>
      </c>
      <c r="E44" s="441">
        <v>126.7</v>
      </c>
      <c r="F44" s="441"/>
      <c r="G44" s="334"/>
      <c r="H44" s="882">
        <v>685.88424865999991</v>
      </c>
      <c r="I44" s="882">
        <v>277.63137609999967</v>
      </c>
      <c r="J44" s="441">
        <f t="shared" si="20"/>
        <v>-59.5</v>
      </c>
      <c r="K44" s="882">
        <v>107.52231325000001</v>
      </c>
      <c r="L44" s="882">
        <v>95.298504140000105</v>
      </c>
      <c r="M44" s="441">
        <f>IF(K44=0, "    ---- ", IF(ABS(ROUND(100/K44*L44-100,1))&lt;999,ROUND(100/K44*L44-100,1),IF(ROUND(100/K44*L44-100,1)&gt;999,999,-999)))</f>
        <v>-11.4</v>
      </c>
      <c r="N44" s="882">
        <v>125.563</v>
      </c>
      <c r="O44" s="882">
        <v>219.38399999999999</v>
      </c>
      <c r="P44" s="441">
        <f t="shared" si="34"/>
        <v>74.7</v>
      </c>
      <c r="Q44" s="882">
        <v>42.2</v>
      </c>
      <c r="R44" s="882">
        <v>2.2999999999999998</v>
      </c>
      <c r="S44" s="431">
        <f t="shared" si="32"/>
        <v>-94.5</v>
      </c>
      <c r="T44" s="882"/>
      <c r="U44" s="882"/>
      <c r="V44" s="334"/>
      <c r="W44" s="882">
        <v>2542.8910429899997</v>
      </c>
      <c r="X44" s="882">
        <v>694.70642577000001</v>
      </c>
      <c r="Y44" s="334">
        <f t="shared" si="33"/>
        <v>-72.7</v>
      </c>
      <c r="Z44" s="882">
        <v>104.77</v>
      </c>
      <c r="AA44" s="882">
        <v>232.71</v>
      </c>
      <c r="AB44" s="334">
        <f t="shared" si="27"/>
        <v>122.1</v>
      </c>
      <c r="AC44" s="882">
        <v>1687</v>
      </c>
      <c r="AD44" s="882">
        <v>584</v>
      </c>
      <c r="AE44" s="334">
        <f>IF(AC44=0, "    ---- ", IF(ABS(ROUND(100/AC44*AD44-100,1))&lt;999,ROUND(100/AC44*AD44-100,1),IF(ROUND(100/AC44*AD44-100,1)&gt;999,999,-999)))</f>
        <v>-65.400000000000006</v>
      </c>
      <c r="AF44" s="882"/>
      <c r="AG44" s="882"/>
      <c r="AH44" s="334"/>
      <c r="AI44" s="882">
        <v>1.341</v>
      </c>
      <c r="AJ44" s="882">
        <v>45.137999999999998</v>
      </c>
      <c r="AK44" s="334">
        <f t="shared" si="29"/>
        <v>999</v>
      </c>
      <c r="AL44" s="882"/>
      <c r="AM44" s="882"/>
      <c r="AN44" s="334"/>
      <c r="AO44" s="103">
        <f t="shared" si="21"/>
        <v>5490.9856048999991</v>
      </c>
      <c r="AP44" s="103">
        <f t="shared" si="21"/>
        <v>2205.7983060099996</v>
      </c>
      <c r="AQ44" s="334">
        <f t="shared" si="22"/>
        <v>-59.8</v>
      </c>
      <c r="AR44" s="439">
        <f t="shared" si="23"/>
        <v>5490.9856048999991</v>
      </c>
      <c r="AS44" s="439">
        <f t="shared" si="24"/>
        <v>2205.7983060099996</v>
      </c>
      <c r="AT44" s="442">
        <f t="shared" si="25"/>
        <v>-59.8</v>
      </c>
    </row>
    <row r="45" spans="1:46" s="461" customFormat="1" ht="20.100000000000001" customHeight="1" x14ac:dyDescent="0.35">
      <c r="A45" s="456" t="s">
        <v>219</v>
      </c>
      <c r="B45" s="882">
        <f>SUM(B33+B34+B35+B39)</f>
        <v>1320.15</v>
      </c>
      <c r="C45" s="882">
        <f>SUM(C33+C34+C35+C39)</f>
        <v>1398.8030000000001</v>
      </c>
      <c r="D45" s="334">
        <f>IF(B45=0, "    ---- ", IF(ABS(ROUND(100/B45*C45-100,1))&lt;999,ROUND(100/B45*C45-100,1),IF(ROUND(100/B45*C45-100,1)&gt;999,999,-999)))</f>
        <v>6</v>
      </c>
      <c r="E45" s="441">
        <f>SUM(E33+E34+E35+E39)</f>
        <v>1805</v>
      </c>
      <c r="F45" s="441"/>
      <c r="G45" s="334">
        <f>IF(E45=0, "    ---- ", IF(ABS(ROUND(100/E45*F45-100,1))&lt;999,ROUND(100/E45*F45-100,1),IF(ROUND(100/E45*F45-100,1)&gt;999,999,-999)))</f>
        <v>-100</v>
      </c>
      <c r="H45" s="882">
        <f>SUM(H33+H34+H35+H39)</f>
        <v>200796.32219719002</v>
      </c>
      <c r="I45" s="882">
        <f>SUM(I33+I34+I35+I39)</f>
        <v>200178.60693275003</v>
      </c>
      <c r="J45" s="334">
        <f t="shared" si="20"/>
        <v>-0.3</v>
      </c>
      <c r="K45" s="882">
        <f>SUM(K33+K34+K35+K39)</f>
        <v>6823.3033841200004</v>
      </c>
      <c r="L45" s="882">
        <f>SUM(L33+L34+L35+L39)</f>
        <v>7494.5115060700027</v>
      </c>
      <c r="M45" s="334">
        <f>IF(K45=0, "    ---- ", IF(ABS(ROUND(100/K45*L45-100,1))&lt;999,ROUND(100/K45*L45-100,1),IF(ROUND(100/K45*L45-100,1)&gt;999,999,-999)))</f>
        <v>9.8000000000000007</v>
      </c>
      <c r="N45" s="882">
        <f>SUM(N33+N34+N35+N39)</f>
        <v>1053.52</v>
      </c>
      <c r="O45" s="882">
        <f>SUM(O33+O34+O35+O39)</f>
        <v>1256.45</v>
      </c>
      <c r="P45" s="334">
        <f t="shared" si="34"/>
        <v>19.3</v>
      </c>
      <c r="Q45" s="882">
        <f>SUM(Q33+Q34+Q35+Q39)</f>
        <v>7268.6</v>
      </c>
      <c r="R45" s="882">
        <f>SUM(R33+R34+R35+R39)</f>
        <v>7742.2999999999993</v>
      </c>
      <c r="S45" s="431">
        <f t="shared" si="32"/>
        <v>6.5</v>
      </c>
      <c r="T45" s="882"/>
      <c r="U45" s="882"/>
      <c r="V45" s="334"/>
      <c r="W45" s="882">
        <v>604781.89851384005</v>
      </c>
      <c r="X45" s="882">
        <v>659280.7961802599</v>
      </c>
      <c r="Y45" s="334">
        <f t="shared" si="33"/>
        <v>9</v>
      </c>
      <c r="Z45" s="882">
        <f>SUM(Z33+Z34+Z35+Z39)</f>
        <v>53368.060000000005</v>
      </c>
      <c r="AA45" s="882">
        <f>SUM(AA33+AA34+AA35+AA39)</f>
        <v>56284.700000000004</v>
      </c>
      <c r="AB45" s="334">
        <f t="shared" si="27"/>
        <v>5.5</v>
      </c>
      <c r="AC45" s="882">
        <f>SUM(AC33+AC34+AC35+AC39)</f>
        <v>101167</v>
      </c>
      <c r="AD45" s="882">
        <f>SUM(AD33+AD34+AD35+AD39)</f>
        <v>113487</v>
      </c>
      <c r="AE45" s="334">
        <f>IF(AC45=0, "    ---- ", IF(ABS(ROUND(100/AC45*AD45-100,1))&lt;999,ROUND(100/AC45*AD45-100,1),IF(ROUND(100/AC45*AD45-100,1)&gt;999,999,-999)))</f>
        <v>12.2</v>
      </c>
      <c r="AF45" s="882"/>
      <c r="AG45" s="882"/>
      <c r="AH45" s="334"/>
      <c r="AI45" s="882">
        <f>SUM(AI33+AI34+AI35+AI39)</f>
        <v>22422.014999999999</v>
      </c>
      <c r="AJ45" s="882">
        <f>SUM(AJ33+AJ34+AJ35+AJ39)</f>
        <v>23868.187000000002</v>
      </c>
      <c r="AK45" s="334">
        <f t="shared" si="29"/>
        <v>6.4</v>
      </c>
      <c r="AL45" s="882">
        <f>SUM(AL33+AL34+AL35+AL39)</f>
        <v>200545.7</v>
      </c>
      <c r="AM45" s="882">
        <f>SUM(AM33+AM34+AM35+AM39)</f>
        <v>206874.2</v>
      </c>
      <c r="AN45" s="334">
        <f t="shared" si="30"/>
        <v>3.2</v>
      </c>
      <c r="AO45" s="103">
        <f t="shared" si="21"/>
        <v>1201351.5690951501</v>
      </c>
      <c r="AP45" s="103">
        <f t="shared" si="21"/>
        <v>1277865.5546190799</v>
      </c>
      <c r="AQ45" s="334">
        <f t="shared" si="22"/>
        <v>6.4</v>
      </c>
      <c r="AR45" s="439">
        <f t="shared" si="23"/>
        <v>1201351.5690951501</v>
      </c>
      <c r="AS45" s="439">
        <f t="shared" si="24"/>
        <v>1277865.5546190799</v>
      </c>
      <c r="AT45" s="442">
        <f t="shared" si="25"/>
        <v>6.4</v>
      </c>
    </row>
    <row r="46" spans="1:46" s="461" customFormat="1" ht="20.100000000000001" customHeight="1" x14ac:dyDescent="0.35">
      <c r="A46" s="453" t="s">
        <v>336</v>
      </c>
      <c r="B46" s="882">
        <v>167.64699999999999</v>
      </c>
      <c r="C46" s="882">
        <v>219.809</v>
      </c>
      <c r="D46" s="334">
        <f>IF(B46=0, "    ---- ", IF(ABS(ROUND(100/B46*C46-100,1))&lt;999,ROUND(100/B46*C46-100,1),IF(ROUND(100/B46*C46-100,1)&gt;999,999,-999)))</f>
        <v>31.1</v>
      </c>
      <c r="E46" s="441"/>
      <c r="F46" s="441"/>
      <c r="G46" s="334"/>
      <c r="H46" s="882">
        <v>264.57889319999998</v>
      </c>
      <c r="I46" s="882">
        <v>399.59901329000002</v>
      </c>
      <c r="J46" s="438">
        <f t="shared" si="20"/>
        <v>51</v>
      </c>
      <c r="K46" s="882">
        <v>525.9676476599999</v>
      </c>
      <c r="L46" s="882">
        <v>511.81198561000002</v>
      </c>
      <c r="M46" s="334">
        <f>IF(K46=0, "    ---- ", IF(ABS(ROUND(100/K46*L46-100,1))&lt;999,ROUND(100/K46*L46-100,1),IF(ROUND(100/K46*L46-100,1)&gt;999,999,-999)))</f>
        <v>-2.7</v>
      </c>
      <c r="N46" s="882">
        <v>46.314999999999998</v>
      </c>
      <c r="O46" s="882">
        <v>67.069000000000003</v>
      </c>
      <c r="P46" s="334">
        <f t="shared" si="34"/>
        <v>44.8</v>
      </c>
      <c r="Q46" s="882">
        <v>518.29999999999995</v>
      </c>
      <c r="R46" s="882">
        <v>566.1</v>
      </c>
      <c r="S46" s="431">
        <f t="shared" si="32"/>
        <v>9.1999999999999993</v>
      </c>
      <c r="T46" s="882"/>
      <c r="U46" s="882"/>
      <c r="V46" s="334"/>
      <c r="W46" s="882"/>
      <c r="X46" s="882"/>
      <c r="Y46" s="334"/>
      <c r="Z46" s="882">
        <v>51.44</v>
      </c>
      <c r="AA46" s="882">
        <v>60.29</v>
      </c>
      <c r="AB46" s="334">
        <f t="shared" si="27"/>
        <v>17.2</v>
      </c>
      <c r="AC46" s="882"/>
      <c r="AD46" s="882"/>
      <c r="AE46" s="334"/>
      <c r="AF46" s="882"/>
      <c r="AG46" s="882"/>
      <c r="AH46" s="334"/>
      <c r="AI46" s="882"/>
      <c r="AJ46" s="882">
        <v>7.399</v>
      </c>
      <c r="AK46" s="334" t="str">
        <f t="shared" si="29"/>
        <v xml:space="preserve">    ---- </v>
      </c>
      <c r="AL46" s="882">
        <v>15</v>
      </c>
      <c r="AM46" s="882">
        <v>4</v>
      </c>
      <c r="AN46" s="334">
        <f t="shared" si="30"/>
        <v>-73.3</v>
      </c>
      <c r="AO46" s="103">
        <f t="shared" si="21"/>
        <v>1589.2485408599998</v>
      </c>
      <c r="AP46" s="103">
        <f t="shared" si="21"/>
        <v>1836.0779988999998</v>
      </c>
      <c r="AQ46" s="334">
        <f t="shared" si="22"/>
        <v>15.5</v>
      </c>
      <c r="AR46" s="439">
        <f t="shared" si="23"/>
        <v>1589.2485408599998</v>
      </c>
      <c r="AS46" s="439">
        <f t="shared" si="24"/>
        <v>1836.0779988999998</v>
      </c>
      <c r="AT46" s="442">
        <f t="shared" si="25"/>
        <v>15.5</v>
      </c>
    </row>
    <row r="47" spans="1:46" s="461" customFormat="1" ht="20.100000000000001" customHeight="1" x14ac:dyDescent="0.35">
      <c r="A47" s="453" t="s">
        <v>220</v>
      </c>
      <c r="B47" s="882"/>
      <c r="C47" s="882"/>
      <c r="D47" s="441"/>
      <c r="E47" s="441"/>
      <c r="F47" s="441"/>
      <c r="G47" s="334"/>
      <c r="H47" s="882"/>
      <c r="I47" s="882"/>
      <c r="J47" s="441"/>
      <c r="K47" s="882"/>
      <c r="L47" s="882"/>
      <c r="M47" s="441"/>
      <c r="N47" s="882"/>
      <c r="O47" s="882"/>
      <c r="P47" s="441"/>
      <c r="Q47" s="882"/>
      <c r="R47" s="882"/>
      <c r="S47" s="431"/>
      <c r="T47" s="882"/>
      <c r="U47" s="882"/>
      <c r="V47" s="334"/>
      <c r="W47" s="882"/>
      <c r="X47" s="882"/>
      <c r="Y47" s="334"/>
      <c r="Z47" s="882"/>
      <c r="AA47" s="882"/>
      <c r="AB47" s="334"/>
      <c r="AC47" s="882"/>
      <c r="AD47" s="882"/>
      <c r="AE47" s="334"/>
      <c r="AF47" s="882"/>
      <c r="AG47" s="882"/>
      <c r="AH47" s="334"/>
      <c r="AI47" s="882"/>
      <c r="AJ47" s="882"/>
      <c r="AK47" s="334"/>
      <c r="AL47" s="882"/>
      <c r="AM47" s="882"/>
      <c r="AN47" s="334"/>
      <c r="AO47" s="933"/>
      <c r="AP47" s="933"/>
      <c r="AQ47" s="334"/>
      <c r="AR47" s="433"/>
      <c r="AS47" s="433"/>
      <c r="AT47" s="442"/>
    </row>
    <row r="48" spans="1:46" s="461" customFormat="1" ht="20.100000000000001" customHeight="1" x14ac:dyDescent="0.35">
      <c r="A48" s="455" t="s">
        <v>221</v>
      </c>
      <c r="B48" s="882"/>
      <c r="C48" s="882"/>
      <c r="D48" s="441"/>
      <c r="E48" s="441"/>
      <c r="F48" s="441"/>
      <c r="G48" s="334"/>
      <c r="H48" s="882"/>
      <c r="I48" s="882"/>
      <c r="J48" s="441"/>
      <c r="K48" s="882"/>
      <c r="L48" s="882"/>
      <c r="M48" s="441"/>
      <c r="N48" s="882"/>
      <c r="O48" s="882"/>
      <c r="P48" s="441"/>
      <c r="Q48" s="882"/>
      <c r="R48" s="882"/>
      <c r="S48" s="431"/>
      <c r="T48" s="882"/>
      <c r="U48" s="882"/>
      <c r="V48" s="334"/>
      <c r="W48" s="882"/>
      <c r="X48" s="882"/>
      <c r="Y48" s="334"/>
      <c r="Z48" s="882">
        <v>0</v>
      </c>
      <c r="AA48" s="882">
        <v>0</v>
      </c>
      <c r="AB48" s="334" t="str">
        <f t="shared" si="27"/>
        <v xml:space="preserve">    ---- </v>
      </c>
      <c r="AC48" s="882"/>
      <c r="AD48" s="882"/>
      <c r="AE48" s="334"/>
      <c r="AF48" s="882"/>
      <c r="AG48" s="882"/>
      <c r="AH48" s="334"/>
      <c r="AI48" s="882"/>
      <c r="AJ48" s="882"/>
      <c r="AK48" s="334"/>
      <c r="AL48" s="882"/>
      <c r="AM48" s="882"/>
      <c r="AN48" s="334"/>
      <c r="AO48" s="103">
        <f t="shared" ref="AO48:AP62" si="36">B48+H48+K48+N48+Q48+W48+E48+Z48+AC48+AI48+AL48</f>
        <v>0</v>
      </c>
      <c r="AP48" s="103">
        <f t="shared" si="36"/>
        <v>0</v>
      </c>
      <c r="AQ48" s="334" t="str">
        <f t="shared" si="22"/>
        <v xml:space="preserve">    ---- </v>
      </c>
      <c r="AR48" s="439">
        <f t="shared" ref="AR48:AR62" si="37">B48+H48+K48+N48+Q48+T48+W48+E48+Z48+AC48+AF48+AI48+AL48</f>
        <v>0</v>
      </c>
      <c r="AS48" s="439">
        <f t="shared" ref="AS48:AS62" si="38">C48+I48+L48+O48+R48+U48+X48+F48+AA48+AD48+AG48+AJ48+AM48</f>
        <v>0</v>
      </c>
      <c r="AT48" s="442" t="str">
        <f t="shared" si="25"/>
        <v xml:space="preserve">    ---- </v>
      </c>
    </row>
    <row r="49" spans="1:46" s="461" customFormat="1" ht="20.100000000000001" customHeight="1" x14ac:dyDescent="0.35">
      <c r="A49" s="455" t="s">
        <v>222</v>
      </c>
      <c r="B49" s="882"/>
      <c r="C49" s="882"/>
      <c r="D49" s="441"/>
      <c r="E49" s="441"/>
      <c r="F49" s="441"/>
      <c r="G49" s="334"/>
      <c r="H49" s="882"/>
      <c r="I49" s="882">
        <v>4517.7192577730002</v>
      </c>
      <c r="J49" s="438" t="str">
        <f t="shared" ref="J49" si="39">IF(H49=0, "    ---- ", IF(ABS(ROUND(100/H49*I49-100,1))&lt;999,ROUND(100/H49*I49-100,1),IF(ROUND(100/H49*I49-100,1)&gt;999,999,-999)))</f>
        <v xml:space="preserve">    ---- </v>
      </c>
      <c r="K49" s="882"/>
      <c r="L49" s="882"/>
      <c r="M49" s="441"/>
      <c r="N49" s="882"/>
      <c r="O49" s="882"/>
      <c r="P49" s="441"/>
      <c r="Q49" s="882">
        <v>1661.4</v>
      </c>
      <c r="R49" s="882">
        <v>1805.9</v>
      </c>
      <c r="S49" s="431">
        <f t="shared" si="32"/>
        <v>8.6999999999999993</v>
      </c>
      <c r="T49" s="882"/>
      <c r="U49" s="882"/>
      <c r="V49" s="334"/>
      <c r="W49" s="882">
        <v>289.63572288</v>
      </c>
      <c r="X49" s="805">
        <v>319.42933683999996</v>
      </c>
      <c r="Y49" s="334">
        <f t="shared" ref="Y49:Y60" si="40">IF(W49=0, "    ---- ", IF(ABS(ROUND(100/W49*X49-100,1))&lt;999,ROUND(100/W49*X49-100,1),IF(ROUND(100/W49*X49-100,1)&gt;999,999,-999)))</f>
        <v>10.3</v>
      </c>
      <c r="Z49" s="882"/>
      <c r="AA49" s="882">
        <v>2200.0500000000002</v>
      </c>
      <c r="AB49" s="334" t="str">
        <f t="shared" si="27"/>
        <v xml:space="preserve">    ---- </v>
      </c>
      <c r="AC49" s="882"/>
      <c r="AD49" s="882"/>
      <c r="AE49" s="334"/>
      <c r="AF49" s="882"/>
      <c r="AG49" s="882"/>
      <c r="AH49" s="334"/>
      <c r="AI49" s="882"/>
      <c r="AJ49" s="882">
        <v>955.40200000000004</v>
      </c>
      <c r="AK49" s="334" t="str">
        <f t="shared" si="29"/>
        <v xml:space="preserve">    ---- </v>
      </c>
      <c r="AL49" s="882">
        <v>5600.5</v>
      </c>
      <c r="AM49" s="882">
        <v>6208</v>
      </c>
      <c r="AN49" s="334">
        <f t="shared" si="30"/>
        <v>10.8</v>
      </c>
      <c r="AO49" s="103">
        <f t="shared" si="36"/>
        <v>7551.5357228800003</v>
      </c>
      <c r="AP49" s="103">
        <f t="shared" si="36"/>
        <v>16006.500594613</v>
      </c>
      <c r="AQ49" s="334">
        <f t="shared" si="22"/>
        <v>112</v>
      </c>
      <c r="AR49" s="439">
        <f t="shared" si="37"/>
        <v>7551.5357228800003</v>
      </c>
      <c r="AS49" s="439">
        <f t="shared" si="38"/>
        <v>16006.500594613</v>
      </c>
      <c r="AT49" s="442">
        <f t="shared" si="25"/>
        <v>112</v>
      </c>
    </row>
    <row r="50" spans="1:46" s="461" customFormat="1" ht="20.100000000000001" customHeight="1" x14ac:dyDescent="0.35">
      <c r="A50" s="455" t="s">
        <v>223</v>
      </c>
      <c r="B50" s="882"/>
      <c r="C50" s="882"/>
      <c r="D50" s="441"/>
      <c r="E50" s="441"/>
      <c r="F50" s="441"/>
      <c r="G50" s="334"/>
      <c r="H50" s="882"/>
      <c r="I50" s="882"/>
      <c r="J50" s="438"/>
      <c r="K50" s="882"/>
      <c r="L50" s="882"/>
      <c r="M50" s="441"/>
      <c r="N50" s="882"/>
      <c r="O50" s="882"/>
      <c r="P50" s="441"/>
      <c r="Q50" s="882"/>
      <c r="R50" s="882"/>
      <c r="S50" s="431"/>
      <c r="T50" s="882"/>
      <c r="U50" s="882"/>
      <c r="V50" s="334"/>
      <c r="W50" s="882">
        <v>720.42111001000001</v>
      </c>
      <c r="X50" s="441">
        <v>753.35730746999991</v>
      </c>
      <c r="Y50" s="334">
        <f t="shared" si="40"/>
        <v>4.5999999999999996</v>
      </c>
      <c r="Z50" s="882"/>
      <c r="AA50" s="882"/>
      <c r="AB50" s="334"/>
      <c r="AC50" s="882"/>
      <c r="AD50" s="882"/>
      <c r="AE50" s="334"/>
      <c r="AF50" s="882"/>
      <c r="AG50" s="882"/>
      <c r="AH50" s="334"/>
      <c r="AI50" s="882"/>
      <c r="AJ50" s="882"/>
      <c r="AK50" s="334"/>
      <c r="AL50" s="882">
        <f>SUM(AL51+AL53)</f>
        <v>524</v>
      </c>
      <c r="AM50" s="882">
        <f>SUM(AM51+AM53)</f>
        <v>1848</v>
      </c>
      <c r="AN50" s="334">
        <f t="shared" si="30"/>
        <v>252.7</v>
      </c>
      <c r="AO50" s="103">
        <f t="shared" si="36"/>
        <v>1244.4211100100001</v>
      </c>
      <c r="AP50" s="103">
        <f t="shared" si="36"/>
        <v>2601.3573074699998</v>
      </c>
      <c r="AQ50" s="334">
        <f t="shared" si="22"/>
        <v>109</v>
      </c>
      <c r="AR50" s="439">
        <f t="shared" si="37"/>
        <v>1244.4211100100001</v>
      </c>
      <c r="AS50" s="439">
        <f t="shared" si="38"/>
        <v>2601.3573074699998</v>
      </c>
      <c r="AT50" s="442">
        <f t="shared" si="25"/>
        <v>109</v>
      </c>
    </row>
    <row r="51" spans="1:46" s="461" customFormat="1" ht="20.100000000000001" customHeight="1" x14ac:dyDescent="0.35">
      <c r="A51" s="455" t="s">
        <v>224</v>
      </c>
      <c r="B51" s="882"/>
      <c r="C51" s="882"/>
      <c r="D51" s="334"/>
      <c r="E51" s="441"/>
      <c r="F51" s="441"/>
      <c r="G51" s="334"/>
      <c r="H51" s="882"/>
      <c r="I51" s="882"/>
      <c r="J51" s="334"/>
      <c r="K51" s="882"/>
      <c r="L51" s="882"/>
      <c r="M51" s="334"/>
      <c r="N51" s="882"/>
      <c r="O51" s="882"/>
      <c r="P51" s="334"/>
      <c r="Q51" s="882"/>
      <c r="R51" s="882"/>
      <c r="S51" s="431"/>
      <c r="T51" s="882"/>
      <c r="U51" s="882"/>
      <c r="V51" s="334"/>
      <c r="W51" s="882">
        <v>49.68168086</v>
      </c>
      <c r="X51" s="805">
        <v>40.689089549999998</v>
      </c>
      <c r="Y51" s="334">
        <f t="shared" si="40"/>
        <v>-18.100000000000001</v>
      </c>
      <c r="Z51" s="882"/>
      <c r="AA51" s="882"/>
      <c r="AB51" s="334"/>
      <c r="AC51" s="882"/>
      <c r="AD51" s="882"/>
      <c r="AE51" s="334"/>
      <c r="AF51" s="882"/>
      <c r="AG51" s="882"/>
      <c r="AH51" s="334"/>
      <c r="AI51" s="882"/>
      <c r="AJ51" s="882"/>
      <c r="AK51" s="334"/>
      <c r="AL51" s="882"/>
      <c r="AM51" s="882"/>
      <c r="AN51" s="334"/>
      <c r="AO51" s="103">
        <f t="shared" si="36"/>
        <v>49.68168086</v>
      </c>
      <c r="AP51" s="103">
        <f t="shared" si="36"/>
        <v>40.689089549999998</v>
      </c>
      <c r="AQ51" s="334">
        <f t="shared" si="22"/>
        <v>-18.100000000000001</v>
      </c>
      <c r="AR51" s="439">
        <f t="shared" si="37"/>
        <v>49.68168086</v>
      </c>
      <c r="AS51" s="439">
        <f t="shared" si="38"/>
        <v>40.689089549999998</v>
      </c>
      <c r="AT51" s="442">
        <f t="shared" si="25"/>
        <v>-18.100000000000001</v>
      </c>
    </row>
    <row r="52" spans="1:46" s="484" customFormat="1" ht="20.100000000000001" customHeight="1" x14ac:dyDescent="0.35">
      <c r="A52" s="455" t="s">
        <v>194</v>
      </c>
      <c r="B52" s="882"/>
      <c r="C52" s="882"/>
      <c r="D52" s="438"/>
      <c r="E52" s="441"/>
      <c r="F52" s="441"/>
      <c r="G52" s="438"/>
      <c r="H52" s="882"/>
      <c r="I52" s="882"/>
      <c r="J52" s="438"/>
      <c r="K52" s="882"/>
      <c r="L52" s="882"/>
      <c r="M52" s="438"/>
      <c r="N52" s="882"/>
      <c r="O52" s="882"/>
      <c r="P52" s="438"/>
      <c r="Q52" s="882"/>
      <c r="R52" s="882"/>
      <c r="S52" s="437"/>
      <c r="T52" s="882"/>
      <c r="U52" s="882"/>
      <c r="V52" s="438"/>
      <c r="W52" s="882">
        <v>49.68168086</v>
      </c>
      <c r="X52" s="805">
        <v>40.689089549999998</v>
      </c>
      <c r="Y52" s="334">
        <f t="shared" si="40"/>
        <v>-18.100000000000001</v>
      </c>
      <c r="Z52" s="882"/>
      <c r="AA52" s="882"/>
      <c r="AB52" s="438"/>
      <c r="AC52" s="882"/>
      <c r="AD52" s="882"/>
      <c r="AE52" s="438"/>
      <c r="AF52" s="882"/>
      <c r="AG52" s="882"/>
      <c r="AH52" s="438"/>
      <c r="AI52" s="882"/>
      <c r="AJ52" s="882"/>
      <c r="AK52" s="438"/>
      <c r="AL52" s="882"/>
      <c r="AM52" s="882"/>
      <c r="AN52" s="438"/>
      <c r="AO52" s="103">
        <f t="shared" si="36"/>
        <v>49.68168086</v>
      </c>
      <c r="AP52" s="103">
        <f t="shared" si="36"/>
        <v>40.689089549999998</v>
      </c>
      <c r="AQ52" s="441">
        <f t="shared" si="22"/>
        <v>-18.100000000000001</v>
      </c>
      <c r="AR52" s="439">
        <f t="shared" si="37"/>
        <v>49.68168086</v>
      </c>
      <c r="AS52" s="439">
        <f t="shared" si="38"/>
        <v>40.689089549999998</v>
      </c>
      <c r="AT52" s="440">
        <f t="shared" si="25"/>
        <v>-18.100000000000001</v>
      </c>
    </row>
    <row r="53" spans="1:46" s="461" customFormat="1" ht="20.100000000000001" customHeight="1" x14ac:dyDescent="0.35">
      <c r="A53" s="455" t="s">
        <v>225</v>
      </c>
      <c r="B53" s="882"/>
      <c r="C53" s="882"/>
      <c r="D53" s="441"/>
      <c r="E53" s="441"/>
      <c r="F53" s="441"/>
      <c r="G53" s="334"/>
      <c r="H53" s="882"/>
      <c r="I53" s="882"/>
      <c r="J53" s="441"/>
      <c r="K53" s="882"/>
      <c r="L53" s="882"/>
      <c r="M53" s="441"/>
      <c r="N53" s="882"/>
      <c r="O53" s="882"/>
      <c r="P53" s="441"/>
      <c r="Q53" s="882"/>
      <c r="R53" s="882"/>
      <c r="S53" s="431"/>
      <c r="T53" s="882"/>
      <c r="U53" s="882"/>
      <c r="V53" s="334"/>
      <c r="W53" s="882">
        <v>670.73942914999998</v>
      </c>
      <c r="X53" s="805">
        <v>712.66821791999996</v>
      </c>
      <c r="Y53" s="334">
        <f t="shared" si="40"/>
        <v>6.3</v>
      </c>
      <c r="Z53" s="882"/>
      <c r="AA53" s="882"/>
      <c r="AB53" s="334"/>
      <c r="AC53" s="882"/>
      <c r="AD53" s="882"/>
      <c r="AE53" s="334"/>
      <c r="AF53" s="882"/>
      <c r="AG53" s="882"/>
      <c r="AH53" s="334"/>
      <c r="AI53" s="882"/>
      <c r="AJ53" s="882"/>
      <c r="AK53" s="334"/>
      <c r="AL53" s="882">
        <f>36+488</f>
        <v>524</v>
      </c>
      <c r="AM53" s="882">
        <f>1008+840</f>
        <v>1848</v>
      </c>
      <c r="AN53" s="334">
        <f t="shared" si="30"/>
        <v>252.7</v>
      </c>
      <c r="AO53" s="103">
        <f t="shared" si="36"/>
        <v>1194.73942915</v>
      </c>
      <c r="AP53" s="103">
        <f t="shared" si="36"/>
        <v>2560.6682179199997</v>
      </c>
      <c r="AQ53" s="334">
        <f t="shared" si="22"/>
        <v>114.3</v>
      </c>
      <c r="AR53" s="439">
        <f t="shared" si="37"/>
        <v>1194.73942915</v>
      </c>
      <c r="AS53" s="439">
        <f t="shared" si="38"/>
        <v>2560.6682179199997</v>
      </c>
      <c r="AT53" s="442">
        <f t="shared" si="25"/>
        <v>114.3</v>
      </c>
    </row>
    <row r="54" spans="1:46" s="461" customFormat="1" ht="20.100000000000001" customHeight="1" x14ac:dyDescent="0.35">
      <c r="A54" s="455" t="s">
        <v>226</v>
      </c>
      <c r="B54" s="882">
        <f>SUM(B55:B59)</f>
        <v>24084.123999999996</v>
      </c>
      <c r="C54" s="882">
        <f>SUM(C55:C59)</f>
        <v>29455.207999999999</v>
      </c>
      <c r="D54" s="441">
        <f>IF(B54=0, "    ---- ", IF(ABS(ROUND(100/B54*C54-100,1))&lt;999,ROUND(100/B54*C54-100,1),IF(ROUND(100/B54*C54-100,1)&gt;999,999,-999)))</f>
        <v>22.3</v>
      </c>
      <c r="E54" s="441">
        <f>SUM(E55:E59)</f>
        <v>5959.2</v>
      </c>
      <c r="F54" s="441"/>
      <c r="G54" s="334">
        <f>IF(E54=0, "    ---- ", IF(ABS(ROUND(100/E54*F54-100,1))&lt;999,ROUND(100/E54*F54-100,1),IF(ROUND(100/E54*F54-100,1)&gt;999,999,-999)))</f>
        <v>-100</v>
      </c>
      <c r="H54" s="882">
        <f>SUM(H55:H59)</f>
        <v>110860.38126027001</v>
      </c>
      <c r="I54" s="882">
        <f>SUM(I55:I59)</f>
        <v>134229.68938850702</v>
      </c>
      <c r="J54" s="441">
        <f t="shared" si="20"/>
        <v>21.1</v>
      </c>
      <c r="K54" s="882"/>
      <c r="L54" s="882"/>
      <c r="M54" s="441"/>
      <c r="N54" s="882"/>
      <c r="O54" s="882"/>
      <c r="P54" s="441"/>
      <c r="Q54" s="882">
        <f>SUM(Q55:Q59)</f>
        <v>33036</v>
      </c>
      <c r="R54" s="882">
        <f>SUM(R55:R59)</f>
        <v>41378.499999999993</v>
      </c>
      <c r="S54" s="431">
        <f t="shared" si="32"/>
        <v>25.3</v>
      </c>
      <c r="T54" s="882"/>
      <c r="U54" s="882"/>
      <c r="V54" s="334"/>
      <c r="W54" s="882">
        <v>1034.3453522899999</v>
      </c>
      <c r="X54" s="441">
        <v>1125.93292864</v>
      </c>
      <c r="Y54" s="334">
        <f t="shared" si="40"/>
        <v>8.9</v>
      </c>
      <c r="Z54" s="882">
        <f>SUM(Z55:Z59)</f>
        <v>98862.689999999988</v>
      </c>
      <c r="AA54" s="882">
        <f>SUM(AA55:AA59)</f>
        <v>123205.16000000002</v>
      </c>
      <c r="AB54" s="334">
        <f t="shared" si="27"/>
        <v>24.6</v>
      </c>
      <c r="AC54" s="882"/>
      <c r="AD54" s="882"/>
      <c r="AE54" s="334"/>
      <c r="AF54" s="882">
        <f>SUM(AF55:AF59)</f>
        <v>2934.72508733</v>
      </c>
      <c r="AG54" s="882">
        <f>SUM(AG55:AG59)</f>
        <v>3211.2460000000001</v>
      </c>
      <c r="AH54" s="334">
        <f>IF(AF54=0, "    ---- ", IF(ABS(ROUND(100/AF54*AG54-100,1))&lt;999,ROUND(100/AF54*AG54-100,1),IF(ROUND(100/AF54*AG54-100,1)&gt;999,999,-999)))</f>
        <v>9.4</v>
      </c>
      <c r="AI54" s="882">
        <f>SUM(AI55:AI59)</f>
        <v>43572.633000000002</v>
      </c>
      <c r="AJ54" s="882">
        <f>SUM(AJ55:AJ59)</f>
        <v>55424.735000000001</v>
      </c>
      <c r="AK54" s="334">
        <f t="shared" si="29"/>
        <v>27.2</v>
      </c>
      <c r="AL54" s="882">
        <f>SUM(AL55:AL59)</f>
        <v>130830</v>
      </c>
      <c r="AM54" s="882">
        <f>SUM(AM55:AM59)</f>
        <v>150452</v>
      </c>
      <c r="AN54" s="334">
        <f t="shared" si="30"/>
        <v>15</v>
      </c>
      <c r="AO54" s="103">
        <f t="shared" si="36"/>
        <v>448239.37361255998</v>
      </c>
      <c r="AP54" s="103">
        <f t="shared" si="36"/>
        <v>535271.22531714709</v>
      </c>
      <c r="AQ54" s="334">
        <f t="shared" si="22"/>
        <v>19.399999999999999</v>
      </c>
      <c r="AR54" s="439">
        <f t="shared" si="37"/>
        <v>451174.09869988996</v>
      </c>
      <c r="AS54" s="439">
        <f t="shared" si="38"/>
        <v>538482.47131714702</v>
      </c>
      <c r="AT54" s="442">
        <f t="shared" si="25"/>
        <v>19.399999999999999</v>
      </c>
    </row>
    <row r="55" spans="1:46" s="461" customFormat="1" ht="20.100000000000001" customHeight="1" x14ac:dyDescent="0.35">
      <c r="A55" s="455" t="s">
        <v>227</v>
      </c>
      <c r="B55" s="882">
        <v>15098.266</v>
      </c>
      <c r="C55" s="882">
        <v>19221.010999999999</v>
      </c>
      <c r="D55" s="441">
        <f>IF(B55=0, "    ---- ", IF(ABS(ROUND(100/B55*C55-100,1))&lt;999,ROUND(100/B55*C55-100,1),IF(ROUND(100/B55*C55-100,1)&gt;999,999,-999)))</f>
        <v>27.3</v>
      </c>
      <c r="E55" s="441">
        <v>4140.8</v>
      </c>
      <c r="F55" s="441"/>
      <c r="G55" s="334">
        <f>IF(E55=0, "    ---- ", IF(ABS(ROUND(100/E55*F55-100,1))&lt;999,ROUND(100/E55*F55-100,1),IF(ROUND(100/E55*F55-100,1)&gt;999,999,-999)))</f>
        <v>-100</v>
      </c>
      <c r="H55" s="882">
        <v>64919.521823060008</v>
      </c>
      <c r="I55" s="882">
        <v>81855.266520377001</v>
      </c>
      <c r="J55" s="441">
        <f t="shared" si="20"/>
        <v>26.1</v>
      </c>
      <c r="K55" s="882"/>
      <c r="L55" s="882"/>
      <c r="M55" s="441"/>
      <c r="N55" s="882"/>
      <c r="O55" s="882"/>
      <c r="P55" s="441"/>
      <c r="Q55" s="882">
        <v>28330.6</v>
      </c>
      <c r="R55" s="882">
        <v>34538.199999999997</v>
      </c>
      <c r="S55" s="431">
        <f t="shared" si="32"/>
        <v>21.9</v>
      </c>
      <c r="T55" s="882"/>
      <c r="U55" s="882"/>
      <c r="V55" s="334"/>
      <c r="W55" s="882">
        <v>588.34444340999994</v>
      </c>
      <c r="X55" s="805">
        <v>748.59468683</v>
      </c>
      <c r="Y55" s="334">
        <f t="shared" si="40"/>
        <v>27.2</v>
      </c>
      <c r="Z55" s="882">
        <v>59905.74</v>
      </c>
      <c r="AA55" s="882">
        <v>80313.72</v>
      </c>
      <c r="AB55" s="334">
        <f t="shared" si="27"/>
        <v>34.1</v>
      </c>
      <c r="AC55" s="882"/>
      <c r="AD55" s="882"/>
      <c r="AE55" s="334"/>
      <c r="AF55" s="882">
        <v>2934.72508733</v>
      </c>
      <c r="AG55" s="882">
        <v>3211.2460000000001</v>
      </c>
      <c r="AH55" s="334">
        <f>IF(AF55=0, "    ---- ", IF(ABS(ROUND(100/AF55*AG55-100,1))&lt;999,ROUND(100/AF55*AG55-100,1),IF(ROUND(100/AF55*AG55-100,1)&gt;999,999,-999)))</f>
        <v>9.4</v>
      </c>
      <c r="AI55" s="882">
        <v>26962.302</v>
      </c>
      <c r="AJ55" s="882">
        <v>36597.752</v>
      </c>
      <c r="AK55" s="334">
        <f t="shared" si="29"/>
        <v>35.700000000000003</v>
      </c>
      <c r="AL55" s="882">
        <v>86267</v>
      </c>
      <c r="AM55" s="882">
        <v>107202</v>
      </c>
      <c r="AN55" s="334">
        <f t="shared" si="30"/>
        <v>24.3</v>
      </c>
      <c r="AO55" s="103">
        <f t="shared" si="36"/>
        <v>286212.57426647004</v>
      </c>
      <c r="AP55" s="103">
        <f t="shared" si="36"/>
        <v>360476.54420720704</v>
      </c>
      <c r="AQ55" s="334">
        <f t="shared" si="22"/>
        <v>25.9</v>
      </c>
      <c r="AR55" s="439">
        <f t="shared" si="37"/>
        <v>289147.29935380002</v>
      </c>
      <c r="AS55" s="439">
        <f t="shared" si="38"/>
        <v>363687.79020720703</v>
      </c>
      <c r="AT55" s="442">
        <f t="shared" si="25"/>
        <v>25.8</v>
      </c>
    </row>
    <row r="56" spans="1:46" s="461" customFormat="1" ht="20.100000000000001" customHeight="1" x14ac:dyDescent="0.35">
      <c r="A56" s="455" t="s">
        <v>228</v>
      </c>
      <c r="B56" s="882">
        <v>8494.7199999999993</v>
      </c>
      <c r="C56" s="882">
        <v>9602.9840000000004</v>
      </c>
      <c r="D56" s="441">
        <f>IF(B56=0, "    ---- ", IF(ABS(ROUND(100/B56*C56-100,1))&lt;999,ROUND(100/B56*C56-100,1),IF(ROUND(100/B56*C56-100,1)&gt;999,999,-999)))</f>
        <v>13</v>
      </c>
      <c r="E56" s="441">
        <v>1740.7</v>
      </c>
      <c r="F56" s="441"/>
      <c r="G56" s="334">
        <f>IF(E56=0, "    ---- ", IF(ABS(ROUND(100/E56*F56-100,1))&lt;999,ROUND(100/E56*F56-100,1),IF(ROUND(100/E56*F56-100,1)&gt;999,999,-999)))</f>
        <v>-100</v>
      </c>
      <c r="H56" s="882">
        <v>44567.765450090003</v>
      </c>
      <c r="I56" s="882">
        <v>51024.9716424</v>
      </c>
      <c r="J56" s="441">
        <f t="shared" si="20"/>
        <v>14.5</v>
      </c>
      <c r="K56" s="882"/>
      <c r="L56" s="882"/>
      <c r="M56" s="441"/>
      <c r="N56" s="882"/>
      <c r="O56" s="882"/>
      <c r="P56" s="441"/>
      <c r="Q56" s="882">
        <v>4594.3</v>
      </c>
      <c r="R56" s="882">
        <v>6645.6</v>
      </c>
      <c r="S56" s="431">
        <f t="shared" si="32"/>
        <v>44.6</v>
      </c>
      <c r="T56" s="882"/>
      <c r="U56" s="882"/>
      <c r="V56" s="334"/>
      <c r="W56" s="882">
        <v>336.72193666999999</v>
      </c>
      <c r="X56" s="805">
        <v>298.30660347000003</v>
      </c>
      <c r="Y56" s="334">
        <f t="shared" si="40"/>
        <v>-11.4</v>
      </c>
      <c r="Z56" s="882">
        <v>38259.03</v>
      </c>
      <c r="AA56" s="882">
        <v>42620.29</v>
      </c>
      <c r="AB56" s="334">
        <f t="shared" si="27"/>
        <v>11.4</v>
      </c>
      <c r="AC56" s="882"/>
      <c r="AD56" s="882"/>
      <c r="AE56" s="334"/>
      <c r="AF56" s="882"/>
      <c r="AG56" s="882"/>
      <c r="AH56" s="334"/>
      <c r="AI56" s="882">
        <v>15845.285</v>
      </c>
      <c r="AJ56" s="882">
        <v>18159.827000000001</v>
      </c>
      <c r="AK56" s="334">
        <f t="shared" si="29"/>
        <v>14.6</v>
      </c>
      <c r="AL56" s="882">
        <v>42340</v>
      </c>
      <c r="AM56" s="882">
        <v>42559</v>
      </c>
      <c r="AN56" s="334">
        <f t="shared" si="30"/>
        <v>0.5</v>
      </c>
      <c r="AO56" s="103">
        <f t="shared" si="36"/>
        <v>156178.52238676001</v>
      </c>
      <c r="AP56" s="103">
        <f t="shared" si="36"/>
        <v>170910.97924587002</v>
      </c>
      <c r="AQ56" s="334">
        <f t="shared" si="22"/>
        <v>9.4</v>
      </c>
      <c r="AR56" s="439">
        <f t="shared" si="37"/>
        <v>156178.52238676001</v>
      </c>
      <c r="AS56" s="439">
        <f t="shared" si="38"/>
        <v>170910.97924587002</v>
      </c>
      <c r="AT56" s="442">
        <f t="shared" si="25"/>
        <v>9.4</v>
      </c>
    </row>
    <row r="57" spans="1:46" s="461" customFormat="1" ht="20.100000000000001" customHeight="1" x14ac:dyDescent="0.35">
      <c r="A57" s="455" t="s">
        <v>229</v>
      </c>
      <c r="B57" s="882">
        <v>77.387</v>
      </c>
      <c r="C57" s="882">
        <v>309.70299999999997</v>
      </c>
      <c r="D57" s="441">
        <f t="shared" ref="D57:D58" si="41">IF(B57=0, "    ---- ", IF(ABS(ROUND(100/B57*C57-100,1))&lt;999,ROUND(100/B57*C57-100,1),IF(ROUND(100/B57*C57-100,1)&gt;999,999,-999)))</f>
        <v>300.2</v>
      </c>
      <c r="E57" s="441">
        <v>77.7</v>
      </c>
      <c r="F57" s="441"/>
      <c r="G57" s="334">
        <f>IF(E57=0, "    ---- ", IF(ABS(ROUND(100/E57*F57-100,1))&lt;999,ROUND(100/E57*F57-100,1),IF(ROUND(100/E57*F57-100,1)&gt;999,999,-999)))</f>
        <v>-100</v>
      </c>
      <c r="H57" s="882">
        <v>1373.0939871200001</v>
      </c>
      <c r="I57" s="882">
        <v>1349.45122573</v>
      </c>
      <c r="J57" s="334">
        <f t="shared" si="20"/>
        <v>-1.7</v>
      </c>
      <c r="K57" s="882"/>
      <c r="L57" s="882"/>
      <c r="M57" s="334"/>
      <c r="N57" s="882"/>
      <c r="O57" s="882"/>
      <c r="P57" s="334"/>
      <c r="Q57" s="882"/>
      <c r="R57" s="882">
        <v>71.2</v>
      </c>
      <c r="S57" s="334" t="str">
        <f t="shared" si="32"/>
        <v xml:space="preserve">    ---- </v>
      </c>
      <c r="T57" s="882"/>
      <c r="U57" s="882"/>
      <c r="V57" s="334"/>
      <c r="W57" s="882">
        <v>93.365708330000004</v>
      </c>
      <c r="X57" s="805">
        <v>73.514839420000001</v>
      </c>
      <c r="Y57" s="334">
        <f t="shared" si="40"/>
        <v>-21.3</v>
      </c>
      <c r="Z57" s="882">
        <v>0</v>
      </c>
      <c r="AA57" s="882">
        <v>0</v>
      </c>
      <c r="AB57" s="334" t="str">
        <f t="shared" si="27"/>
        <v xml:space="preserve">    ---- </v>
      </c>
      <c r="AC57" s="882"/>
      <c r="AD57" s="882"/>
      <c r="AE57" s="334"/>
      <c r="AF57" s="882"/>
      <c r="AG57" s="882"/>
      <c r="AH57" s="334"/>
      <c r="AI57" s="882"/>
      <c r="AJ57" s="882">
        <v>-26.611000000000001</v>
      </c>
      <c r="AK57" s="334" t="str">
        <f t="shared" si="29"/>
        <v xml:space="preserve">    ---- </v>
      </c>
      <c r="AL57" s="882">
        <v>171</v>
      </c>
      <c r="AM57" s="882">
        <v>133</v>
      </c>
      <c r="AN57" s="334">
        <f t="shared" si="30"/>
        <v>-22.2</v>
      </c>
      <c r="AO57" s="103">
        <f t="shared" si="36"/>
        <v>1792.54669545</v>
      </c>
      <c r="AP57" s="103">
        <f t="shared" si="36"/>
        <v>1910.25806515</v>
      </c>
      <c r="AQ57" s="334">
        <f t="shared" si="22"/>
        <v>6.6</v>
      </c>
      <c r="AR57" s="439">
        <f t="shared" si="37"/>
        <v>1792.54669545</v>
      </c>
      <c r="AS57" s="439">
        <f t="shared" si="38"/>
        <v>1910.25806515</v>
      </c>
      <c r="AT57" s="442">
        <f t="shared" si="25"/>
        <v>6.6</v>
      </c>
    </row>
    <row r="58" spans="1:46" s="461" customFormat="1" ht="20.100000000000001" customHeight="1" x14ac:dyDescent="0.35">
      <c r="A58" s="455" t="s">
        <v>230</v>
      </c>
      <c r="B58" s="882">
        <v>278.92200000000003</v>
      </c>
      <c r="C58" s="882">
        <v>29.998999999999999</v>
      </c>
      <c r="D58" s="441">
        <f t="shared" si="41"/>
        <v>-89.2</v>
      </c>
      <c r="E58" s="441"/>
      <c r="F58" s="441"/>
      <c r="G58" s="334"/>
      <c r="H58" s="882"/>
      <c r="I58" s="882"/>
      <c r="J58" s="334"/>
      <c r="K58" s="882"/>
      <c r="L58" s="882"/>
      <c r="M58" s="334"/>
      <c r="N58" s="882"/>
      <c r="O58" s="882"/>
      <c r="P58" s="334"/>
      <c r="Q58" s="882"/>
      <c r="R58" s="882"/>
      <c r="S58" s="334"/>
      <c r="T58" s="882"/>
      <c r="U58" s="882"/>
      <c r="V58" s="334"/>
      <c r="W58" s="882">
        <v>15.913263890000001</v>
      </c>
      <c r="X58" s="805">
        <v>5.5170268899999995</v>
      </c>
      <c r="Y58" s="334">
        <f t="shared" si="40"/>
        <v>-65.3</v>
      </c>
      <c r="Z58" s="882">
        <v>147.77000000000001</v>
      </c>
      <c r="AA58" s="882">
        <v>-174.42</v>
      </c>
      <c r="AB58" s="334">
        <f t="shared" si="27"/>
        <v>-218</v>
      </c>
      <c r="AC58" s="882"/>
      <c r="AD58" s="882"/>
      <c r="AE58" s="334"/>
      <c r="AF58" s="882"/>
      <c r="AG58" s="882"/>
      <c r="AH58" s="334"/>
      <c r="AI58" s="882">
        <v>601.74699999999996</v>
      </c>
      <c r="AJ58" s="882">
        <v>0</v>
      </c>
      <c r="AK58" s="334">
        <f t="shared" si="29"/>
        <v>-100</v>
      </c>
      <c r="AL58" s="882">
        <v>2052</v>
      </c>
      <c r="AM58" s="882">
        <v>558</v>
      </c>
      <c r="AN58" s="334">
        <f t="shared" si="30"/>
        <v>-72.8</v>
      </c>
      <c r="AO58" s="103">
        <f t="shared" si="36"/>
        <v>3096.3522638899999</v>
      </c>
      <c r="AP58" s="103">
        <f t="shared" si="36"/>
        <v>419.09602689000002</v>
      </c>
      <c r="AQ58" s="334">
        <f t="shared" si="22"/>
        <v>-86.5</v>
      </c>
      <c r="AR58" s="439">
        <f t="shared" si="37"/>
        <v>3096.3522638899999</v>
      </c>
      <c r="AS58" s="439">
        <f t="shared" si="38"/>
        <v>419.09602689000002</v>
      </c>
      <c r="AT58" s="442">
        <f t="shared" si="25"/>
        <v>-86.5</v>
      </c>
    </row>
    <row r="59" spans="1:46" s="461" customFormat="1" ht="20.100000000000001" customHeight="1" x14ac:dyDescent="0.35">
      <c r="A59" s="455" t="s">
        <v>231</v>
      </c>
      <c r="B59" s="882">
        <v>134.82900000000001</v>
      </c>
      <c r="C59" s="882">
        <v>291.51100000000002</v>
      </c>
      <c r="D59" s="334">
        <f>IF(B59=0, "    ---- ", IF(ABS(ROUND(100/B59*C59-100,1))&lt;999,ROUND(100/B59*C59-100,1),IF(ROUND(100/B59*C59-100,1)&gt;999,999,-999)))</f>
        <v>116.2</v>
      </c>
      <c r="E59" s="441"/>
      <c r="F59" s="441"/>
      <c r="G59" s="334"/>
      <c r="H59" s="882"/>
      <c r="I59" s="882"/>
      <c r="J59" s="334"/>
      <c r="K59" s="882"/>
      <c r="L59" s="882"/>
      <c r="M59" s="334"/>
      <c r="N59" s="882"/>
      <c r="O59" s="882"/>
      <c r="P59" s="334"/>
      <c r="Q59" s="882">
        <v>111.1</v>
      </c>
      <c r="R59" s="882">
        <v>123.5</v>
      </c>
      <c r="S59" s="334">
        <f>IF(Q59=0, "    ---- ", IF(ABS(ROUND(100/Q59*R59-100,1))&lt;999,ROUND(100/Q59*R59-100,1),IF(ROUND(100/Q59*R59-100,1)&gt;999,999,-999)))</f>
        <v>11.2</v>
      </c>
      <c r="T59" s="882"/>
      <c r="U59" s="882"/>
      <c r="V59" s="334"/>
      <c r="W59" s="882">
        <v>-1E-8</v>
      </c>
      <c r="X59" s="805">
        <v>-2.2797E-4</v>
      </c>
      <c r="Y59" s="334">
        <f t="shared" si="40"/>
        <v>999</v>
      </c>
      <c r="Z59" s="882">
        <v>550.15</v>
      </c>
      <c r="AA59" s="882">
        <v>445.57</v>
      </c>
      <c r="AB59" s="334">
        <f t="shared" si="27"/>
        <v>-19</v>
      </c>
      <c r="AC59" s="882"/>
      <c r="AD59" s="882"/>
      <c r="AE59" s="334"/>
      <c r="AF59" s="882"/>
      <c r="AG59" s="882"/>
      <c r="AH59" s="334"/>
      <c r="AI59" s="882">
        <v>163.29900000000001</v>
      </c>
      <c r="AJ59" s="882">
        <v>693.76700000000005</v>
      </c>
      <c r="AK59" s="334">
        <f t="shared" si="29"/>
        <v>324.8</v>
      </c>
      <c r="AL59" s="882"/>
      <c r="AM59" s="882"/>
      <c r="AN59" s="334"/>
      <c r="AO59" s="103">
        <f t="shared" si="36"/>
        <v>959.37799998999992</v>
      </c>
      <c r="AP59" s="103">
        <f t="shared" si="36"/>
        <v>1554.34777203</v>
      </c>
      <c r="AQ59" s="334">
        <f t="shared" si="22"/>
        <v>62</v>
      </c>
      <c r="AR59" s="439">
        <f t="shared" si="37"/>
        <v>959.37799998999992</v>
      </c>
      <c r="AS59" s="439">
        <f t="shared" si="38"/>
        <v>1554.34777203</v>
      </c>
      <c r="AT59" s="442">
        <f t="shared" si="25"/>
        <v>62</v>
      </c>
    </row>
    <row r="60" spans="1:46" s="461" customFormat="1" ht="20.100000000000001" customHeight="1" x14ac:dyDescent="0.35">
      <c r="A60" s="456" t="s">
        <v>232</v>
      </c>
      <c r="B60" s="882">
        <f>SUM(B48+B49+B50+B54)</f>
        <v>24084.123999999996</v>
      </c>
      <c r="C60" s="882">
        <f>SUM(C48+C49+C50+C54)</f>
        <v>29455.207999999999</v>
      </c>
      <c r="D60" s="334">
        <f>IF(B60=0, "    ---- ", IF(ABS(ROUND(100/B60*C60-100,1))&lt;999,ROUND(100/B60*C60-100,1),IF(ROUND(100/B60*C60-100,1)&gt;999,999,-999)))</f>
        <v>22.3</v>
      </c>
      <c r="E60" s="441">
        <f>SUM(E48+E49+E50+E54)</f>
        <v>5959.2</v>
      </c>
      <c r="F60" s="441"/>
      <c r="G60" s="334">
        <f>IF(E60=0, "    ---- ", IF(ABS(ROUND(100/E60*F60-100,1))&lt;999,ROUND(100/E60*F60-100,1),IF(ROUND(100/E60*F60-100,1)&gt;999,999,-999)))</f>
        <v>-100</v>
      </c>
      <c r="H60" s="882">
        <f>SUM(H48+H49+H50+H54)</f>
        <v>110860.38126027001</v>
      </c>
      <c r="I60" s="882">
        <f>SUM(I48+I49+I50+I54)</f>
        <v>138747.40864628</v>
      </c>
      <c r="J60" s="334">
        <f t="shared" si="20"/>
        <v>25.2</v>
      </c>
      <c r="K60" s="882"/>
      <c r="L60" s="882"/>
      <c r="M60" s="334"/>
      <c r="N60" s="882"/>
      <c r="O60" s="882"/>
      <c r="P60" s="334"/>
      <c r="Q60" s="882">
        <f>SUM(Q48+Q49+Q50+Q54)</f>
        <v>34697.4</v>
      </c>
      <c r="R60" s="882">
        <f>SUM(R48+R49+R50+R54)</f>
        <v>43184.399999999994</v>
      </c>
      <c r="S60" s="334">
        <f>IF(Q60=0, "    ---- ", IF(ABS(ROUND(100/Q60*R60-100,1))&lt;999,ROUND(100/Q60*R60-100,1),IF(ROUND(100/Q60*R60-100,1)&gt;999,999,-999)))</f>
        <v>24.5</v>
      </c>
      <c r="T60" s="882"/>
      <c r="U60" s="882"/>
      <c r="V60" s="334"/>
      <c r="W60" s="882">
        <v>2044.4021851799998</v>
      </c>
      <c r="X60" s="435">
        <v>2198.7195729499999</v>
      </c>
      <c r="Y60" s="334">
        <f t="shared" si="40"/>
        <v>7.5</v>
      </c>
      <c r="Z60" s="882">
        <f>SUM(Z48+Z49+Z50+Z54)</f>
        <v>98862.689999999988</v>
      </c>
      <c r="AA60" s="882">
        <f>SUM(AA48+AA49+AA50+AA54)</f>
        <v>125405.21000000002</v>
      </c>
      <c r="AB60" s="334">
        <f t="shared" si="27"/>
        <v>26.8</v>
      </c>
      <c r="AC60" s="882"/>
      <c r="AD60" s="882"/>
      <c r="AE60" s="334"/>
      <c r="AF60" s="882">
        <f>SUM(AF48+AF49+AF50+AF54)</f>
        <v>2934.72508733</v>
      </c>
      <c r="AG60" s="882">
        <f>SUM(AG48+AG49+AG50+AG54)</f>
        <v>3211.2460000000001</v>
      </c>
      <c r="AH60" s="334">
        <f>IF(AF60=0, "    ---- ", IF(ABS(ROUND(100/AF60*AG60-100,1))&lt;999,ROUND(100/AF60*AG60-100,1),IF(ROUND(100/AF60*AG60-100,1)&gt;999,999,-999)))</f>
        <v>9.4</v>
      </c>
      <c r="AI60" s="882">
        <f>SUM(AI48+AI49+AI50+AI54)</f>
        <v>43572.633000000002</v>
      </c>
      <c r="AJ60" s="882">
        <f>SUM(AJ48+AJ49+AJ50+AJ54)</f>
        <v>56380.137000000002</v>
      </c>
      <c r="AK60" s="334">
        <f t="shared" si="29"/>
        <v>29.4</v>
      </c>
      <c r="AL60" s="882">
        <f>SUM(AL48+AL49+AL50+AL54)</f>
        <v>136954.5</v>
      </c>
      <c r="AM60" s="882">
        <f>SUM(AM48+AM49+AM50+AM54)</f>
        <v>158508</v>
      </c>
      <c r="AN60" s="334">
        <f t="shared" si="30"/>
        <v>15.7</v>
      </c>
      <c r="AO60" s="103">
        <f t="shared" si="36"/>
        <v>457035.33044545003</v>
      </c>
      <c r="AP60" s="103">
        <f t="shared" si="36"/>
        <v>553879.08321922994</v>
      </c>
      <c r="AQ60" s="334">
        <f t="shared" si="22"/>
        <v>21.2</v>
      </c>
      <c r="AR60" s="439">
        <f t="shared" si="37"/>
        <v>459970.05553278001</v>
      </c>
      <c r="AS60" s="439">
        <f t="shared" si="38"/>
        <v>557090.32921922999</v>
      </c>
      <c r="AT60" s="442">
        <f t="shared" si="25"/>
        <v>21.1</v>
      </c>
    </row>
    <row r="61" spans="1:46" s="461" customFormat="1" ht="20.100000000000001" customHeight="1" x14ac:dyDescent="0.35">
      <c r="A61" s="453" t="s">
        <v>337</v>
      </c>
      <c r="B61" s="882"/>
      <c r="C61" s="882"/>
      <c r="D61" s="334"/>
      <c r="E61" s="441"/>
      <c r="F61" s="441"/>
      <c r="G61" s="334"/>
      <c r="H61" s="882"/>
      <c r="I61" s="882"/>
      <c r="J61" s="334"/>
      <c r="K61" s="882"/>
      <c r="L61" s="882"/>
      <c r="M61" s="334"/>
      <c r="N61" s="882"/>
      <c r="O61" s="882"/>
      <c r="P61" s="334"/>
      <c r="Q61" s="882">
        <v>1.6</v>
      </c>
      <c r="R61" s="882">
        <v>1.4</v>
      </c>
      <c r="S61" s="334">
        <f>IF(Q61=0, "    ---- ", IF(ABS(ROUND(100/Q61*R61-100,1))&lt;999,ROUND(100/Q61*R61-100,1),IF(ROUND(100/Q61*R61-100,1)&gt;999,999,-999)))</f>
        <v>-12.5</v>
      </c>
      <c r="T61" s="882"/>
      <c r="U61" s="882"/>
      <c r="V61" s="334"/>
      <c r="W61" s="882"/>
      <c r="X61" s="882"/>
      <c r="Y61" s="334"/>
      <c r="Z61" s="882"/>
      <c r="AA61" s="882"/>
      <c r="AB61" s="334"/>
      <c r="AC61" s="882"/>
      <c r="AD61" s="882"/>
      <c r="AE61" s="334"/>
      <c r="AF61" s="882"/>
      <c r="AG61" s="882"/>
      <c r="AH61" s="334"/>
      <c r="AI61" s="882"/>
      <c r="AJ61" s="882"/>
      <c r="AK61" s="334"/>
      <c r="AL61" s="882"/>
      <c r="AM61" s="882"/>
      <c r="AN61" s="334"/>
      <c r="AO61" s="103">
        <f t="shared" si="36"/>
        <v>1.6</v>
      </c>
      <c r="AP61" s="103">
        <f t="shared" si="36"/>
        <v>1.4</v>
      </c>
      <c r="AQ61" s="334">
        <f t="shared" si="22"/>
        <v>-12.5</v>
      </c>
      <c r="AR61" s="439">
        <f t="shared" si="37"/>
        <v>1.6</v>
      </c>
      <c r="AS61" s="439">
        <f t="shared" si="38"/>
        <v>1.4</v>
      </c>
      <c r="AT61" s="442">
        <f t="shared" si="25"/>
        <v>-12.5</v>
      </c>
    </row>
    <row r="62" spans="1:46" s="461" customFormat="1" ht="20.100000000000001" customHeight="1" x14ac:dyDescent="0.35">
      <c r="A62" s="455" t="s">
        <v>233</v>
      </c>
      <c r="B62" s="882">
        <f>SUM(B45+B46+B60+B61)</f>
        <v>25571.920999999995</v>
      </c>
      <c r="C62" s="882">
        <f>SUM(C45+C46+C60+C61)</f>
        <v>31073.82</v>
      </c>
      <c r="D62" s="334">
        <f>IF(B62=0, "    ---- ", IF(ABS(ROUND(100/B62*C62-100,1))&lt;999,ROUND(100/B62*C62-100,1),IF(ROUND(100/B62*C62-100,1)&gt;999,999,-999)))</f>
        <v>21.5</v>
      </c>
      <c r="E62" s="441">
        <f>SUM(E45+E46+E60+E61)</f>
        <v>7764.2</v>
      </c>
      <c r="F62" s="441"/>
      <c r="G62" s="334">
        <f>IF(E62=0, "    ---- ", IF(ABS(ROUND(100/E62*F62-100,1))&lt;999,ROUND(100/E62*F62-100,1),IF(ROUND(100/E62*F62-100,1)&gt;999,999,-999)))</f>
        <v>-100</v>
      </c>
      <c r="H62" s="882">
        <f>SUM(H45+H46+H60+H61)</f>
        <v>311921.28235066001</v>
      </c>
      <c r="I62" s="882">
        <f>SUM(I45+I46+I60+I61)</f>
        <v>339325.61459232005</v>
      </c>
      <c r="J62" s="334">
        <f t="shared" si="20"/>
        <v>8.8000000000000007</v>
      </c>
      <c r="K62" s="882">
        <f>SUM(K45+K46+K60+K61)</f>
        <v>7349.2710317800002</v>
      </c>
      <c r="L62" s="882">
        <f>SUM(L45+L46+L60+L61)</f>
        <v>8006.3234916800029</v>
      </c>
      <c r="M62" s="334">
        <f>IF(K62=0, "    ---- ", IF(ABS(ROUND(100/K62*L62-100,1))&lt;999,ROUND(100/K62*L62-100,1),IF(ROUND(100/K62*L62-100,1)&gt;999,999,-999)))</f>
        <v>8.9</v>
      </c>
      <c r="N62" s="882">
        <f>SUM(N45+N46+N60+N61)</f>
        <v>1099.835</v>
      </c>
      <c r="O62" s="882">
        <f>SUM(O45+O46+O60+O61)</f>
        <v>1323.519</v>
      </c>
      <c r="P62" s="334">
        <f>IF(N62=0, "    ---- ", IF(ABS(ROUND(100/N62*O62-100,1))&lt;999,ROUND(100/N62*O62-100,1),IF(ROUND(100/N62*O62-100,1)&gt;999,999,-999)))</f>
        <v>20.3</v>
      </c>
      <c r="Q62" s="882">
        <f>SUM(Q45+Q46+Q60+Q61)</f>
        <v>42485.9</v>
      </c>
      <c r="R62" s="882">
        <f>SUM(R45+R46+R60+R61)</f>
        <v>51494.2</v>
      </c>
      <c r="S62" s="334">
        <f>IF(Q62=0, "    ---- ", IF(ABS(ROUND(100/Q62*R62-100,1))&lt;999,ROUND(100/Q62*R62-100,1),IF(ROUND(100/Q62*R62-100,1)&gt;999,999,-999)))</f>
        <v>21.2</v>
      </c>
      <c r="T62" s="882"/>
      <c r="U62" s="882"/>
      <c r="V62" s="334"/>
      <c r="W62" s="882">
        <v>606826.30069902004</v>
      </c>
      <c r="X62" s="882">
        <f>SUM(X45+X46+X60+X61)</f>
        <v>661479.51575320994</v>
      </c>
      <c r="Y62" s="334">
        <f>IF(W62=0, "    ---- ", IF(ABS(ROUND(100/W62*X62-100,1))&lt;999,ROUND(100/W62*X62-100,1),IF(ROUND(100/W62*X62-100,1)&gt;999,999,-999)))</f>
        <v>9</v>
      </c>
      <c r="Z62" s="882">
        <f>SUM(Z45+Z46+Z60+Z61)</f>
        <v>152282.19</v>
      </c>
      <c r="AA62" s="882">
        <f>SUM(AA45+AA46+AA60+AA61)</f>
        <v>181750.2</v>
      </c>
      <c r="AB62" s="334">
        <f t="shared" si="27"/>
        <v>19.399999999999999</v>
      </c>
      <c r="AC62" s="882">
        <f>SUM(AC45+AC46+AC60+AC61)</f>
        <v>101167</v>
      </c>
      <c r="AD62" s="882">
        <f>SUM(AD45+AD46+AD60+AD61)</f>
        <v>113487</v>
      </c>
      <c r="AE62" s="334">
        <f>IF(AC62=0, "    ---- ", IF(ABS(ROUND(100/AC62*AD62-100,1))&lt;999,ROUND(100/AC62*AD62-100,1),IF(ROUND(100/AC62*AD62-100,1)&gt;999,999,-999)))</f>
        <v>12.2</v>
      </c>
      <c r="AF62" s="882">
        <f>SUM(AF45+AF46+AF60+AF61)</f>
        <v>2934.72508733</v>
      </c>
      <c r="AG62" s="882">
        <f>SUM(AG45+AG46+AG60+AG61)</f>
        <v>3211.2460000000001</v>
      </c>
      <c r="AH62" s="334">
        <f>IF(AF62=0, "    ---- ", IF(ABS(ROUND(100/AF62*AG62-100,1))&lt;999,ROUND(100/AF62*AG62-100,1),IF(ROUND(100/AF62*AG62-100,1)&gt;999,999,-999)))</f>
        <v>9.4</v>
      </c>
      <c r="AI62" s="882">
        <f>SUM(AI45+AI46+AI60+AI61)</f>
        <v>65994.648000000001</v>
      </c>
      <c r="AJ62" s="882">
        <f>SUM(AJ45+AJ46+AJ60+AJ61)</f>
        <v>80255.722999999998</v>
      </c>
      <c r="AK62" s="334">
        <f t="shared" si="29"/>
        <v>21.6</v>
      </c>
      <c r="AL62" s="882">
        <f>SUM(AL45+AL46+AL60+AL61)</f>
        <v>337515.2</v>
      </c>
      <c r="AM62" s="882">
        <f>SUM(AM45+AM46+AM60+AM61)</f>
        <v>365386.2</v>
      </c>
      <c r="AN62" s="334">
        <f t="shared" si="30"/>
        <v>8.3000000000000007</v>
      </c>
      <c r="AO62" s="103">
        <f t="shared" si="36"/>
        <v>1659977.7480814599</v>
      </c>
      <c r="AP62" s="103">
        <f t="shared" si="36"/>
        <v>1833582.1158372099</v>
      </c>
      <c r="AQ62" s="334">
        <f t="shared" si="22"/>
        <v>10.5</v>
      </c>
      <c r="AR62" s="439">
        <f t="shared" si="37"/>
        <v>1662912.4731687899</v>
      </c>
      <c r="AS62" s="439">
        <f t="shared" si="38"/>
        <v>1836793.3618372099</v>
      </c>
      <c r="AT62" s="442">
        <f t="shared" si="25"/>
        <v>10.5</v>
      </c>
    </row>
    <row r="63" spans="1:46" s="485" customFormat="1" ht="20.100000000000001" customHeight="1" x14ac:dyDescent="0.3">
      <c r="A63" s="453"/>
      <c r="B63" s="887"/>
      <c r="C63" s="887"/>
      <c r="D63" s="434"/>
      <c r="E63" s="435"/>
      <c r="F63" s="435"/>
      <c r="G63" s="434"/>
      <c r="H63" s="887"/>
      <c r="I63" s="887"/>
      <c r="J63" s="434"/>
      <c r="K63" s="887"/>
      <c r="L63" s="887"/>
      <c r="M63" s="434"/>
      <c r="N63" s="887"/>
      <c r="O63" s="887"/>
      <c r="P63" s="434"/>
      <c r="Q63" s="887"/>
      <c r="R63" s="887"/>
      <c r="S63" s="443"/>
      <c r="T63" s="887"/>
      <c r="U63" s="887"/>
      <c r="V63" s="434"/>
      <c r="W63" s="887"/>
      <c r="X63" s="887"/>
      <c r="Y63" s="434"/>
      <c r="Z63" s="887"/>
      <c r="AA63" s="887"/>
      <c r="AB63" s="434"/>
      <c r="AC63" s="887"/>
      <c r="AD63" s="887"/>
      <c r="AE63" s="434"/>
      <c r="AF63" s="887"/>
      <c r="AG63" s="887"/>
      <c r="AH63" s="434"/>
      <c r="AI63" s="887"/>
      <c r="AJ63" s="887"/>
      <c r="AK63" s="434"/>
      <c r="AL63" s="887"/>
      <c r="AM63" s="887"/>
      <c r="AN63" s="434"/>
      <c r="AO63" s="934"/>
      <c r="AP63" s="934"/>
      <c r="AQ63" s="434"/>
      <c r="AR63" s="444"/>
      <c r="AS63" s="444"/>
      <c r="AT63" s="445"/>
    </row>
    <row r="64" spans="1:46" s="485" customFormat="1" ht="20.100000000000001" customHeight="1" x14ac:dyDescent="0.3">
      <c r="A64" s="453" t="s">
        <v>234</v>
      </c>
      <c r="B64" s="887">
        <f>SUM(B29+B62)</f>
        <v>26632.751999999993</v>
      </c>
      <c r="C64" s="887">
        <f>SUM(C29+C62)</f>
        <v>32146.115999999998</v>
      </c>
      <c r="D64" s="434">
        <f>IF(B64=0, "    ---- ", IF(ABS(ROUND(100/B64*C64-100,1))&lt;999,ROUND(100/B64*C64-100,1),IF(ROUND(100/B64*C64-100,1)&gt;999,999,-999)))</f>
        <v>20.7</v>
      </c>
      <c r="E64" s="435">
        <f>SUM(E29+E62)</f>
        <v>8407.4</v>
      </c>
      <c r="F64" s="435"/>
      <c r="G64" s="434">
        <f>IF(E64=0, "    ---- ", IF(ABS(ROUND(100/E64*F64-100,1))&lt;999,ROUND(100/E64*F64-100,1),IF(ROUND(100/E64*F64-100,1)&gt;999,999,-999)))</f>
        <v>-100</v>
      </c>
      <c r="H64" s="887">
        <f>SUM(H29+H62)</f>
        <v>346272.61729669</v>
      </c>
      <c r="I64" s="887">
        <f>SUM(I29+I62)</f>
        <v>374838.26198039006</v>
      </c>
      <c r="J64" s="434">
        <f t="shared" si="20"/>
        <v>8.1999999999999993</v>
      </c>
      <c r="K64" s="887">
        <f>SUM(K29+K62)</f>
        <v>10657.997736360001</v>
      </c>
      <c r="L64" s="887">
        <f>SUM(L29+L62)</f>
        <v>11809.785264060003</v>
      </c>
      <c r="M64" s="434">
        <f>IF(K64=0, "    ---- ", IF(ABS(ROUND(100/K64*L64-100,1))&lt;999,ROUND(100/K64*L64-100,1),IF(ROUND(100/K64*L64-100,1)&gt;999,999,-999)))</f>
        <v>10.8</v>
      </c>
      <c r="N64" s="887">
        <f>SUM(N29+N62)</f>
        <v>1905.0860000000002</v>
      </c>
      <c r="O64" s="887">
        <f>SUM(O29+O62)</f>
        <v>1903.829</v>
      </c>
      <c r="P64" s="434">
        <f>IF(N64=0, "    ---- ", IF(ABS(ROUND(100/N64*O64-100,1))&lt;999,ROUND(100/N64*O64-100,1),IF(ROUND(100/N64*O64-100,1)&gt;999,999,-999)))</f>
        <v>-0.1</v>
      </c>
      <c r="Q64" s="887">
        <f>SUM(Q29+Q62)</f>
        <v>43945.599999999999</v>
      </c>
      <c r="R64" s="887">
        <f>SUM(R29+R62)</f>
        <v>53179.899999999994</v>
      </c>
      <c r="S64" s="443">
        <f>IF(Q64=0, "    ---- ", IF(ABS(ROUND(100/Q64*R64-100,1))&lt;999,ROUND(100/Q64*R64-100,1),IF(ROUND(100/Q64*R64-100,1)&gt;999,999,-999)))</f>
        <v>21</v>
      </c>
      <c r="T64" s="887">
        <f>SUM(T29+T62)</f>
        <v>157.24688584</v>
      </c>
      <c r="U64" s="887">
        <f>SUM(U29+U62)</f>
        <v>167.887</v>
      </c>
      <c r="V64" s="434">
        <f>IF(T64=0, "    ---- ", IF(ABS(ROUND(100/T64*U64-100,1))&lt;999,ROUND(100/T64*U64-100,1),IF(ROUND(100/T64*U64-100,1)&gt;999,999,-999)))</f>
        <v>6.8</v>
      </c>
      <c r="W64" s="911">
        <f>SUM(W29+W62)</f>
        <v>652276.69032429007</v>
      </c>
      <c r="X64" s="887">
        <f>SUM(X29+X62)</f>
        <v>706747.99020479992</v>
      </c>
      <c r="Y64" s="434">
        <f>IF(W64=0, "    ---- ", IF(ABS(ROUND(100/W64*X64-100,1))&lt;999,ROUND(100/W64*X64-100,1),IF(ROUND(100/W64*X64-100,1)&gt;999,999,-999)))</f>
        <v>8.4</v>
      </c>
      <c r="Z64" s="887">
        <f>SUM(Z29+Z62)</f>
        <v>164118.38</v>
      </c>
      <c r="AA64" s="887">
        <f>SUM(AA29+AA62)</f>
        <v>194116.74000000002</v>
      </c>
      <c r="AB64" s="434">
        <f t="shared" si="27"/>
        <v>18.3</v>
      </c>
      <c r="AC64" s="887">
        <f>SUM(AC29+AC62)</f>
        <v>112424</v>
      </c>
      <c r="AD64" s="887">
        <f>SUM(AD29+AD62)</f>
        <v>125509</v>
      </c>
      <c r="AE64" s="434">
        <f>IF(AC64=0, "    ---- ", IF(ABS(ROUND(100/AC64*AD64-100,1))&lt;999,ROUND(100/AC64*AD64-100,1),IF(ROUND(100/AC64*AD64-100,1)&gt;999,999,-999)))</f>
        <v>11.6</v>
      </c>
      <c r="AF64" s="887">
        <f>SUM(AF29+AF62)</f>
        <v>3028.0129144799998</v>
      </c>
      <c r="AG64" s="887">
        <f>SUM(AG29+AG62)</f>
        <v>3321.8430000000003</v>
      </c>
      <c r="AH64" s="434">
        <f>IF(AF64=0, "    ---- ", IF(ABS(ROUND(100/AF64*AG64-100,1))&lt;999,ROUND(100/AF64*AG64-100,1),IF(ROUND(100/AF64*AG64-100,1)&gt;999,999,-999)))</f>
        <v>9.6999999999999993</v>
      </c>
      <c r="AI64" s="887">
        <f>SUM(AI29+AI62)</f>
        <v>73707.005999999994</v>
      </c>
      <c r="AJ64" s="887">
        <f>SUM(AJ29+AJ62)</f>
        <v>87013.444000000003</v>
      </c>
      <c r="AK64" s="434">
        <f t="shared" si="29"/>
        <v>18.100000000000001</v>
      </c>
      <c r="AL64" s="887">
        <f>SUM(AL29+AL62)</f>
        <v>375840.3</v>
      </c>
      <c r="AM64" s="887">
        <f>SUM(AM29+AM62)</f>
        <v>411447</v>
      </c>
      <c r="AN64" s="434">
        <f t="shared" si="30"/>
        <v>9.5</v>
      </c>
      <c r="AO64" s="109">
        <f>B64+H64+K64+N64+Q64+W64+E64+Z64+AC64+AI64+AL64</f>
        <v>1816187.8293573402</v>
      </c>
      <c r="AP64" s="109">
        <f>C64+I64+L64+O64+R64+X64+F64+AA64+AD64+AJ64+AM64</f>
        <v>1998712.0664492499</v>
      </c>
      <c r="AQ64" s="434">
        <f t="shared" si="22"/>
        <v>10</v>
      </c>
      <c r="AR64" s="446">
        <f>B64+H64+K64+N64+Q64+T64+W64+E64+Z64+AC64+AF64+AI64+AL64</f>
        <v>1819373.08915766</v>
      </c>
      <c r="AS64" s="446">
        <f>C64+I64+L64+O64+R64+U64+X64+F64+AA64+AD64+AG64+AJ64+AM64</f>
        <v>2002201.7964492498</v>
      </c>
      <c r="AT64" s="445">
        <f t="shared" si="25"/>
        <v>10</v>
      </c>
    </row>
    <row r="65" spans="1:46" s="461" customFormat="1" ht="20.100000000000001" customHeight="1" x14ac:dyDescent="0.35">
      <c r="A65" s="457"/>
      <c r="B65" s="888"/>
      <c r="C65" s="882"/>
      <c r="D65" s="334"/>
      <c r="E65" s="870"/>
      <c r="F65" s="441"/>
      <c r="G65" s="334"/>
      <c r="H65" s="888"/>
      <c r="I65" s="882"/>
      <c r="J65" s="334"/>
      <c r="K65" s="888"/>
      <c r="L65" s="882"/>
      <c r="M65" s="334"/>
      <c r="N65" s="888"/>
      <c r="O65" s="882"/>
      <c r="P65" s="334"/>
      <c r="Q65" s="888"/>
      <c r="R65" s="882"/>
      <c r="S65" s="431"/>
      <c r="T65" s="888"/>
      <c r="U65" s="882"/>
      <c r="V65" s="334"/>
      <c r="W65" s="888"/>
      <c r="X65" s="882"/>
      <c r="Y65" s="334"/>
      <c r="Z65" s="888"/>
      <c r="AA65" s="882"/>
      <c r="AB65" s="334"/>
      <c r="AC65" s="888"/>
      <c r="AD65" s="882"/>
      <c r="AE65" s="334"/>
      <c r="AF65" s="888"/>
      <c r="AG65" s="882"/>
      <c r="AH65" s="334"/>
      <c r="AI65" s="888"/>
      <c r="AJ65" s="882"/>
      <c r="AK65" s="334"/>
      <c r="AL65" s="888"/>
      <c r="AM65" s="882"/>
      <c r="AN65" s="334"/>
      <c r="AO65" s="935"/>
      <c r="AP65" s="933"/>
      <c r="AQ65" s="334"/>
      <c r="AR65" s="433"/>
      <c r="AS65" s="433"/>
      <c r="AT65" s="442"/>
    </row>
    <row r="66" spans="1:46" s="461" customFormat="1" ht="20.100000000000001" customHeight="1" x14ac:dyDescent="0.35">
      <c r="A66" s="453" t="s">
        <v>235</v>
      </c>
      <c r="B66" s="882"/>
      <c r="C66" s="882"/>
      <c r="D66" s="334"/>
      <c r="E66" s="441"/>
      <c r="F66" s="441"/>
      <c r="G66" s="334"/>
      <c r="H66" s="882"/>
      <c r="I66" s="882"/>
      <c r="J66" s="334"/>
      <c r="K66" s="882"/>
      <c r="L66" s="882"/>
      <c r="M66" s="334"/>
      <c r="N66" s="882"/>
      <c r="O66" s="882"/>
      <c r="P66" s="334"/>
      <c r="Q66" s="882"/>
      <c r="R66" s="882"/>
      <c r="S66" s="431"/>
      <c r="T66" s="882"/>
      <c r="U66" s="882"/>
      <c r="V66" s="334"/>
      <c r="W66" s="882"/>
      <c r="X66" s="882"/>
      <c r="Y66" s="334"/>
      <c r="Z66" s="882"/>
      <c r="AA66" s="882"/>
      <c r="AB66" s="334"/>
      <c r="AC66" s="882"/>
      <c r="AD66" s="882"/>
      <c r="AE66" s="334"/>
      <c r="AF66" s="882"/>
      <c r="AG66" s="882"/>
      <c r="AH66" s="334"/>
      <c r="AI66" s="882"/>
      <c r="AJ66" s="882"/>
      <c r="AK66" s="334"/>
      <c r="AL66" s="882"/>
      <c r="AM66" s="882"/>
      <c r="AN66" s="334"/>
      <c r="AO66" s="933"/>
      <c r="AP66" s="933"/>
      <c r="AQ66" s="334"/>
      <c r="AR66" s="433"/>
      <c r="AS66" s="433"/>
      <c r="AT66" s="442"/>
    </row>
    <row r="67" spans="1:46" s="461" customFormat="1" ht="20.100000000000001" customHeight="1" x14ac:dyDescent="0.35">
      <c r="A67" s="453"/>
      <c r="B67" s="882"/>
      <c r="C67" s="882"/>
      <c r="D67" s="334"/>
      <c r="E67" s="441"/>
      <c r="F67" s="441"/>
      <c r="G67" s="334"/>
      <c r="H67" s="882"/>
      <c r="I67" s="882"/>
      <c r="J67" s="334"/>
      <c r="K67" s="882"/>
      <c r="L67" s="882"/>
      <c r="M67" s="334"/>
      <c r="N67" s="882"/>
      <c r="O67" s="882"/>
      <c r="P67" s="334"/>
      <c r="Q67" s="882"/>
      <c r="R67" s="882"/>
      <c r="S67" s="431"/>
      <c r="T67" s="882"/>
      <c r="U67" s="882"/>
      <c r="V67" s="334"/>
      <c r="W67" s="882"/>
      <c r="X67" s="882"/>
      <c r="Y67" s="334"/>
      <c r="Z67" s="882"/>
      <c r="AA67" s="882"/>
      <c r="AB67" s="334"/>
      <c r="AC67" s="882"/>
      <c r="AD67" s="882"/>
      <c r="AE67" s="334"/>
      <c r="AF67" s="882"/>
      <c r="AG67" s="882"/>
      <c r="AH67" s="334"/>
      <c r="AI67" s="882"/>
      <c r="AJ67" s="882"/>
      <c r="AK67" s="334"/>
      <c r="AL67" s="882"/>
      <c r="AM67" s="882"/>
      <c r="AN67" s="334"/>
      <c r="AO67" s="933"/>
      <c r="AP67" s="933"/>
      <c r="AQ67" s="334"/>
      <c r="AR67" s="433"/>
      <c r="AS67" s="433"/>
      <c r="AT67" s="442"/>
    </row>
    <row r="68" spans="1:46" s="461" customFormat="1" ht="20.100000000000001" customHeight="1" x14ac:dyDescent="0.35">
      <c r="A68" s="455" t="s">
        <v>236</v>
      </c>
      <c r="B68" s="882">
        <v>406.16</v>
      </c>
      <c r="C68" s="882">
        <v>406.16</v>
      </c>
      <c r="D68" s="334">
        <f>IF(B68=0, "    ---- ", IF(ABS(ROUND(100/B68*C68-100,1))&lt;999,ROUND(100/B68*C68-100,1),IF(ROUND(100/B68*C68-100,1)&gt;999,999,-999)))</f>
        <v>0</v>
      </c>
      <c r="E68" s="441">
        <v>841.3</v>
      </c>
      <c r="F68" s="441"/>
      <c r="G68" s="334">
        <f>IF(E68=0, "    ---- ", IF(ABS(ROUND(100/E68*F68-100,1))&lt;999,ROUND(100/E68*F68-100,1),IF(ROUND(100/E68*F68-100,1)&gt;999,999,-999)))</f>
        <v>-100</v>
      </c>
      <c r="H68" s="882">
        <v>7657.0531522000001</v>
      </c>
      <c r="I68" s="882">
        <v>7657.0531522000001</v>
      </c>
      <c r="J68" s="334">
        <f t="shared" si="20"/>
        <v>0</v>
      </c>
      <c r="K68" s="882">
        <v>2452.057311</v>
      </c>
      <c r="L68" s="882">
        <v>2452.057311</v>
      </c>
      <c r="M68" s="334">
        <f>IF(K68=0, "    ---- ", IF(ABS(ROUND(100/K68*L68-100,1))&lt;999,ROUND(100/K68*L68-100,1),IF(ROUND(100/K68*L68-100,1)&gt;999,999,-999)))</f>
        <v>0</v>
      </c>
      <c r="N68" s="882">
        <v>210</v>
      </c>
      <c r="O68" s="882">
        <v>210</v>
      </c>
      <c r="P68" s="334">
        <f>IF(N68=0, "    ---- ", IF(ABS(ROUND(100/N68*O68-100,1))&lt;999,ROUND(100/N68*O68-100,1),IF(ROUND(100/N68*O68-100,1)&gt;999,999,-999)))</f>
        <v>0</v>
      </c>
      <c r="Q68" s="882">
        <v>121.8</v>
      </c>
      <c r="R68" s="882">
        <v>122.2</v>
      </c>
      <c r="S68" s="431">
        <f>IF(Q68=0, "    ---- ", IF(ABS(ROUND(100/Q68*R68-100,1))&lt;999,ROUND(100/Q68*R68-100,1),IF(ROUND(100/Q68*R68-100,1)&gt;999,999,-999)))</f>
        <v>0.3</v>
      </c>
      <c r="T68" s="882">
        <v>5</v>
      </c>
      <c r="U68" s="882">
        <v>5</v>
      </c>
      <c r="V68" s="334">
        <f>IF(T68=0, "    ---- ", IF(ABS(ROUND(100/T68*U68-100,1))&lt;999,ROUND(100/T68*U68-100,1),IF(ROUND(100/T68*U68-100,1)&gt;999,999,-999)))</f>
        <v>0</v>
      </c>
      <c r="W68" s="882">
        <v>18197.213039999999</v>
      </c>
      <c r="X68" s="882">
        <v>19830.972714</v>
      </c>
      <c r="Y68" s="334">
        <f t="shared" ref="Y68:Y79" si="42">IF(W68=0, "    ---- ", IF(ABS(ROUND(100/W68*X68-100,1))&lt;999,ROUND(100/W68*X68-100,1),IF(ROUND(100/W68*X68-100,1)&gt;999,999,-999)))</f>
        <v>9</v>
      </c>
      <c r="Z68" s="882">
        <v>1126.76</v>
      </c>
      <c r="AA68" s="882">
        <v>1126.76</v>
      </c>
      <c r="AB68" s="334">
        <f t="shared" si="27"/>
        <v>0</v>
      </c>
      <c r="AC68" s="882">
        <v>1430</v>
      </c>
      <c r="AD68" s="882">
        <v>1430</v>
      </c>
      <c r="AE68" s="334">
        <f>IF(AC68=0, "    ---- ", IF(ABS(ROUND(100/AC68*AD68-100,1))&lt;999,ROUND(100/AC68*AD68-100,1),IF(ROUND(100/AC68*AD68-100,1)&gt;999,999,-999)))</f>
        <v>0</v>
      </c>
      <c r="AF68" s="882">
        <v>48.519831859999996</v>
      </c>
      <c r="AG68" s="882">
        <v>48.52</v>
      </c>
      <c r="AH68" s="334">
        <f>IF(AF68=0, "    ---- ", IF(ABS(ROUND(100/AF68*AG68-100,1))&lt;999,ROUND(100/AF68*AG68-100,1),IF(ROUND(100/AF68*AG68-100,1)&gt;999,999,-999)))</f>
        <v>0</v>
      </c>
      <c r="AI68" s="882">
        <v>4257.0320000000002</v>
      </c>
      <c r="AJ68" s="882">
        <v>4257.0320000000002</v>
      </c>
      <c r="AK68" s="334">
        <f t="shared" si="29"/>
        <v>0</v>
      </c>
      <c r="AL68" s="882">
        <v>14316</v>
      </c>
      <c r="AM68" s="882">
        <v>15150</v>
      </c>
      <c r="AN68" s="334">
        <f t="shared" si="30"/>
        <v>5.8</v>
      </c>
      <c r="AO68" s="103">
        <f t="shared" ref="AO68:AP71" si="43">B68+H68+K68+N68+Q68+W68+E68+Z68+AC68+AI68+AL68</f>
        <v>51015.375503199997</v>
      </c>
      <c r="AP68" s="103">
        <f t="shared" si="43"/>
        <v>52642.235177200004</v>
      </c>
      <c r="AQ68" s="334">
        <f t="shared" si="22"/>
        <v>3.2</v>
      </c>
      <c r="AR68" s="439">
        <f t="shared" ref="AR68:AS71" si="44">B68+H68+K68+N68+Q68+T68+W68+E68+Z68+AC68+AF68+AI68+AL68</f>
        <v>51068.895335059999</v>
      </c>
      <c r="AS68" s="439">
        <f t="shared" si="44"/>
        <v>52695.755177200001</v>
      </c>
      <c r="AT68" s="442">
        <f t="shared" si="25"/>
        <v>3.2</v>
      </c>
    </row>
    <row r="69" spans="1:46" s="461" customFormat="1" ht="20.100000000000001" customHeight="1" x14ac:dyDescent="0.35">
      <c r="A69" s="455" t="s">
        <v>237</v>
      </c>
      <c r="B69" s="882">
        <v>591.11900000000003</v>
      </c>
      <c r="C69" s="882">
        <v>704.83100000000002</v>
      </c>
      <c r="D69" s="334">
        <f>IF(B69=0, "    ---- ", IF(ABS(ROUND(100/B69*C69-100,1))&lt;999,ROUND(100/B69*C69-100,1),IF(ROUND(100/B69*C69-100,1)&gt;999,999,-999)))</f>
        <v>19.2</v>
      </c>
      <c r="E69" s="441">
        <v>-231.3</v>
      </c>
      <c r="F69" s="441"/>
      <c r="G69" s="334">
        <f>IF(E69=0, "    ---- ", IF(ABS(ROUND(100/E69*F69-100,1))&lt;999,ROUND(100/E69*F69-100,1),IF(ROUND(100/E69*F69-100,1)&gt;999,999,-999)))</f>
        <v>-100</v>
      </c>
      <c r="H69" s="882">
        <v>16760.448882150002</v>
      </c>
      <c r="I69" s="882">
        <v>17685.655598959998</v>
      </c>
      <c r="J69" s="334">
        <f t="shared" si="20"/>
        <v>5.5</v>
      </c>
      <c r="K69" s="882">
        <v>16.788349150000119</v>
      </c>
      <c r="L69" s="882">
        <v>-22.202079549998089</v>
      </c>
      <c r="M69" s="334">
        <f>IF(K69=0, "    ---- ", IF(ABS(ROUND(100/K69*L69-100,1))&lt;999,ROUND(100/K69*L69-100,1),IF(ROUND(100/K69*L69-100,1)&gt;999,999,-999)))</f>
        <v>-232.2</v>
      </c>
      <c r="N69" s="882">
        <v>547.34100000000001</v>
      </c>
      <c r="O69" s="882">
        <v>367.40600000000001</v>
      </c>
      <c r="P69" s="334">
        <f>IF(N69=0, "    ---- ", IF(ABS(ROUND(100/N69*O69-100,1))&lt;999,ROUND(100/N69*O69-100,1),IF(ROUND(100/N69*O69-100,1)&gt;999,999,-999)))</f>
        <v>-32.9</v>
      </c>
      <c r="Q69" s="882">
        <v>905</v>
      </c>
      <c r="R69" s="882">
        <v>917</v>
      </c>
      <c r="S69" s="431">
        <f>IF(Q69=0, "    ---- ", IF(ABS(ROUND(100/Q69*R69-100,1))&lt;999,ROUND(100/Q69*R69-100,1),IF(ROUND(100/Q69*R69-100,1)&gt;999,999,-999)))</f>
        <v>1.3</v>
      </c>
      <c r="T69" s="882">
        <v>98.916652670000005</v>
      </c>
      <c r="U69" s="882">
        <v>109.32599999999999</v>
      </c>
      <c r="V69" s="334">
        <f>IF(T69=0, "    ---- ", IF(ABS(ROUND(100/T69*U69-100,1))&lt;999,ROUND(100/T69*U69-100,1),IF(ROUND(100/T69*U69-100,1)&gt;999,999,-999)))</f>
        <v>10.5</v>
      </c>
      <c r="W69" s="882">
        <v>21191.336647669999</v>
      </c>
      <c r="X69" s="882">
        <v>20846.561301669997</v>
      </c>
      <c r="Y69" s="334">
        <f t="shared" si="42"/>
        <v>-1.6</v>
      </c>
      <c r="Z69" s="882">
        <v>7414.9</v>
      </c>
      <c r="AA69" s="882">
        <v>8099.18</v>
      </c>
      <c r="AB69" s="334">
        <f t="shared" si="27"/>
        <v>9.1999999999999993</v>
      </c>
      <c r="AC69" s="882">
        <v>9052</v>
      </c>
      <c r="AD69" s="882">
        <v>9909</v>
      </c>
      <c r="AE69" s="334">
        <f>IF(AC69=0, "    ---- ", IF(ABS(ROUND(100/AC69*AD69-100,1))&lt;999,ROUND(100/AC69*AD69-100,1),IF(ROUND(100/AC69*AD69-100,1)&gt;999,999,-999)))</f>
        <v>9.5</v>
      </c>
      <c r="AF69" s="882">
        <v>27.86900915</v>
      </c>
      <c r="AG69" s="882">
        <v>41.354999999999997</v>
      </c>
      <c r="AH69" s="334">
        <f>IF(AF69=0, "    ---- ", IF(ABS(ROUND(100/AF69*AG69-100,1))&lt;999,ROUND(100/AF69*AG69-100,1),IF(ROUND(100/AF69*AG69-100,1)&gt;999,999,-999)))</f>
        <v>48.4</v>
      </c>
      <c r="AI69" s="882">
        <v>901.95899999999995</v>
      </c>
      <c r="AJ69" s="882">
        <v>1679.9269999999999</v>
      </c>
      <c r="AK69" s="334">
        <f t="shared" si="29"/>
        <v>86.3</v>
      </c>
      <c r="AL69" s="882">
        <v>11172</v>
      </c>
      <c r="AM69" s="882">
        <v>10567</v>
      </c>
      <c r="AN69" s="334">
        <f t="shared" si="30"/>
        <v>-5.4</v>
      </c>
      <c r="AO69" s="103">
        <f t="shared" si="43"/>
        <v>68321.592878969997</v>
      </c>
      <c r="AP69" s="103">
        <f t="shared" si="43"/>
        <v>70754.358821079994</v>
      </c>
      <c r="AQ69" s="334">
        <f t="shared" si="22"/>
        <v>3.6</v>
      </c>
      <c r="AR69" s="439">
        <f t="shared" si="44"/>
        <v>68448.37854079</v>
      </c>
      <c r="AS69" s="439">
        <f t="shared" si="44"/>
        <v>70905.03982107999</v>
      </c>
      <c r="AT69" s="442">
        <f t="shared" si="25"/>
        <v>3.6</v>
      </c>
    </row>
    <row r="70" spans="1:46" s="461" customFormat="1" ht="20.100000000000001" customHeight="1" x14ac:dyDescent="0.35">
      <c r="A70" s="455" t="s">
        <v>238</v>
      </c>
      <c r="B70" s="882">
        <v>8.0370000000000008</v>
      </c>
      <c r="C70" s="882">
        <v>11.117000000000001</v>
      </c>
      <c r="D70" s="334">
        <f>IF(B70=0, "    ---- ", IF(ABS(ROUND(100/B70*C70-100,1))&lt;999,ROUND(100/B70*C70-100,1),IF(ROUND(100/B70*C70-100,1)&gt;999,999,-999)))</f>
        <v>38.299999999999997</v>
      </c>
      <c r="E70" s="441">
        <v>0</v>
      </c>
      <c r="F70" s="441"/>
      <c r="G70" s="334" t="str">
        <f>IF(E70=0, "    ---- ", IF(ABS(ROUND(100/E70*F70-100,1))&lt;999,ROUND(100/E70*F70-100,1),IF(ROUND(100/E70*F70-100,1)&gt;999,999,-999)))</f>
        <v xml:space="preserve">    ---- </v>
      </c>
      <c r="H70" s="882">
        <v>808.35995328000001</v>
      </c>
      <c r="I70" s="882">
        <v>929.41688958999998</v>
      </c>
      <c r="J70" s="334">
        <f>IF(H70=0, "    ---- ", IF(ABS(ROUND(100/H70*I70-100,1))&lt;999,ROUND(100/H70*I70-100,1),IF(ROUND(100/H70*I70-100,1)&gt;999,999,-999)))</f>
        <v>15</v>
      </c>
      <c r="K70" s="882"/>
      <c r="L70" s="882"/>
      <c r="M70" s="334"/>
      <c r="N70" s="882"/>
      <c r="O70" s="882"/>
      <c r="P70" s="334"/>
      <c r="Q70" s="882">
        <v>35.200000000000003</v>
      </c>
      <c r="R70" s="882">
        <v>39.299999999999997</v>
      </c>
      <c r="S70" s="334">
        <f>IF(Q70=0, "    ---- ", IF(ABS(ROUND(100/Q70*R70-100,1))&lt;999,ROUND(100/Q70*R70-100,1),IF(ROUND(100/Q70*R70-100,1)&gt;999,999,-999)))</f>
        <v>11.6</v>
      </c>
      <c r="T70" s="882"/>
      <c r="U70" s="882"/>
      <c r="V70" s="334"/>
      <c r="W70" s="882">
        <v>5404.3820040000001</v>
      </c>
      <c r="X70" s="882">
        <v>4370.4553580000002</v>
      </c>
      <c r="Y70" s="334">
        <f t="shared" si="42"/>
        <v>-19.100000000000001</v>
      </c>
      <c r="Z70" s="882">
        <v>53.98</v>
      </c>
      <c r="AA70" s="882">
        <v>117.78</v>
      </c>
      <c r="AB70" s="334">
        <f t="shared" si="27"/>
        <v>118.2</v>
      </c>
      <c r="AC70" s="882">
        <v>1852</v>
      </c>
      <c r="AD70" s="882">
        <v>2001</v>
      </c>
      <c r="AE70" s="334">
        <f>IF(AC70=0, "    ---- ", IF(ABS(ROUND(100/AC70*AD70-100,1))&lt;999,ROUND(100/AC70*AD70-100,1),IF(ROUND(100/AC70*AD70-100,1)&gt;999,999,-999)))</f>
        <v>8</v>
      </c>
      <c r="AF70" s="882"/>
      <c r="AG70" s="882"/>
      <c r="AH70" s="334"/>
      <c r="AI70" s="882">
        <v>151.26400000000001</v>
      </c>
      <c r="AJ70" s="882">
        <v>213.56800000000001</v>
      </c>
      <c r="AK70" s="334">
        <f>IF(AI70=0, "    ---- ", IF(ABS(ROUND(100/AI70*AJ70-100,1))&lt;999,ROUND(100/AI70*AJ70-100,1),IF(ROUND(100/AI70*AJ70-100,1)&gt;999,999,-999)))</f>
        <v>41.2</v>
      </c>
      <c r="AL70" s="882">
        <v>438</v>
      </c>
      <c r="AM70" s="882">
        <v>547</v>
      </c>
      <c r="AN70" s="334">
        <f t="shared" si="30"/>
        <v>24.9</v>
      </c>
      <c r="AO70" s="103">
        <f t="shared" si="43"/>
        <v>8751.2229572799988</v>
      </c>
      <c r="AP70" s="103">
        <f t="shared" si="43"/>
        <v>8229.6372475899989</v>
      </c>
      <c r="AQ70" s="334">
        <f t="shared" si="22"/>
        <v>-6</v>
      </c>
      <c r="AR70" s="439">
        <f t="shared" si="44"/>
        <v>8751.2229572799988</v>
      </c>
      <c r="AS70" s="439">
        <f t="shared" si="44"/>
        <v>8229.6372475899989</v>
      </c>
      <c r="AT70" s="442">
        <f t="shared" si="25"/>
        <v>-6</v>
      </c>
    </row>
    <row r="71" spans="1:46" s="461" customFormat="1" ht="20.100000000000001" customHeight="1" x14ac:dyDescent="0.35">
      <c r="A71" s="455" t="s">
        <v>239</v>
      </c>
      <c r="B71" s="882"/>
      <c r="C71" s="882"/>
      <c r="D71" s="334"/>
      <c r="E71" s="441"/>
      <c r="F71" s="441"/>
      <c r="G71" s="334"/>
      <c r="H71" s="882">
        <v>7000</v>
      </c>
      <c r="I71" s="882">
        <v>7000</v>
      </c>
      <c r="J71" s="334">
        <f t="shared" si="20"/>
        <v>0</v>
      </c>
      <c r="K71" s="882">
        <v>550</v>
      </c>
      <c r="L71" s="882">
        <v>550</v>
      </c>
      <c r="M71" s="334"/>
      <c r="N71" s="882"/>
      <c r="O71" s="882"/>
      <c r="P71" s="334"/>
      <c r="Q71" s="882">
        <v>299.89999999999998</v>
      </c>
      <c r="R71" s="882">
        <v>300.3</v>
      </c>
      <c r="S71" s="334">
        <f>IF(Q71=0, "    ---- ", IF(ABS(ROUND(100/Q71*R71-100,1))&lt;999,ROUND(100/Q71*R71-100,1),IF(ROUND(100/Q71*R71-100,1)&gt;999,999,-999)))</f>
        <v>0.1</v>
      </c>
      <c r="T71" s="882"/>
      <c r="U71" s="882"/>
      <c r="V71" s="334"/>
      <c r="W71" s="882">
        <v>4898.3436757200006</v>
      </c>
      <c r="X71" s="882">
        <v>4604.26662786</v>
      </c>
      <c r="Y71" s="334">
        <f t="shared" si="42"/>
        <v>-6</v>
      </c>
      <c r="Z71" s="882">
        <v>2830</v>
      </c>
      <c r="AA71" s="882">
        <v>2830</v>
      </c>
      <c r="AB71" s="334">
        <f t="shared" si="27"/>
        <v>0</v>
      </c>
      <c r="AC71" s="882">
        <v>1240</v>
      </c>
      <c r="AD71" s="882">
        <v>1240</v>
      </c>
      <c r="AE71" s="334">
        <f>IF(AC71=0, "    ---- ", IF(ABS(ROUND(100/AC71*AD71-100,1))&lt;999,ROUND(100/AC71*AD71-100,1),IF(ROUND(100/AC71*AD71-100,1)&gt;999,999,-999)))</f>
        <v>0</v>
      </c>
      <c r="AF71" s="882"/>
      <c r="AG71" s="882"/>
      <c r="AH71" s="334"/>
      <c r="AI71" s="882">
        <v>1000</v>
      </c>
      <c r="AJ71" s="882"/>
      <c r="AK71" s="334">
        <f t="shared" si="29"/>
        <v>-100</v>
      </c>
      <c r="AL71" s="882">
        <v>8834</v>
      </c>
      <c r="AM71" s="882">
        <v>10865</v>
      </c>
      <c r="AN71" s="334">
        <f t="shared" si="30"/>
        <v>23</v>
      </c>
      <c r="AO71" s="103">
        <f t="shared" si="43"/>
        <v>26652.243675720001</v>
      </c>
      <c r="AP71" s="103">
        <f t="shared" si="43"/>
        <v>27389.56662786</v>
      </c>
      <c r="AQ71" s="334">
        <f t="shared" si="22"/>
        <v>2.8</v>
      </c>
      <c r="AR71" s="439">
        <f t="shared" si="44"/>
        <v>26652.243675720001</v>
      </c>
      <c r="AS71" s="439">
        <f t="shared" si="44"/>
        <v>27389.56662786</v>
      </c>
      <c r="AT71" s="442">
        <f t="shared" si="25"/>
        <v>2.8</v>
      </c>
    </row>
    <row r="72" spans="1:46" s="461" customFormat="1" ht="20.100000000000001" customHeight="1" x14ac:dyDescent="0.35">
      <c r="A72" s="455" t="s">
        <v>240</v>
      </c>
      <c r="B72" s="882"/>
      <c r="C72" s="882"/>
      <c r="D72" s="334"/>
      <c r="E72" s="441"/>
      <c r="F72" s="441"/>
      <c r="G72" s="334"/>
      <c r="H72" s="882"/>
      <c r="I72" s="882"/>
      <c r="J72" s="334"/>
      <c r="K72" s="882"/>
      <c r="L72" s="882"/>
      <c r="M72" s="334"/>
      <c r="N72" s="882"/>
      <c r="O72" s="882"/>
      <c r="P72" s="334"/>
      <c r="Q72" s="882"/>
      <c r="R72" s="882"/>
      <c r="S72" s="431"/>
      <c r="T72" s="882"/>
      <c r="U72" s="882"/>
      <c r="V72" s="334"/>
      <c r="W72" s="882">
        <v>0</v>
      </c>
      <c r="X72" s="882">
        <v>0</v>
      </c>
      <c r="Y72" s="334" t="str">
        <f t="shared" si="42"/>
        <v xml:space="preserve">    ---- </v>
      </c>
      <c r="Z72" s="882"/>
      <c r="AA72" s="882"/>
      <c r="AB72" s="334"/>
      <c r="AC72" s="882"/>
      <c r="AD72" s="882"/>
      <c r="AE72" s="334"/>
      <c r="AF72" s="882"/>
      <c r="AG72" s="882"/>
      <c r="AH72" s="334"/>
      <c r="AI72" s="882"/>
      <c r="AJ72" s="882"/>
      <c r="AK72" s="334"/>
      <c r="AL72" s="882"/>
      <c r="AM72" s="882"/>
      <c r="AN72" s="334"/>
      <c r="AO72" s="933"/>
      <c r="AP72" s="933"/>
      <c r="AQ72" s="334"/>
      <c r="AR72" s="433"/>
      <c r="AS72" s="433"/>
      <c r="AT72" s="442"/>
    </row>
    <row r="73" spans="1:46" s="461" customFormat="1" ht="20.100000000000001" customHeight="1" x14ac:dyDescent="0.35">
      <c r="A73" s="455" t="s">
        <v>474</v>
      </c>
      <c r="B73" s="882">
        <v>1154.145</v>
      </c>
      <c r="C73" s="882">
        <v>1256.4069999999999</v>
      </c>
      <c r="D73" s="334">
        <f>IF(B73=0, "    ---- ", IF(ABS(ROUND(100/B73*C73-100,1))&lt;999,ROUND(100/B73*C73-100,1),IF(ROUND(100/B73*C73-100,1)&gt;999,999,-999)))</f>
        <v>8.9</v>
      </c>
      <c r="E73" s="441">
        <v>1659.4</v>
      </c>
      <c r="F73" s="441"/>
      <c r="G73" s="334">
        <f>IF(E73=0, "    ---- ", IF(ABS(ROUND(100/E73*F73-100,1))&lt;999,ROUND(100/E73*F73-100,1),IF(ROUND(100/E73*F73-100,1)&gt;999,999,-999)))</f>
        <v>-100</v>
      </c>
      <c r="H73" s="882">
        <v>188967.63577585001</v>
      </c>
      <c r="I73" s="882">
        <v>185986.04071231</v>
      </c>
      <c r="J73" s="334">
        <f t="shared" si="20"/>
        <v>-1.6</v>
      </c>
      <c r="K73" s="882">
        <v>6910.7972828900001</v>
      </c>
      <c r="L73" s="882">
        <v>7489.2467585299964</v>
      </c>
      <c r="M73" s="334">
        <f>IF(K73=0, "    ---- ", IF(ABS(ROUND(100/K73*L73-100,1))&lt;999,ROUND(100/K73*L73-100,1),IF(ROUND(100/K73*L73-100,1)&gt;999,999,-999)))</f>
        <v>8.4</v>
      </c>
      <c r="N73" s="882">
        <v>962.85599999999999</v>
      </c>
      <c r="O73" s="882">
        <v>1169.421</v>
      </c>
      <c r="P73" s="334">
        <f>IF(N73=0, "    ---- ", IF(ABS(ROUND(100/N73*O73-100,1))&lt;999,ROUND(100/N73*O73-100,1),IF(ROUND(100/N73*O73-100,1)&gt;999,999,-999)))</f>
        <v>21.5</v>
      </c>
      <c r="Q73" s="882">
        <v>7364.1</v>
      </c>
      <c r="R73" s="882">
        <v>7894.5</v>
      </c>
      <c r="S73" s="431">
        <f>IF(Q73=0, "    ---- ", IF(ABS(ROUND(100/Q73*R73-100,1))&lt;999,ROUND(100/Q73*R73-100,1),IF(ROUND(100/Q73*R73-100,1)&gt;999,999,-999)))</f>
        <v>7.2</v>
      </c>
      <c r="T73" s="882">
        <v>47.446377820000002</v>
      </c>
      <c r="U73" s="882">
        <v>41.207000000000001</v>
      </c>
      <c r="V73" s="334">
        <f>IF(T73=0, "    ---- ", IF(ABS(ROUND(100/T73*U73-100,1))&lt;999,ROUND(100/T73*U73-100,1),IF(ROUND(100/T73*U73-100,1)&gt;999,999,-999)))</f>
        <v>-13.2</v>
      </c>
      <c r="W73" s="882">
        <v>456054.73747088999</v>
      </c>
      <c r="X73" s="882">
        <v>484728.08347910998</v>
      </c>
      <c r="Y73" s="334">
        <f t="shared" si="42"/>
        <v>6.3</v>
      </c>
      <c r="Z73" s="882">
        <v>47225.86</v>
      </c>
      <c r="AA73" s="882">
        <v>47749.66</v>
      </c>
      <c r="AB73" s="334">
        <f t="shared" si="27"/>
        <v>1.1000000000000001</v>
      </c>
      <c r="AC73" s="882">
        <v>66749</v>
      </c>
      <c r="AD73" s="882">
        <v>72092</v>
      </c>
      <c r="AE73" s="334">
        <f>IF(AC73=0, "    ---- ", IF(ABS(ROUND(100/AC73*AD73-100,1))&lt;999,ROUND(100/AC73*AD73-100,1),IF(ROUND(100/AC73*AD73-100,1)&gt;999,999,-999)))</f>
        <v>8</v>
      </c>
      <c r="AF73" s="882"/>
      <c r="AG73" s="882"/>
      <c r="AH73" s="334"/>
      <c r="AI73" s="882">
        <v>17904.991999999998</v>
      </c>
      <c r="AJ73" s="882">
        <v>18883.72</v>
      </c>
      <c r="AK73" s="334">
        <f t="shared" si="29"/>
        <v>5.5</v>
      </c>
      <c r="AL73" s="882">
        <v>172089</v>
      </c>
      <c r="AM73" s="882">
        <v>180684.2</v>
      </c>
      <c r="AN73" s="334">
        <f t="shared" si="30"/>
        <v>5</v>
      </c>
      <c r="AO73" s="103">
        <f t="shared" ref="AO73:AP79" si="45">B73+H73+K73+N73+Q73+W73+E73+Z73+AC73+AI73+AL73</f>
        <v>967042.52352963004</v>
      </c>
      <c r="AP73" s="103">
        <f t="shared" si="45"/>
        <v>1007933.2789499501</v>
      </c>
      <c r="AQ73" s="334">
        <f t="shared" si="22"/>
        <v>4.2</v>
      </c>
      <c r="AR73" s="439">
        <f t="shared" ref="AR73:AS79" si="46">B73+H73+K73+N73+Q73+T73+W73+E73+Z73+AC73+AF73+AI73+AL73</f>
        <v>967089.96990744991</v>
      </c>
      <c r="AS73" s="439">
        <f t="shared" si="46"/>
        <v>1007974.4859499501</v>
      </c>
      <c r="AT73" s="442">
        <f t="shared" si="25"/>
        <v>4.2</v>
      </c>
    </row>
    <row r="74" spans="1:46" s="461" customFormat="1" ht="20.100000000000001" customHeight="1" x14ac:dyDescent="0.35">
      <c r="A74" s="455" t="s">
        <v>241</v>
      </c>
      <c r="B74" s="882">
        <v>26.605</v>
      </c>
      <c r="C74" s="882">
        <v>29.785</v>
      </c>
      <c r="D74" s="334">
        <f>IF(B74=0, "    ---- ", IF(ABS(ROUND(100/B74*C74-100,1))&lt;999,ROUND(100/B74*C74-100,1),IF(ROUND(100/B74*C74-100,1)&gt;999,999,-999)))</f>
        <v>12</v>
      </c>
      <c r="E74" s="441">
        <v>109.2</v>
      </c>
      <c r="F74" s="441"/>
      <c r="G74" s="334">
        <f>IF(E74=0, "    ---- ", IF(ABS(ROUND(100/E74*F74-100,1))&lt;999,ROUND(100/E74*F74-100,1),IF(ROUND(100/E74*F74-100,1)&gt;999,999,-999)))</f>
        <v>-100</v>
      </c>
      <c r="H74" s="882">
        <v>6134.3796312700006</v>
      </c>
      <c r="I74" s="882">
        <v>7351.2143255299998</v>
      </c>
      <c r="J74" s="334">
        <f t="shared" si="20"/>
        <v>19.8</v>
      </c>
      <c r="K74" s="882"/>
      <c r="L74" s="882"/>
      <c r="M74" s="334"/>
      <c r="N74" s="882">
        <v>5.7919999999999998</v>
      </c>
      <c r="O74" s="882">
        <v>4.569</v>
      </c>
      <c r="P74" s="334">
        <f>IF(N74=0, "    ---- ", IF(ABS(ROUND(100/N74*O74-100,1))&lt;999,ROUND(100/N74*O74-100,1),IF(ROUND(100/N74*O74-100,1)&gt;999,999,-999)))</f>
        <v>-21.1</v>
      </c>
      <c r="Q74" s="882">
        <v>295.8</v>
      </c>
      <c r="R74" s="882">
        <v>332.1</v>
      </c>
      <c r="S74" s="431">
        <f>IF(Q74=0, "    ---- ", IF(ABS(ROUND(100/Q74*R74-100,1))&lt;999,ROUND(100/Q74*R74-100,1),IF(ROUND(100/Q74*R74-100,1)&gt;999,999,-999)))</f>
        <v>12.3</v>
      </c>
      <c r="T74" s="882"/>
      <c r="U74" s="882"/>
      <c r="V74" s="334"/>
      <c r="W74" s="882">
        <v>43325.203834</v>
      </c>
      <c r="X74" s="882">
        <v>48625.802113999998</v>
      </c>
      <c r="Y74" s="334">
        <f t="shared" si="42"/>
        <v>12.2</v>
      </c>
      <c r="Z74" s="882">
        <v>2615.91</v>
      </c>
      <c r="AA74" s="882">
        <v>3881.27</v>
      </c>
      <c r="AB74" s="334">
        <f t="shared" si="27"/>
        <v>48.4</v>
      </c>
      <c r="AC74" s="882">
        <v>7886</v>
      </c>
      <c r="AD74" s="882">
        <v>8555</v>
      </c>
      <c r="AE74" s="334">
        <f>IF(AC74=0, "    ---- ", IF(ABS(ROUND(100/AC74*AD74-100,1))&lt;999,ROUND(100/AC74*AD74-100,1),IF(ROUND(100/AC74*AD74-100,1)&gt;999,999,-999)))</f>
        <v>8.5</v>
      </c>
      <c r="AF74" s="882"/>
      <c r="AG74" s="882"/>
      <c r="AH74" s="334"/>
      <c r="AI74" s="882">
        <v>1206.6179999999999</v>
      </c>
      <c r="AJ74" s="882">
        <v>1416.7090000000001</v>
      </c>
      <c r="AK74" s="334">
        <f t="shared" si="29"/>
        <v>17.399999999999999</v>
      </c>
      <c r="AL74" s="882">
        <v>11380</v>
      </c>
      <c r="AM74" s="882">
        <v>13602.4</v>
      </c>
      <c r="AN74" s="334">
        <f t="shared" si="30"/>
        <v>19.5</v>
      </c>
      <c r="AO74" s="103">
        <f t="shared" si="45"/>
        <v>72985.508465270002</v>
      </c>
      <c r="AP74" s="103">
        <f t="shared" si="45"/>
        <v>83798.849439529993</v>
      </c>
      <c r="AQ74" s="334">
        <f t="shared" si="22"/>
        <v>14.8</v>
      </c>
      <c r="AR74" s="439">
        <f t="shared" si="46"/>
        <v>72985.508465270002</v>
      </c>
      <c r="AS74" s="439">
        <f t="shared" si="46"/>
        <v>83798.849439529993</v>
      </c>
      <c r="AT74" s="442">
        <f t="shared" si="25"/>
        <v>14.8</v>
      </c>
    </row>
    <row r="75" spans="1:46" s="461" customFormat="1" ht="20.100000000000001" customHeight="1" x14ac:dyDescent="0.35">
      <c r="A75" s="455" t="s">
        <v>242</v>
      </c>
      <c r="B75" s="882">
        <v>68.406000000000006</v>
      </c>
      <c r="C75" s="882">
        <v>53.637</v>
      </c>
      <c r="D75" s="334">
        <f>IF(B75=0, "    ---- ", IF(ABS(ROUND(100/B75*C75-100,1))&lt;999,ROUND(100/B75*C75-100,1),IF(ROUND(100/B75*C75-100,1)&gt;999,999,-999)))</f>
        <v>-21.6</v>
      </c>
      <c r="E75" s="441">
        <v>0</v>
      </c>
      <c r="F75" s="441"/>
      <c r="G75" s="334" t="str">
        <f>IF(E75=0, "    ---- ", IF(ABS(ROUND(100/E75*F75-100,1))&lt;999,ROUND(100/E75*F75-100,1),IF(ROUND(100/E75*F75-100,1)&gt;999,999,-999)))</f>
        <v xml:space="preserve">    ---- </v>
      </c>
      <c r="H75" s="882">
        <v>2626.8901697699998</v>
      </c>
      <c r="I75" s="882">
        <v>3204.3463927899998</v>
      </c>
      <c r="J75" s="334">
        <f t="shared" si="20"/>
        <v>22</v>
      </c>
      <c r="K75" s="882">
        <v>46.184984680000014</v>
      </c>
      <c r="L75" s="882">
        <v>5.9795832399999966</v>
      </c>
      <c r="M75" s="334">
        <f>IF(K75=0, "    ---- ", IF(ABS(ROUND(100/K75*L75-100,1))&lt;999,ROUND(100/K75*L75-100,1),IF(ROUND(100/K75*L75-100,1)&gt;999,999,-999)))</f>
        <v>-87.1</v>
      </c>
      <c r="N75" s="882">
        <v>6.9</v>
      </c>
      <c r="O75" s="882"/>
      <c r="P75" s="334">
        <f>IF(N75=0, "    ---- ", IF(ABS(ROUND(100/N75*O75-100,1))&lt;999,ROUND(100/N75*O75-100,1),IF(ROUND(100/N75*O75-100,1)&gt;999,999,-999)))</f>
        <v>-100</v>
      </c>
      <c r="Q75" s="882">
        <v>1.6</v>
      </c>
      <c r="R75" s="882">
        <v>11.8</v>
      </c>
      <c r="S75" s="431">
        <f>IF(Q75=0, "    ---- ", IF(ABS(ROUND(100/Q75*R75-100,1))&lt;999,ROUND(100/Q75*R75-100,1),IF(ROUND(100/Q75*R75-100,1)&gt;999,999,-999)))</f>
        <v>637.5</v>
      </c>
      <c r="T75" s="882"/>
      <c r="U75" s="882"/>
      <c r="V75" s="334"/>
      <c r="W75" s="882">
        <v>55137.488722000002</v>
      </c>
      <c r="X75" s="882">
        <v>77396.876943130002</v>
      </c>
      <c r="Y75" s="334">
        <f t="shared" si="42"/>
        <v>40.4</v>
      </c>
      <c r="Z75" s="882">
        <v>2340</v>
      </c>
      <c r="AA75" s="882">
        <v>3386.48</v>
      </c>
      <c r="AB75" s="334">
        <f t="shared" si="27"/>
        <v>44.7</v>
      </c>
      <c r="AC75" s="882">
        <v>17605</v>
      </c>
      <c r="AD75" s="882">
        <v>21261</v>
      </c>
      <c r="AE75" s="334">
        <f>IF(AC75=0, "    ---- ", IF(ABS(ROUND(100/AC75*AD75-100,1))&lt;999,ROUND(100/AC75*AD75-100,1),IF(ROUND(100/AC75*AD75-100,1)&gt;999,999,-999)))</f>
        <v>20.8</v>
      </c>
      <c r="AF75" s="882"/>
      <c r="AG75" s="882"/>
      <c r="AH75" s="334"/>
      <c r="AI75" s="882">
        <v>2806.3910000000001</v>
      </c>
      <c r="AJ75" s="882">
        <v>2736.431</v>
      </c>
      <c r="AK75" s="334">
        <f t="shared" si="29"/>
        <v>-2.5</v>
      </c>
      <c r="AL75" s="882">
        <v>7170</v>
      </c>
      <c r="AM75" s="882">
        <v>6309.4</v>
      </c>
      <c r="AN75" s="334">
        <f t="shared" si="30"/>
        <v>-12</v>
      </c>
      <c r="AO75" s="103">
        <f t="shared" si="45"/>
        <v>87808.860876449995</v>
      </c>
      <c r="AP75" s="103">
        <f t="shared" si="45"/>
        <v>114365.95091915999</v>
      </c>
      <c r="AQ75" s="334">
        <f t="shared" si="22"/>
        <v>30.2</v>
      </c>
      <c r="AR75" s="439">
        <f t="shared" si="46"/>
        <v>87808.860876449995</v>
      </c>
      <c r="AS75" s="439">
        <f t="shared" si="46"/>
        <v>114365.95091915999</v>
      </c>
      <c r="AT75" s="442">
        <f t="shared" si="25"/>
        <v>30.2</v>
      </c>
    </row>
    <row r="76" spans="1:46" s="461" customFormat="1" ht="20.100000000000001" customHeight="1" x14ac:dyDescent="0.35">
      <c r="A76" s="455" t="s">
        <v>475</v>
      </c>
      <c r="B76" s="882">
        <v>16.077000000000002</v>
      </c>
      <c r="C76" s="882">
        <v>13.576000000000001</v>
      </c>
      <c r="D76" s="334">
        <f>IF(B76=0, "    ---- ", IF(ABS(ROUND(100/B76*C76-100,1))&lt;999,ROUND(100/B76*C76-100,1),IF(ROUND(100/B76*C76-100,1)&gt;999,999,-999)))</f>
        <v>-15.6</v>
      </c>
      <c r="E76" s="441">
        <v>33.4</v>
      </c>
      <c r="F76" s="441"/>
      <c r="G76" s="334">
        <f>IF(E76=0, "    ---- ", IF(ABS(ROUND(100/E76*F76-100,1))&lt;999,ROUND(100/E76*F76-100,1),IF(ROUND(100/E76*F76-100,1)&gt;999,999,-999)))</f>
        <v>-100</v>
      </c>
      <c r="H76" s="882">
        <v>543.86457516999997</v>
      </c>
      <c r="I76" s="882">
        <v>468.92188654</v>
      </c>
      <c r="J76" s="334">
        <f t="shared" si="20"/>
        <v>-13.8</v>
      </c>
      <c r="K76" s="882"/>
      <c r="L76" s="882"/>
      <c r="M76" s="334"/>
      <c r="N76" s="882"/>
      <c r="O76" s="882"/>
      <c r="P76" s="334"/>
      <c r="Q76" s="882">
        <v>2.7</v>
      </c>
      <c r="R76" s="882">
        <v>3.6</v>
      </c>
      <c r="S76" s="334">
        <f>IF(Q76=0, "    ---- ", IF(ABS(ROUND(100/Q76*R76-100,1))&lt;999,ROUND(100/Q76*R76-100,1),IF(ROUND(100/Q76*R76-100,1)&gt;999,999,-999)))</f>
        <v>33.299999999999997</v>
      </c>
      <c r="T76" s="882"/>
      <c r="U76" s="882"/>
      <c r="V76" s="334"/>
      <c r="W76" s="882">
        <v>38187.132681000003</v>
      </c>
      <c r="X76" s="882">
        <v>40769.107400089997</v>
      </c>
      <c r="Y76" s="334">
        <f t="shared" si="42"/>
        <v>6.8</v>
      </c>
      <c r="Z76" s="882">
        <v>845.39</v>
      </c>
      <c r="AA76" s="882">
        <v>791.45</v>
      </c>
      <c r="AB76" s="334">
        <f t="shared" si="27"/>
        <v>-6.4</v>
      </c>
      <c r="AC76" s="882">
        <v>7077</v>
      </c>
      <c r="AD76" s="882">
        <v>9577</v>
      </c>
      <c r="AE76" s="334">
        <f t="shared" ref="AE76:AE78" si="47">IF(AC76=0, "    ---- ", IF(ABS(ROUND(100/AC76*AD76-100,1))&lt;999,ROUND(100/AC76*AD76-100,1),IF(ROUND(100/AC76*AD76-100,1)&gt;999,999,-999)))</f>
        <v>35.299999999999997</v>
      </c>
      <c r="AF76" s="882"/>
      <c r="AG76" s="882"/>
      <c r="AH76" s="334"/>
      <c r="AI76" s="882">
        <v>264.36</v>
      </c>
      <c r="AJ76" s="882">
        <v>450.54399999999998</v>
      </c>
      <c r="AK76" s="334">
        <f t="shared" si="29"/>
        <v>70.400000000000006</v>
      </c>
      <c r="AL76" s="882">
        <v>2266</v>
      </c>
      <c r="AM76" s="882">
        <v>3501.3</v>
      </c>
      <c r="AN76" s="334">
        <f t="shared" si="30"/>
        <v>54.5</v>
      </c>
      <c r="AO76" s="103">
        <f t="shared" si="45"/>
        <v>49235.924256170001</v>
      </c>
      <c r="AP76" s="103">
        <f t="shared" si="45"/>
        <v>55575.499286630002</v>
      </c>
      <c r="AQ76" s="334">
        <f t="shared" si="22"/>
        <v>12.9</v>
      </c>
      <c r="AR76" s="439">
        <f t="shared" si="46"/>
        <v>49235.924256170001</v>
      </c>
      <c r="AS76" s="439">
        <f t="shared" si="46"/>
        <v>55575.499286630002</v>
      </c>
      <c r="AT76" s="442">
        <f t="shared" si="25"/>
        <v>12.9</v>
      </c>
    </row>
    <row r="77" spans="1:46" s="461" customFormat="1" ht="20.100000000000001" customHeight="1" x14ac:dyDescent="0.35">
      <c r="A77" s="455" t="s">
        <v>361</v>
      </c>
      <c r="B77" s="882">
        <v>54.915999999999997</v>
      </c>
      <c r="C77" s="882">
        <v>45.398000000000003</v>
      </c>
      <c r="D77" s="334">
        <f>IF(B77=0, "    ---- ", IF(ABS(ROUND(100/B77*C77-100,1))&lt;999,ROUND(100/B77*C77-100,1),IF(ROUND(100/B77*C77-100,1)&gt;999,999,-999)))</f>
        <v>-17.3</v>
      </c>
      <c r="E77" s="441"/>
      <c r="F77" s="441"/>
      <c r="G77" s="334"/>
      <c r="H77" s="882">
        <v>203.66046932</v>
      </c>
      <c r="I77" s="882">
        <v>2390.59347544</v>
      </c>
      <c r="J77" s="334">
        <f t="shared" si="20"/>
        <v>999</v>
      </c>
      <c r="K77" s="882"/>
      <c r="L77" s="882"/>
      <c r="M77" s="334"/>
      <c r="N77" s="882">
        <v>28.161000000000001</v>
      </c>
      <c r="O77" s="882">
        <v>37.787999999999997</v>
      </c>
      <c r="P77" s="334">
        <f>IF(N77=0, "    ---- ", IF(ABS(ROUND(100/N77*O77-100,1))&lt;999,ROUND(100/N77*O77-100,1),IF(ROUND(100/N77*O77-100,1)&gt;999,999,-999)))</f>
        <v>34.200000000000003</v>
      </c>
      <c r="Q77" s="882"/>
      <c r="R77" s="882"/>
      <c r="S77" s="431"/>
      <c r="T77" s="882"/>
      <c r="U77" s="882"/>
      <c r="V77" s="334"/>
      <c r="W77" s="882">
        <v>0</v>
      </c>
      <c r="X77" s="882">
        <v>0</v>
      </c>
      <c r="Y77" s="334" t="str">
        <f t="shared" si="42"/>
        <v xml:space="preserve">    ---- </v>
      </c>
      <c r="Z77" s="882">
        <v>0</v>
      </c>
      <c r="AA77" s="882">
        <v>0</v>
      </c>
      <c r="AB77" s="334" t="str">
        <f t="shared" si="27"/>
        <v xml:space="preserve">    ---- </v>
      </c>
      <c r="AC77" s="882">
        <v>336</v>
      </c>
      <c r="AD77" s="882">
        <v>352</v>
      </c>
      <c r="AE77" s="334">
        <f t="shared" si="47"/>
        <v>4.8</v>
      </c>
      <c r="AF77" s="882"/>
      <c r="AG77" s="882"/>
      <c r="AH77" s="334"/>
      <c r="AI77" s="882"/>
      <c r="AJ77" s="882"/>
      <c r="AK77" s="334"/>
      <c r="AL77" s="882">
        <v>702</v>
      </c>
      <c r="AM77" s="882">
        <v>661.4</v>
      </c>
      <c r="AN77" s="334">
        <f t="shared" si="30"/>
        <v>-5.8</v>
      </c>
      <c r="AO77" s="103">
        <f t="shared" si="45"/>
        <v>1324.7374693199999</v>
      </c>
      <c r="AP77" s="103">
        <f t="shared" si="45"/>
        <v>3487.1794754400003</v>
      </c>
      <c r="AQ77" s="334">
        <f t="shared" si="22"/>
        <v>163.19999999999999</v>
      </c>
      <c r="AR77" s="439">
        <f t="shared" si="46"/>
        <v>1324.7374693199999</v>
      </c>
      <c r="AS77" s="439">
        <f t="shared" si="46"/>
        <v>3487.1794754400003</v>
      </c>
      <c r="AT77" s="442">
        <f t="shared" si="25"/>
        <v>163.19999999999999</v>
      </c>
    </row>
    <row r="78" spans="1:46" s="461" customFormat="1" ht="20.100000000000001" customHeight="1" x14ac:dyDescent="0.35">
      <c r="A78" s="455" t="s">
        <v>243</v>
      </c>
      <c r="B78" s="882"/>
      <c r="C78" s="882"/>
      <c r="D78" s="334"/>
      <c r="E78" s="441"/>
      <c r="F78" s="441"/>
      <c r="G78" s="334"/>
      <c r="H78" s="882"/>
      <c r="I78" s="882"/>
      <c r="J78" s="334"/>
      <c r="K78" s="882"/>
      <c r="L78" s="882"/>
      <c r="M78" s="334"/>
      <c r="N78" s="882"/>
      <c r="O78" s="882"/>
      <c r="P78" s="334"/>
      <c r="Q78" s="882"/>
      <c r="R78" s="882"/>
      <c r="S78" s="431"/>
      <c r="T78" s="882"/>
      <c r="U78" s="882"/>
      <c r="V78" s="334"/>
      <c r="W78" s="882">
        <v>0</v>
      </c>
      <c r="X78" s="882">
        <v>0</v>
      </c>
      <c r="Y78" s="334" t="str">
        <f t="shared" si="42"/>
        <v xml:space="preserve">    ---- </v>
      </c>
      <c r="Z78" s="882"/>
      <c r="AA78" s="882"/>
      <c r="AB78" s="334"/>
      <c r="AC78" s="882">
        <v>0</v>
      </c>
      <c r="AD78" s="882">
        <v>0</v>
      </c>
      <c r="AE78" s="334" t="str">
        <f t="shared" si="47"/>
        <v xml:space="preserve">    ---- </v>
      </c>
      <c r="AF78" s="882"/>
      <c r="AG78" s="882"/>
      <c r="AH78" s="334"/>
      <c r="AI78" s="882"/>
      <c r="AJ78" s="882"/>
      <c r="AK78" s="334"/>
      <c r="AL78" s="882"/>
      <c r="AM78" s="882"/>
      <c r="AN78" s="334"/>
      <c r="AO78" s="103">
        <f t="shared" si="45"/>
        <v>0</v>
      </c>
      <c r="AP78" s="103">
        <f t="shared" si="45"/>
        <v>0</v>
      </c>
      <c r="AQ78" s="334" t="str">
        <f t="shared" si="22"/>
        <v xml:space="preserve">    ---- </v>
      </c>
      <c r="AR78" s="439">
        <f t="shared" si="46"/>
        <v>0</v>
      </c>
      <c r="AS78" s="439">
        <f t="shared" si="46"/>
        <v>0</v>
      </c>
      <c r="AT78" s="442" t="str">
        <f t="shared" si="25"/>
        <v xml:space="preserve">    ---- </v>
      </c>
    </row>
    <row r="79" spans="1:46" s="461" customFormat="1" ht="20.100000000000001" customHeight="1" x14ac:dyDescent="0.35">
      <c r="A79" s="456" t="s">
        <v>244</v>
      </c>
      <c r="B79" s="882">
        <f>SUM(B73:B78)</f>
        <v>1320.1489999999999</v>
      </c>
      <c r="C79" s="882">
        <f>SUM(C73:C78)</f>
        <v>1398.8029999999999</v>
      </c>
      <c r="D79" s="334">
        <f>IF(B79=0, "    ---- ", IF(ABS(ROUND(100/B79*C79-100,1))&lt;999,ROUND(100/B79*C79-100,1),IF(ROUND(100/B79*C79-100,1)&gt;999,999,-999)))</f>
        <v>6</v>
      </c>
      <c r="E79" s="441">
        <f>SUM(E73:E78)</f>
        <v>1802.0000000000002</v>
      </c>
      <c r="F79" s="441"/>
      <c r="G79" s="334">
        <f>IF(E79=0, "    ---- ", IF(ABS(ROUND(100/E79*F79-100,1))&lt;999,ROUND(100/E79*F79-100,1),IF(ROUND(100/E79*F79-100,1)&gt;999,999,-999)))</f>
        <v>-100</v>
      </c>
      <c r="H79" s="882">
        <f>SUM(H73:H78)</f>
        <v>198476.43062138002</v>
      </c>
      <c r="I79" s="882">
        <f>SUM(I73:I78)</f>
        <v>199401.11679260997</v>
      </c>
      <c r="J79" s="334">
        <f t="shared" si="20"/>
        <v>0.5</v>
      </c>
      <c r="K79" s="882">
        <f>SUM(K73:K78)</f>
        <v>6956.9822675699997</v>
      </c>
      <c r="L79" s="882">
        <f>SUM(L73:L78)</f>
        <v>7495.226341769996</v>
      </c>
      <c r="M79" s="334">
        <f>IF(K79=0, "    ---- ", IF(ABS(ROUND(100/K79*L79-100,1))&lt;999,ROUND(100/K79*L79-100,1),IF(ROUND(100/K79*L79-100,1)&gt;999,999,-999)))</f>
        <v>7.7</v>
      </c>
      <c r="N79" s="882">
        <f>SUM(N73:N78)</f>
        <v>1003.7090000000001</v>
      </c>
      <c r="O79" s="882">
        <f>SUM(O73:O78)</f>
        <v>1211.778</v>
      </c>
      <c r="P79" s="334">
        <f>IF(N79=0, "    ---- ", IF(ABS(ROUND(100/N79*O79-100,1))&lt;999,ROUND(100/N79*O79-100,1),IF(ROUND(100/N79*O79-100,1)&gt;999,999,-999)))</f>
        <v>20.7</v>
      </c>
      <c r="Q79" s="882">
        <f>SUM(Q73:Q78)</f>
        <v>7664.2000000000007</v>
      </c>
      <c r="R79" s="882">
        <f>SUM(R73:R78)</f>
        <v>8242</v>
      </c>
      <c r="S79" s="431">
        <f>IF(Q79=0, "    ---- ", IF(ABS(ROUND(100/Q79*R79-100,1))&lt;999,ROUND(100/Q79*R79-100,1),IF(ROUND(100/Q79*R79-100,1)&gt;999,999,-999)))</f>
        <v>7.5</v>
      </c>
      <c r="T79" s="882">
        <f>SUM(T73:T78)</f>
        <v>47.446377820000002</v>
      </c>
      <c r="U79" s="882">
        <f>SUM(U73:U78)</f>
        <v>41.207000000000001</v>
      </c>
      <c r="V79" s="334">
        <f>IF(T79=0, "    ---- ", IF(ABS(ROUND(100/T79*U79-100,1))&lt;999,ROUND(100/T79*U79-100,1),IF(ROUND(100/T79*U79-100,1)&gt;999,999,-999)))</f>
        <v>-13.2</v>
      </c>
      <c r="W79" s="882">
        <v>592704.56270789006</v>
      </c>
      <c r="X79" s="882">
        <v>651519.86993633001</v>
      </c>
      <c r="Y79" s="334">
        <f t="shared" si="42"/>
        <v>9.9</v>
      </c>
      <c r="Z79" s="882">
        <f>SUM(Z73:Z78)</f>
        <v>53027.16</v>
      </c>
      <c r="AA79" s="882">
        <f>SUM(AA73:AA78)</f>
        <v>55808.86</v>
      </c>
      <c r="AB79" s="334">
        <f t="shared" si="27"/>
        <v>5.2</v>
      </c>
      <c r="AC79" s="882">
        <f>SUM(AC73:AC78)</f>
        <v>99653</v>
      </c>
      <c r="AD79" s="882">
        <f>SUM(AD73:AD78)</f>
        <v>111837</v>
      </c>
      <c r="AE79" s="334">
        <f>IF(AC79=0, "    ---- ", IF(ABS(ROUND(100/AC79*AD79-100,1))&lt;999,ROUND(100/AC79*AD79-100,1),IF(ROUND(100/AC79*AD79-100,1)&gt;999,999,-999)))</f>
        <v>12.2</v>
      </c>
      <c r="AF79" s="882"/>
      <c r="AG79" s="882"/>
      <c r="AH79" s="334"/>
      <c r="AI79" s="882">
        <f>SUM(AI73:AI78)</f>
        <v>22182.360999999997</v>
      </c>
      <c r="AJ79" s="882">
        <f>SUM(AJ73:AJ78)</f>
        <v>23487.404000000002</v>
      </c>
      <c r="AK79" s="334">
        <f t="shared" si="29"/>
        <v>5.9</v>
      </c>
      <c r="AL79" s="882">
        <f>SUM(AL73:AL78)</f>
        <v>193607</v>
      </c>
      <c r="AM79" s="882">
        <f>SUM(AM73:AM78)</f>
        <v>204758.69999999998</v>
      </c>
      <c r="AN79" s="334">
        <f t="shared" si="30"/>
        <v>5.8</v>
      </c>
      <c r="AO79" s="103">
        <f t="shared" si="45"/>
        <v>1178397.5545968402</v>
      </c>
      <c r="AP79" s="103">
        <f t="shared" si="45"/>
        <v>1265160.7580707099</v>
      </c>
      <c r="AQ79" s="334">
        <f t="shared" si="22"/>
        <v>7.4</v>
      </c>
      <c r="AR79" s="439">
        <f t="shared" si="46"/>
        <v>1178445.0009746603</v>
      </c>
      <c r="AS79" s="439">
        <f t="shared" si="46"/>
        <v>1265201.9650707101</v>
      </c>
      <c r="AT79" s="442">
        <f t="shared" si="25"/>
        <v>7.4</v>
      </c>
    </row>
    <row r="80" spans="1:46" s="461" customFormat="1" ht="20.100000000000001" customHeight="1" x14ac:dyDescent="0.35">
      <c r="A80" s="455" t="s">
        <v>245</v>
      </c>
      <c r="B80" s="882"/>
      <c r="C80" s="882"/>
      <c r="D80" s="334"/>
      <c r="E80" s="441"/>
      <c r="F80" s="441"/>
      <c r="G80" s="334"/>
      <c r="H80" s="882"/>
      <c r="I80" s="882"/>
      <c r="J80" s="334"/>
      <c r="K80" s="882"/>
      <c r="L80" s="882"/>
      <c r="M80" s="334"/>
      <c r="N80" s="882"/>
      <c r="O80" s="882"/>
      <c r="P80" s="334"/>
      <c r="Q80" s="882"/>
      <c r="R80" s="882"/>
      <c r="S80" s="431"/>
      <c r="T80" s="882"/>
      <c r="U80" s="882"/>
      <c r="V80" s="334"/>
      <c r="W80" s="882"/>
      <c r="X80" s="882"/>
      <c r="Y80" s="334"/>
      <c r="Z80" s="882"/>
      <c r="AA80" s="882"/>
      <c r="AB80" s="334"/>
      <c r="AC80" s="882"/>
      <c r="AD80" s="882"/>
      <c r="AE80" s="334"/>
      <c r="AF80" s="882"/>
      <c r="AG80" s="882"/>
      <c r="AH80" s="334"/>
      <c r="AI80" s="882"/>
      <c r="AJ80" s="882"/>
      <c r="AK80" s="334"/>
      <c r="AL80" s="882"/>
      <c r="AM80" s="882"/>
      <c r="AN80" s="334"/>
      <c r="AO80" s="933"/>
      <c r="AP80" s="933"/>
      <c r="AQ80" s="334"/>
      <c r="AR80" s="433"/>
      <c r="AS80" s="433"/>
      <c r="AT80" s="442"/>
    </row>
    <row r="81" spans="1:46" s="461" customFormat="1" ht="20.100000000000001" customHeight="1" x14ac:dyDescent="0.35">
      <c r="A81" s="455" t="s">
        <v>476</v>
      </c>
      <c r="B81" s="882">
        <v>24020.061000000002</v>
      </c>
      <c r="C81" s="882">
        <v>29295.978999999999</v>
      </c>
      <c r="D81" s="334">
        <f>IF(B81=0, "    ---- ", IF(ABS(ROUND(100/B81*C81-100,1))&lt;999,ROUND(100/B81*C81-100,1),IF(ROUND(100/B81*C81-100,1)&gt;999,999,-999)))</f>
        <v>22</v>
      </c>
      <c r="E81" s="441">
        <v>5941.8</v>
      </c>
      <c r="F81" s="441"/>
      <c r="G81" s="334">
        <f>IF(E81=0, "    ---- ", IF(ABS(ROUND(100/E81*F81-100,1))&lt;999,ROUND(100/E81*F81-100,1),IF(ROUND(100/E81*F81-100,1)&gt;999,999,-999)))</f>
        <v>-100</v>
      </c>
      <c r="H81" s="882">
        <v>110273.16217518001</v>
      </c>
      <c r="I81" s="882">
        <v>138235.29580959</v>
      </c>
      <c r="J81" s="334">
        <f t="shared" si="20"/>
        <v>25.4</v>
      </c>
      <c r="K81" s="882"/>
      <c r="L81" s="882"/>
      <c r="M81" s="334"/>
      <c r="N81" s="882"/>
      <c r="O81" s="882"/>
      <c r="P81" s="334"/>
      <c r="Q81" s="882">
        <v>34446</v>
      </c>
      <c r="R81" s="882">
        <v>42940.2</v>
      </c>
      <c r="S81" s="431">
        <f>IF(Q81=0, "    ---- ", IF(ABS(ROUND(100/Q81*R81-100,1))&lt;999,ROUND(100/Q81*R81-100,1),IF(ROUND(100/Q81*R81-100,1)&gt;999,999,-999)))</f>
        <v>24.7</v>
      </c>
      <c r="T81" s="882"/>
      <c r="U81" s="882"/>
      <c r="V81" s="334"/>
      <c r="W81" s="882">
        <v>1477.7597008399998</v>
      </c>
      <c r="X81" s="882">
        <v>1549.1708050100001</v>
      </c>
      <c r="Y81" s="334">
        <f t="shared" ref="Y81:Y91" si="48">IF(W81=0, "    ---- ", IF(ABS(ROUND(100/W81*X81-100,1))&lt;999,ROUND(100/W81*X81-100,1),IF(ROUND(100/W81*X81-100,1)&gt;999,999,-999)))</f>
        <v>4.8</v>
      </c>
      <c r="Z81" s="882">
        <v>98862.69</v>
      </c>
      <c r="AA81" s="882">
        <v>125405.21</v>
      </c>
      <c r="AB81" s="334">
        <f t="shared" si="27"/>
        <v>26.8</v>
      </c>
      <c r="AC81" s="882"/>
      <c r="AD81" s="882"/>
      <c r="AE81" s="334"/>
      <c r="AF81" s="882">
        <v>2931.7168416099998</v>
      </c>
      <c r="AG81" s="882">
        <v>3211.2460000000001</v>
      </c>
      <c r="AH81" s="334">
        <f>IF(AF81=0, "    ---- ", IF(ABS(ROUND(100/AF81*AG81-100,1))&lt;999,ROUND(100/AF81*AG81-100,1),IF(ROUND(100/AF81*AG81-100,1)&gt;999,999,-999)))</f>
        <v>9.5</v>
      </c>
      <c r="AI81" s="882">
        <v>42967.663999999997</v>
      </c>
      <c r="AJ81" s="882">
        <v>55435.983999999997</v>
      </c>
      <c r="AK81" s="334">
        <f t="shared" si="29"/>
        <v>29</v>
      </c>
      <c r="AL81" s="882">
        <v>137089</v>
      </c>
      <c r="AM81" s="882">
        <v>157873</v>
      </c>
      <c r="AN81" s="334">
        <f t="shared" si="30"/>
        <v>15.2</v>
      </c>
      <c r="AO81" s="103">
        <f t="shared" ref="AO81:AP89" si="49">B81+H81+K81+N81+Q81+W81+E81+Z81+AC81+AI81+AL81</f>
        <v>455078.13687602</v>
      </c>
      <c r="AP81" s="103">
        <f t="shared" si="49"/>
        <v>550734.83961459994</v>
      </c>
      <c r="AQ81" s="334">
        <f t="shared" si="22"/>
        <v>21</v>
      </c>
      <c r="AR81" s="439">
        <f t="shared" ref="AR81:AR89" si="50">B81+H81+K81+N81+Q81+T81+W81+E81+Z81+AC81+AF81+AI81+AL81</f>
        <v>458009.85371762997</v>
      </c>
      <c r="AS81" s="439">
        <f t="shared" ref="AS81:AS89" si="51">C81+I81+L81+O81+R81+U81+X81+F81+AA81+AD81+AG81+AJ81+AM81</f>
        <v>553946.08561459999</v>
      </c>
      <c r="AT81" s="442">
        <f t="shared" si="25"/>
        <v>20.9</v>
      </c>
    </row>
    <row r="82" spans="1:46" s="461" customFormat="1" ht="20.100000000000001" customHeight="1" x14ac:dyDescent="0.35">
      <c r="A82" s="455" t="s">
        <v>477</v>
      </c>
      <c r="B82" s="882"/>
      <c r="C82" s="882"/>
      <c r="D82" s="334"/>
      <c r="E82" s="441"/>
      <c r="F82" s="441"/>
      <c r="G82" s="334"/>
      <c r="H82" s="882"/>
      <c r="I82" s="882"/>
      <c r="J82" s="334"/>
      <c r="K82" s="882"/>
      <c r="L82" s="882"/>
      <c r="M82" s="334"/>
      <c r="N82" s="882"/>
      <c r="O82" s="882"/>
      <c r="P82" s="334"/>
      <c r="Q82" s="882"/>
      <c r="R82" s="882"/>
      <c r="S82" s="334"/>
      <c r="T82" s="882"/>
      <c r="U82" s="882"/>
      <c r="V82" s="334"/>
      <c r="W82" s="882">
        <v>135.04439400000001</v>
      </c>
      <c r="X82" s="882">
        <v>186.28134800000001</v>
      </c>
      <c r="Y82" s="334">
        <f t="shared" si="48"/>
        <v>37.9</v>
      </c>
      <c r="Z82" s="882">
        <v>0</v>
      </c>
      <c r="AA82" s="882">
        <v>0</v>
      </c>
      <c r="AB82" s="334" t="str">
        <f t="shared" si="27"/>
        <v xml:space="preserve">    ---- </v>
      </c>
      <c r="AC82" s="882"/>
      <c r="AD82" s="882"/>
      <c r="AE82" s="334"/>
      <c r="AF82" s="882"/>
      <c r="AG82" s="882"/>
      <c r="AH82" s="334"/>
      <c r="AI82" s="882"/>
      <c r="AJ82" s="882">
        <v>40.713000000000001</v>
      </c>
      <c r="AK82" s="334" t="str">
        <f t="shared" si="29"/>
        <v xml:space="preserve">    ---- </v>
      </c>
      <c r="AL82" s="882"/>
      <c r="AM82" s="882"/>
      <c r="AN82" s="334"/>
      <c r="AO82" s="103">
        <f t="shared" si="49"/>
        <v>135.04439400000001</v>
      </c>
      <c r="AP82" s="103">
        <f t="shared" si="49"/>
        <v>226.994348</v>
      </c>
      <c r="AQ82" s="334">
        <f t="shared" si="22"/>
        <v>68.099999999999994</v>
      </c>
      <c r="AR82" s="439">
        <f t="shared" si="50"/>
        <v>135.04439400000001</v>
      </c>
      <c r="AS82" s="439">
        <f t="shared" si="51"/>
        <v>226.994348</v>
      </c>
      <c r="AT82" s="442">
        <f t="shared" si="25"/>
        <v>68.099999999999994</v>
      </c>
    </row>
    <row r="83" spans="1:46" s="461" customFormat="1" ht="20.100000000000001" customHeight="1" x14ac:dyDescent="0.35">
      <c r="A83" s="455" t="s">
        <v>478</v>
      </c>
      <c r="B83" s="880">
        <v>64.063000000000002</v>
      </c>
      <c r="C83" s="880">
        <v>65.459000000000003</v>
      </c>
      <c r="D83" s="334">
        <f>IF(B83=0, "    ---- ", IF(ABS(ROUND(100/B83*C83-100,1))&lt;999,ROUND(100/B83*C83-100,1),IF(ROUND(100/B83*C83-100,1)&gt;999,999,-999)))</f>
        <v>2.2000000000000002</v>
      </c>
      <c r="E83" s="334">
        <v>17.399999999999999</v>
      </c>
      <c r="F83" s="334"/>
      <c r="G83" s="334">
        <f>IF(E83=0, "    ---- ", IF(ABS(ROUND(100/E83*F83-100,1))&lt;999,ROUND(100/E83*F83-100,1),IF(ROUND(100/E83*F83-100,1)&gt;999,999,-999)))</f>
        <v>-100</v>
      </c>
      <c r="H83" s="880">
        <v>587.21908509000002</v>
      </c>
      <c r="I83" s="880">
        <v>512.11283667999999</v>
      </c>
      <c r="J83" s="334">
        <f t="shared" si="20"/>
        <v>-12.8</v>
      </c>
      <c r="K83" s="880"/>
      <c r="L83" s="880"/>
      <c r="M83" s="334"/>
      <c r="N83" s="880"/>
      <c r="O83" s="880"/>
      <c r="P83" s="334"/>
      <c r="Q83" s="880">
        <v>251.5</v>
      </c>
      <c r="R83" s="880">
        <v>244.2</v>
      </c>
      <c r="S83" s="334">
        <f>IF(Q83=0, "    ---- ", IF(ABS(ROUND(100/Q83*R83-100,1))&lt;999,ROUND(100/Q83*R83-100,1),IF(ROUND(100/Q83*R83-100,1)&gt;999,999,-999)))</f>
        <v>-2.9</v>
      </c>
      <c r="T83" s="880"/>
      <c r="U83" s="880"/>
      <c r="V83" s="334"/>
      <c r="W83" s="880">
        <v>400.94814700000001</v>
      </c>
      <c r="X83" s="880">
        <v>498.88131492000002</v>
      </c>
      <c r="Y83" s="334">
        <f t="shared" si="48"/>
        <v>24.4</v>
      </c>
      <c r="Z83" s="880">
        <v>0</v>
      </c>
      <c r="AA83" s="880">
        <v>0</v>
      </c>
      <c r="AB83" s="334" t="str">
        <f t="shared" si="27"/>
        <v xml:space="preserve">    ---- </v>
      </c>
      <c r="AC83" s="880"/>
      <c r="AD83" s="880"/>
      <c r="AE83" s="334"/>
      <c r="AF83" s="880"/>
      <c r="AG83" s="880"/>
      <c r="AH83" s="334"/>
      <c r="AI83" s="880">
        <v>617.26800000000003</v>
      </c>
      <c r="AJ83" s="880">
        <v>704.27099999999996</v>
      </c>
      <c r="AK83" s="334">
        <f t="shared" si="29"/>
        <v>14.1</v>
      </c>
      <c r="AL83" s="880"/>
      <c r="AM83" s="880"/>
      <c r="AN83" s="334"/>
      <c r="AO83" s="103">
        <f t="shared" si="49"/>
        <v>1938.3982320900002</v>
      </c>
      <c r="AP83" s="103">
        <f t="shared" si="49"/>
        <v>2024.9241516</v>
      </c>
      <c r="AQ83" s="334">
        <f t="shared" si="22"/>
        <v>4.5</v>
      </c>
      <c r="AR83" s="439">
        <f t="shared" si="50"/>
        <v>1938.3982320900002</v>
      </c>
      <c r="AS83" s="439">
        <f t="shared" si="51"/>
        <v>2024.9241516</v>
      </c>
      <c r="AT83" s="442">
        <f t="shared" si="25"/>
        <v>4.5</v>
      </c>
    </row>
    <row r="84" spans="1:46" s="461" customFormat="1" ht="20.100000000000001" customHeight="1" x14ac:dyDescent="0.35">
      <c r="A84" s="455" t="s">
        <v>243</v>
      </c>
      <c r="B84" s="882"/>
      <c r="C84" s="882"/>
      <c r="D84" s="441"/>
      <c r="E84" s="441"/>
      <c r="F84" s="441"/>
      <c r="G84" s="334"/>
      <c r="H84" s="882"/>
      <c r="I84" s="882"/>
      <c r="J84" s="441"/>
      <c r="K84" s="882"/>
      <c r="L84" s="882"/>
      <c r="M84" s="441"/>
      <c r="N84" s="882"/>
      <c r="O84" s="882"/>
      <c r="P84" s="441"/>
      <c r="Q84" s="882"/>
      <c r="R84" s="882"/>
      <c r="S84" s="431"/>
      <c r="T84" s="882"/>
      <c r="U84" s="882"/>
      <c r="V84" s="334"/>
      <c r="W84" s="882">
        <v>0</v>
      </c>
      <c r="X84" s="882">
        <v>0</v>
      </c>
      <c r="Y84" s="334" t="str">
        <f t="shared" si="48"/>
        <v xml:space="preserve">    ---- </v>
      </c>
      <c r="Z84" s="882"/>
      <c r="AA84" s="882"/>
      <c r="AB84" s="334"/>
      <c r="AC84" s="882"/>
      <c r="AD84" s="882"/>
      <c r="AE84" s="334"/>
      <c r="AF84" s="882"/>
      <c r="AG84" s="882"/>
      <c r="AH84" s="441"/>
      <c r="AI84" s="882"/>
      <c r="AJ84" s="882"/>
      <c r="AK84" s="334"/>
      <c r="AL84" s="882"/>
      <c r="AM84" s="882"/>
      <c r="AN84" s="334"/>
      <c r="AO84" s="103">
        <f t="shared" si="49"/>
        <v>0</v>
      </c>
      <c r="AP84" s="103">
        <f t="shared" si="49"/>
        <v>0</v>
      </c>
      <c r="AQ84" s="334" t="str">
        <f t="shared" si="22"/>
        <v xml:space="preserve">    ---- </v>
      </c>
      <c r="AR84" s="439">
        <f t="shared" si="50"/>
        <v>0</v>
      </c>
      <c r="AS84" s="439">
        <f t="shared" si="51"/>
        <v>0</v>
      </c>
      <c r="AT84" s="442" t="str">
        <f t="shared" si="25"/>
        <v xml:space="preserve">    ---- </v>
      </c>
    </row>
    <row r="85" spans="1:46" s="461" customFormat="1" ht="20.100000000000001" customHeight="1" x14ac:dyDescent="0.35">
      <c r="A85" s="456" t="s">
        <v>246</v>
      </c>
      <c r="B85" s="882">
        <f>SUM(B81:B84)</f>
        <v>24084.124</v>
      </c>
      <c r="C85" s="882">
        <f>SUM(C81:C84)</f>
        <v>29361.437999999998</v>
      </c>
      <c r="D85" s="441">
        <f>IF(B85=0, "    ---- ", IF(ABS(ROUND(100/B85*C85-100,1))&lt;999,ROUND(100/B85*C85-100,1),IF(ROUND(100/B85*C85-100,1)&gt;999,999,-999)))</f>
        <v>21.9</v>
      </c>
      <c r="E85" s="441">
        <f>SUM(E81:E84)</f>
        <v>5959.2</v>
      </c>
      <c r="F85" s="441"/>
      <c r="G85" s="334">
        <f>IF(E85=0, "    ---- ", IF(ABS(ROUND(100/E85*F85-100,1))&lt;999,ROUND(100/E85*F85-100,1),IF(ROUND(100/E85*F85-100,1)&gt;999,999,-999)))</f>
        <v>-100</v>
      </c>
      <c r="H85" s="882">
        <f>SUM(H81:H84)</f>
        <v>110860.38126027001</v>
      </c>
      <c r="I85" s="882">
        <f>SUM(I81:I84)</f>
        <v>138747.40864626999</v>
      </c>
      <c r="J85" s="441">
        <f t="shared" si="20"/>
        <v>25.2</v>
      </c>
      <c r="K85" s="882"/>
      <c r="L85" s="882"/>
      <c r="M85" s="441"/>
      <c r="N85" s="882"/>
      <c r="O85" s="882"/>
      <c r="P85" s="441"/>
      <c r="Q85" s="882">
        <f>SUM(Q81:Q84)</f>
        <v>34697.5</v>
      </c>
      <c r="R85" s="882">
        <f>SUM(R81:R84)</f>
        <v>43184.399999999994</v>
      </c>
      <c r="S85" s="431">
        <f>IF(Q85=0, "    ---- ", IF(ABS(ROUND(100/Q85*R85-100,1))&lt;999,ROUND(100/Q85*R85-100,1),IF(ROUND(100/Q85*R85-100,1)&gt;999,999,-999)))</f>
        <v>24.5</v>
      </c>
      <c r="T85" s="882"/>
      <c r="U85" s="882"/>
      <c r="V85" s="334"/>
      <c r="W85" s="882">
        <v>2013.7522418399999</v>
      </c>
      <c r="X85" s="882">
        <v>2234.3334679300001</v>
      </c>
      <c r="Y85" s="334">
        <f t="shared" si="48"/>
        <v>11</v>
      </c>
      <c r="Z85" s="882">
        <f>SUM(Z81:Z84)</f>
        <v>98862.69</v>
      </c>
      <c r="AA85" s="882">
        <f>SUM(AA81:AA84)</f>
        <v>125405.21</v>
      </c>
      <c r="AB85" s="334">
        <f t="shared" si="27"/>
        <v>26.8</v>
      </c>
      <c r="AC85" s="882">
        <f>SUM(AC81:AC84)</f>
        <v>0</v>
      </c>
      <c r="AD85" s="882">
        <f>SUM(AD81:AD84)</f>
        <v>0</v>
      </c>
      <c r="AE85" s="334" t="str">
        <f>IF(AC85=0, "    ---- ", IF(ABS(ROUND(100/AC85*AD85-100,1))&lt;999,ROUND(100/AC85*AD85-100,1),IF(ROUND(100/AC85*AD85-100,1)&gt;999,999,-999)))</f>
        <v xml:space="preserve">    ---- </v>
      </c>
      <c r="AF85" s="882">
        <f>SUM(AF81:AF84)</f>
        <v>2931.7168416099998</v>
      </c>
      <c r="AG85" s="882">
        <f>SUM(AG81:AG84)</f>
        <v>3211.2460000000001</v>
      </c>
      <c r="AH85" s="441">
        <f>IF(AF85=0, "    ---- ", IF(ABS(ROUND(100/AF85*AG85-100,1))&lt;999,ROUND(100/AF85*AG85-100,1),IF(ROUND(100/AF85*AG85-100,1)&gt;999,999,-999)))</f>
        <v>9.5</v>
      </c>
      <c r="AI85" s="882">
        <f>SUM(AI81:AI84)</f>
        <v>43584.932000000001</v>
      </c>
      <c r="AJ85" s="882">
        <f>SUM(AJ81:AJ84)</f>
        <v>56180.968000000001</v>
      </c>
      <c r="AK85" s="334">
        <f t="shared" si="29"/>
        <v>28.9</v>
      </c>
      <c r="AL85" s="882">
        <f>SUM(AL81:AL84)</f>
        <v>137089</v>
      </c>
      <c r="AM85" s="882">
        <f>SUM(AM81:AM84)</f>
        <v>157873</v>
      </c>
      <c r="AN85" s="334">
        <f t="shared" si="30"/>
        <v>15.2</v>
      </c>
      <c r="AO85" s="103">
        <f t="shared" si="49"/>
        <v>457151.57950211002</v>
      </c>
      <c r="AP85" s="103">
        <f t="shared" si="49"/>
        <v>552986.75811419997</v>
      </c>
      <c r="AQ85" s="334">
        <f t="shared" si="22"/>
        <v>21</v>
      </c>
      <c r="AR85" s="439">
        <f t="shared" si="50"/>
        <v>460083.29634371994</v>
      </c>
      <c r="AS85" s="439">
        <f t="shared" si="51"/>
        <v>556198.0041141999</v>
      </c>
      <c r="AT85" s="442">
        <f t="shared" si="25"/>
        <v>20.9</v>
      </c>
    </row>
    <row r="86" spans="1:46" s="461" customFormat="1" ht="20.100000000000001" customHeight="1" x14ac:dyDescent="0.35">
      <c r="A86" s="455" t="s">
        <v>247</v>
      </c>
      <c r="B86" s="882">
        <v>61.606000000000002</v>
      </c>
      <c r="C86" s="882">
        <v>62.814999999999998</v>
      </c>
      <c r="D86" s="334">
        <f>IF(B86=0, "    ---- ", IF(ABS(ROUND(100/B86*C86-100,1))&lt;999,ROUND(100/B86*C86-100,1),IF(ROUND(100/B86*C86-100,1)&gt;999,999,-999)))</f>
        <v>2</v>
      </c>
      <c r="E86" s="441">
        <v>10.6</v>
      </c>
      <c r="F86" s="441"/>
      <c r="G86" s="334">
        <f>IF(E86=0, "    ---- ", IF(ABS(ROUND(100/E86*F86-100,1))&lt;999,ROUND(100/E86*F86-100,1),IF(ROUND(100/E86*F86-100,1)&gt;999,999,-999)))</f>
        <v>-100</v>
      </c>
      <c r="H86" s="882">
        <v>1796.4516681499999</v>
      </c>
      <c r="I86" s="882">
        <v>2345.6034612900003</v>
      </c>
      <c r="J86" s="334">
        <f t="shared" si="20"/>
        <v>30.6</v>
      </c>
      <c r="K86" s="882">
        <v>221.83344095999976</v>
      </c>
      <c r="L86" s="882">
        <v>881.89816728999995</v>
      </c>
      <c r="M86" s="334">
        <f>IF(K86=0, "    ---- ", IF(ABS(ROUND(100/K86*L86-100,1))&lt;999,ROUND(100/K86*L86-100,1),IF(ROUND(100/K86*L86-100,1)&gt;999,999,-999)))</f>
        <v>297.5</v>
      </c>
      <c r="N86" s="882">
        <v>102.09099999999999</v>
      </c>
      <c r="O86" s="882">
        <v>70.783000000000001</v>
      </c>
      <c r="P86" s="334">
        <f>IF(N86=0, "    ---- ", IF(ABS(ROUND(100/N86*O86-100,1))&lt;999,ROUND(100/N86*O86-100,1),IF(ROUND(100/N86*O86-100,1)&gt;999,999,-999)))</f>
        <v>-30.7</v>
      </c>
      <c r="Q86" s="882">
        <v>83.6</v>
      </c>
      <c r="R86" s="882">
        <v>83.5</v>
      </c>
      <c r="S86" s="334">
        <f>IF(Q86=0, "    ---- ", IF(ABS(ROUND(100/Q86*R86-100,1))&lt;999,ROUND(100/Q86*R86-100,1),IF(ROUND(100/Q86*R86-100,1)&gt;999,999,-999)))</f>
        <v>-0.1</v>
      </c>
      <c r="T86" s="882"/>
      <c r="U86" s="882"/>
      <c r="V86" s="334"/>
      <c r="W86" s="882">
        <v>2357.17324809</v>
      </c>
      <c r="X86" s="882">
        <v>1256.5804185999998</v>
      </c>
      <c r="Y86" s="334">
        <f t="shared" si="48"/>
        <v>-46.7</v>
      </c>
      <c r="Z86" s="882">
        <v>542.79999999999995</v>
      </c>
      <c r="AA86" s="882">
        <v>533.15</v>
      </c>
      <c r="AB86" s="334">
        <f t="shared" si="27"/>
        <v>-1.8</v>
      </c>
      <c r="AC86" s="882">
        <v>912</v>
      </c>
      <c r="AD86" s="882">
        <v>953</v>
      </c>
      <c r="AE86" s="334">
        <f>IF(AC86=0, "    ---- ", IF(ABS(ROUND(100/AC86*AD86-100,1))&lt;999,ROUND(100/AC86*AD86-100,1),IF(ROUND(100/AC86*AD86-100,1)&gt;999,999,-999)))</f>
        <v>4.5</v>
      </c>
      <c r="AF86" s="882"/>
      <c r="AG86" s="882"/>
      <c r="AH86" s="334"/>
      <c r="AI86" s="882">
        <v>622.68600000000004</v>
      </c>
      <c r="AJ86" s="882">
        <v>633.01599999999996</v>
      </c>
      <c r="AK86" s="334">
        <f t="shared" si="29"/>
        <v>1.7</v>
      </c>
      <c r="AL86" s="882">
        <v>7</v>
      </c>
      <c r="AM86" s="882">
        <v>2</v>
      </c>
      <c r="AN86" s="334">
        <f t="shared" si="30"/>
        <v>-71.400000000000006</v>
      </c>
      <c r="AO86" s="103">
        <f t="shared" si="49"/>
        <v>6717.8413571999999</v>
      </c>
      <c r="AP86" s="103">
        <f t="shared" si="49"/>
        <v>6822.346047179999</v>
      </c>
      <c r="AQ86" s="334">
        <f t="shared" si="22"/>
        <v>1.6</v>
      </c>
      <c r="AR86" s="439">
        <f t="shared" si="50"/>
        <v>6717.8413571999999</v>
      </c>
      <c r="AS86" s="439">
        <f t="shared" si="51"/>
        <v>6822.346047179999</v>
      </c>
      <c r="AT86" s="442">
        <f t="shared" si="25"/>
        <v>1.6</v>
      </c>
    </row>
    <row r="87" spans="1:46" s="461" customFormat="1" ht="20.100000000000001" customHeight="1" x14ac:dyDescent="0.35">
      <c r="A87" s="455" t="s">
        <v>248</v>
      </c>
      <c r="B87" s="882"/>
      <c r="C87" s="882"/>
      <c r="D87" s="334"/>
      <c r="E87" s="441"/>
      <c r="F87" s="441"/>
      <c r="G87" s="334"/>
      <c r="H87" s="882"/>
      <c r="I87" s="882"/>
      <c r="J87" s="334"/>
      <c r="K87" s="882">
        <v>366.46634876999997</v>
      </c>
      <c r="L87" s="882">
        <v>368.43717791</v>
      </c>
      <c r="M87" s="334">
        <f t="shared" ref="M87:M88" si="52">IF(K87=0, "    ---- ", IF(ABS(ROUND(100/K87*L87-100,1))&lt;999,ROUND(100/K87*L87-100,1),IF(ROUND(100/K87*L87-100,1)&gt;999,999,-999)))</f>
        <v>0.5</v>
      </c>
      <c r="N87" s="882"/>
      <c r="O87" s="882"/>
      <c r="P87" s="334"/>
      <c r="Q87" s="882"/>
      <c r="R87" s="882"/>
      <c r="S87" s="334"/>
      <c r="T87" s="882"/>
      <c r="U87" s="882"/>
      <c r="V87" s="334"/>
      <c r="W87" s="882">
        <v>0</v>
      </c>
      <c r="X87" s="882">
        <v>0</v>
      </c>
      <c r="Y87" s="334" t="str">
        <f t="shared" si="48"/>
        <v xml:space="preserve">    ---- </v>
      </c>
      <c r="Z87" s="882">
        <v>0</v>
      </c>
      <c r="AA87" s="882">
        <v>0</v>
      </c>
      <c r="AB87" s="334" t="str">
        <f t="shared" si="27"/>
        <v xml:space="preserve">    ---- </v>
      </c>
      <c r="AC87" s="882"/>
      <c r="AD87" s="882"/>
      <c r="AE87" s="334"/>
      <c r="AF87" s="882"/>
      <c r="AG87" s="882"/>
      <c r="AH87" s="334"/>
      <c r="AI87" s="882">
        <v>0</v>
      </c>
      <c r="AJ87" s="882">
        <v>7.399</v>
      </c>
      <c r="AK87" s="334" t="str">
        <f t="shared" si="29"/>
        <v xml:space="preserve">    ---- </v>
      </c>
      <c r="AL87" s="882"/>
      <c r="AM87" s="882"/>
      <c r="AN87" s="334"/>
      <c r="AO87" s="103">
        <f t="shared" si="49"/>
        <v>366.46634876999997</v>
      </c>
      <c r="AP87" s="103">
        <f t="shared" si="49"/>
        <v>375.83617791</v>
      </c>
      <c r="AQ87" s="334">
        <f t="shared" si="22"/>
        <v>2.6</v>
      </c>
      <c r="AR87" s="439">
        <f t="shared" si="50"/>
        <v>366.46634876999997</v>
      </c>
      <c r="AS87" s="439">
        <f t="shared" si="51"/>
        <v>375.83617791</v>
      </c>
      <c r="AT87" s="442">
        <f t="shared" si="25"/>
        <v>2.6</v>
      </c>
    </row>
    <row r="88" spans="1:46" s="461" customFormat="1" ht="20.100000000000001" customHeight="1" x14ac:dyDescent="0.35">
      <c r="A88" s="455" t="s">
        <v>249</v>
      </c>
      <c r="B88" s="882">
        <v>130.75800000000001</v>
      </c>
      <c r="C88" s="882">
        <v>194.036</v>
      </c>
      <c r="D88" s="441">
        <f>IF(B88=0, "    ---- ", IF(ABS(ROUND(100/B88*C88-100,1))&lt;999,ROUND(100/B88*C88-100,1),IF(ROUND(100/B88*C88-100,1)&gt;999,999,-999)))</f>
        <v>48.4</v>
      </c>
      <c r="E88" s="441">
        <v>19.5</v>
      </c>
      <c r="F88" s="441"/>
      <c r="G88" s="334">
        <f>IF(E88=0, "    ---- ", IF(ABS(ROUND(100/E88*F88-100,1))&lt;999,ROUND(100/E88*F88-100,1),IF(ROUND(100/E88*F88-100,1)&gt;999,999,-999)))</f>
        <v>-100</v>
      </c>
      <c r="H88" s="882">
        <v>3602.3960000000002</v>
      </c>
      <c r="I88" s="882">
        <v>1902.4934580999968</v>
      </c>
      <c r="J88" s="441">
        <f t="shared" si="20"/>
        <v>-47.2</v>
      </c>
      <c r="K88" s="882">
        <v>89.319023499999986</v>
      </c>
      <c r="L88" s="882">
        <v>84.368345640000015</v>
      </c>
      <c r="M88" s="334">
        <f t="shared" si="52"/>
        <v>-5.5</v>
      </c>
      <c r="N88" s="882">
        <v>19.317</v>
      </c>
      <c r="O88" s="882">
        <v>16.672999999999998</v>
      </c>
      <c r="P88" s="441">
        <f>IF(N88=0, "    ---- ", IF(ABS(ROUND(100/N88*O88-100,1))&lt;999,ROUND(100/N88*O88-100,1),IF(ROUND(100/N88*O88-100,1)&gt;999,999,-999)))</f>
        <v>-13.7</v>
      </c>
      <c r="Q88" s="882">
        <v>156</v>
      </c>
      <c r="R88" s="882">
        <v>299.2</v>
      </c>
      <c r="S88" s="431">
        <f>IF(Q88=0, "    ---- ", IF(ABS(ROUND(100/Q88*R88-100,1))&lt;999,ROUND(100/Q88*R88-100,1),IF(ROUND(100/Q88*R88-100,1)&gt;999,999,-999)))</f>
        <v>91.8</v>
      </c>
      <c r="T88" s="882">
        <v>4.93813295</v>
      </c>
      <c r="U88" s="882">
        <v>6.4020000000000001</v>
      </c>
      <c r="V88" s="334">
        <f>IF(T88=0, "    ---- ", IF(ABS(ROUND(100/T88*U88-100,1))&lt;999,ROUND(100/T88*U88-100,1),IF(ROUND(100/T88*U88-100,1)&gt;999,999,-999)))</f>
        <v>29.6</v>
      </c>
      <c r="W88" s="882">
        <v>10604.99530692</v>
      </c>
      <c r="X88" s="882">
        <v>6272.9869112599999</v>
      </c>
      <c r="Y88" s="334">
        <f t="shared" si="48"/>
        <v>-40.799999999999997</v>
      </c>
      <c r="Z88" s="882">
        <v>277.64</v>
      </c>
      <c r="AA88" s="882">
        <v>269.02999999999997</v>
      </c>
      <c r="AB88" s="334">
        <f t="shared" si="27"/>
        <v>-3.1</v>
      </c>
      <c r="AC88" s="882">
        <v>93</v>
      </c>
      <c r="AD88" s="882">
        <v>88</v>
      </c>
      <c r="AE88" s="334">
        <f>IF(AC88=0, "    ---- ", IF(ABS(ROUND(100/AC88*AD88-100,1))&lt;999,ROUND(100/AC88*AD88-100,1),IF(ROUND(100/AC88*AD88-100,1)&gt;999,999,-999)))</f>
        <v>-5.4</v>
      </c>
      <c r="AF88" s="882">
        <v>19.482951230000001</v>
      </c>
      <c r="AG88" s="882">
        <v>20.306999999999999</v>
      </c>
      <c r="AH88" s="334">
        <f>IF(AF88=0, "    ---- ", IF(ABS(ROUND(100/AF88*AG88-100,1))&lt;999,ROUND(100/AF88*AG88-100,1),IF(ROUND(100/AF88*AG88-100,1)&gt;999,999,-999)))</f>
        <v>4.2</v>
      </c>
      <c r="AI88" s="882">
        <v>1119.4760000000001</v>
      </c>
      <c r="AJ88" s="882">
        <v>732.65899999999999</v>
      </c>
      <c r="AK88" s="334">
        <f t="shared" si="29"/>
        <v>-34.6</v>
      </c>
      <c r="AL88" s="882">
        <v>10678</v>
      </c>
      <c r="AM88" s="882">
        <v>12075</v>
      </c>
      <c r="AN88" s="334">
        <f t="shared" si="30"/>
        <v>13.1</v>
      </c>
      <c r="AO88" s="103">
        <f t="shared" si="49"/>
        <v>26790.401330419998</v>
      </c>
      <c r="AP88" s="103">
        <f t="shared" si="49"/>
        <v>21934.446714999998</v>
      </c>
      <c r="AQ88" s="334">
        <f t="shared" si="22"/>
        <v>-18.100000000000001</v>
      </c>
      <c r="AR88" s="439">
        <f t="shared" si="50"/>
        <v>26814.822414599999</v>
      </c>
      <c r="AS88" s="439">
        <f t="shared" si="51"/>
        <v>21961.155714999997</v>
      </c>
      <c r="AT88" s="442">
        <f t="shared" si="25"/>
        <v>-18.100000000000001</v>
      </c>
    </row>
    <row r="89" spans="1:46" s="461" customFormat="1" ht="20.100000000000001" customHeight="1" x14ac:dyDescent="0.35">
      <c r="A89" s="455" t="s">
        <v>250</v>
      </c>
      <c r="B89" s="882">
        <v>38.835000000000001</v>
      </c>
      <c r="C89" s="882">
        <v>18.033999999999999</v>
      </c>
      <c r="D89" s="441">
        <f>IF(B89=0, "    ---- ", IF(ABS(ROUND(100/B89*C89-100,1))&lt;999,ROUND(100/B89*C89-100,1),IF(ROUND(100/B89*C89-100,1)&gt;999,999,-999)))</f>
        <v>-53.6</v>
      </c>
      <c r="E89" s="441">
        <v>6.1</v>
      </c>
      <c r="F89" s="441"/>
      <c r="G89" s="334">
        <f>IF(E89=0, "    ---- ", IF(ABS(ROUND(100/E89*F89-100,1))&lt;999,ROUND(100/E89*F89-100,1),IF(ROUND(100/E89*F89-100,1)&gt;999,999,-999)))</f>
        <v>-100</v>
      </c>
      <c r="H89" s="882">
        <v>119.45562854000001</v>
      </c>
      <c r="I89" s="882">
        <v>98.930870949999999</v>
      </c>
      <c r="J89" s="441">
        <f t="shared" si="20"/>
        <v>-17.2</v>
      </c>
      <c r="K89" s="882">
        <v>4.5509954099999996</v>
      </c>
      <c r="L89" s="882"/>
      <c r="M89" s="441">
        <f>IF(K89=0, "    ---- ", IF(ABS(ROUND(100/K89*L89-100,1))&lt;999,ROUND(100/K89*L89-100,1),IF(ROUND(100/K89*L89-100,1)&gt;999,999,-999)))</f>
        <v>-100</v>
      </c>
      <c r="N89" s="882">
        <v>22.629000000000001</v>
      </c>
      <c r="O89" s="882">
        <v>27.102</v>
      </c>
      <c r="P89" s="441">
        <f>IF(N89=0, "    ---- ", IF(ABS(ROUND(100/N89*O89-100,1))&lt;999,ROUND(100/N89*O89-100,1),IF(ROUND(100/N89*O89-100,1)&gt;999,999,-999)))</f>
        <v>19.8</v>
      </c>
      <c r="Q89" s="882">
        <v>17.600000000000001</v>
      </c>
      <c r="R89" s="882">
        <v>31.4</v>
      </c>
      <c r="S89" s="334">
        <f>IF(Q89=0, "    ---- ", IF(ABS(ROUND(100/Q89*R89-100,1))&lt;999,ROUND(100/Q89*R89-100,1),IF(ROUND(100/Q89*R89-100,1)&gt;999,999,-999)))</f>
        <v>78.400000000000006</v>
      </c>
      <c r="T89" s="882">
        <v>0.94572233000000006</v>
      </c>
      <c r="U89" s="882">
        <v>5.5910000000000002</v>
      </c>
      <c r="V89" s="334">
        <f>IF(T89=0, "    ---- ", IF(ABS(ROUND(100/T89*U89-100,1))&lt;999,ROUND(100/T89*U89-100,1),IF(ROUND(100/T89*U89-100,1)&gt;999,999,-999)))</f>
        <v>491.2</v>
      </c>
      <c r="W89" s="882">
        <v>309.31345641000001</v>
      </c>
      <c r="X89" s="882">
        <v>182.41882484999999</v>
      </c>
      <c r="Y89" s="334">
        <f t="shared" si="48"/>
        <v>-41</v>
      </c>
      <c r="Z89" s="882">
        <v>36.32</v>
      </c>
      <c r="AA89" s="882">
        <v>44.34</v>
      </c>
      <c r="AB89" s="334">
        <f t="shared" si="27"/>
        <v>22.1</v>
      </c>
      <c r="AC89" s="882">
        <v>44</v>
      </c>
      <c r="AD89" s="882">
        <v>52</v>
      </c>
      <c r="AE89" s="334">
        <f>IF(AC89=0, "    ---- ", IF(ABS(ROUND(100/AC89*AD89-100,1))&lt;999,ROUND(100/AC89*AD89-100,1),IF(ROUND(100/AC89*AD89-100,1)&gt;999,999,-999)))</f>
        <v>18.2</v>
      </c>
      <c r="AF89" s="882">
        <v>0.28359466</v>
      </c>
      <c r="AG89" s="882">
        <v>0.27500000000000002</v>
      </c>
      <c r="AH89" s="334">
        <f>IF(AF89=0, "    ---- ", IF(ABS(ROUND(100/AF89*AG89-100,1))&lt;999,ROUND(100/AF89*AG89-100,1),IF(ROUND(100/AF89*AG89-100,1)&gt;999,999,-999)))</f>
        <v>-3</v>
      </c>
      <c r="AI89" s="882">
        <v>38.56</v>
      </c>
      <c r="AJ89" s="882">
        <v>35.039000000000001</v>
      </c>
      <c r="AK89" s="334">
        <f t="shared" si="29"/>
        <v>-9.1</v>
      </c>
      <c r="AL89" s="882">
        <v>137</v>
      </c>
      <c r="AM89" s="882">
        <v>156</v>
      </c>
      <c r="AN89" s="334">
        <f t="shared" si="30"/>
        <v>13.9</v>
      </c>
      <c r="AO89" s="103">
        <f t="shared" si="49"/>
        <v>774.36408036000012</v>
      </c>
      <c r="AP89" s="103">
        <f t="shared" si="49"/>
        <v>645.26469580000003</v>
      </c>
      <c r="AQ89" s="334">
        <f t="shared" si="22"/>
        <v>-16.7</v>
      </c>
      <c r="AR89" s="439">
        <f t="shared" si="50"/>
        <v>775.59339735000003</v>
      </c>
      <c r="AS89" s="439">
        <f t="shared" si="51"/>
        <v>651.13069580000001</v>
      </c>
      <c r="AT89" s="442">
        <f t="shared" si="25"/>
        <v>-16</v>
      </c>
    </row>
    <row r="90" spans="1:46" s="461" customFormat="1" ht="20.100000000000001" customHeight="1" x14ac:dyDescent="0.35">
      <c r="A90" s="455"/>
      <c r="B90" s="882"/>
      <c r="C90" s="882"/>
      <c r="D90" s="334"/>
      <c r="E90" s="441"/>
      <c r="F90" s="441"/>
      <c r="G90" s="334"/>
      <c r="H90" s="882"/>
      <c r="I90" s="882"/>
      <c r="J90" s="334"/>
      <c r="K90" s="882"/>
      <c r="L90" s="882"/>
      <c r="M90" s="334"/>
      <c r="N90" s="882"/>
      <c r="O90" s="882"/>
      <c r="P90" s="334"/>
      <c r="Q90" s="882"/>
      <c r="R90" s="882"/>
      <c r="S90" s="334"/>
      <c r="T90" s="882"/>
      <c r="U90" s="882"/>
      <c r="V90" s="334"/>
      <c r="W90" s="882"/>
      <c r="X90" s="882"/>
      <c r="Y90" s="334"/>
      <c r="Z90" s="882"/>
      <c r="AA90" s="882"/>
      <c r="AB90" s="334"/>
      <c r="AC90" s="882"/>
      <c r="AD90" s="882"/>
      <c r="AE90" s="334"/>
      <c r="AF90" s="882"/>
      <c r="AG90" s="882"/>
      <c r="AH90" s="334"/>
      <c r="AI90" s="882"/>
      <c r="AJ90" s="882"/>
      <c r="AK90" s="334"/>
      <c r="AL90" s="882"/>
      <c r="AM90" s="882"/>
      <c r="AN90" s="334"/>
      <c r="AO90" s="933"/>
      <c r="AP90" s="933"/>
      <c r="AQ90" s="334"/>
      <c r="AR90" s="433"/>
      <c r="AS90" s="433"/>
      <c r="AT90" s="442"/>
    </row>
    <row r="91" spans="1:46" s="485" customFormat="1" ht="20.100000000000001" customHeight="1" x14ac:dyDescent="0.3">
      <c r="A91" s="458" t="s">
        <v>251</v>
      </c>
      <c r="B91" s="883">
        <f>SUM(B68+B69+B71+B79+B85+B86+B87+B88+B89)</f>
        <v>26632.751</v>
      </c>
      <c r="C91" s="883">
        <f>SUM(C68+C69+C71+C79+C85+C86+C87+C88+C89)</f>
        <v>32146.116999999995</v>
      </c>
      <c r="D91" s="448">
        <f>IF(B91=0, "    ---- ", IF(ABS(ROUND(100/B91*C91-100,1))&lt;999,ROUND(100/B91*C91-100,1),IF(ROUND(100/B91*C91-100,1)&gt;999,999,-999)))</f>
        <v>20.7</v>
      </c>
      <c r="E91" s="447">
        <f>SUM(E68+E69+E71+E79+E85+E86+E87+E88+E89)</f>
        <v>8407.4000000000015</v>
      </c>
      <c r="F91" s="447"/>
      <c r="G91" s="448">
        <f>IF(E91=0, "    ---- ", IF(ABS(ROUND(100/E91*F91-100,1))&lt;999,ROUND(100/E91*F91-100,1),IF(ROUND(100/E91*F91-100,1)&gt;999,999,-999)))</f>
        <v>-100</v>
      </c>
      <c r="H91" s="883">
        <f>SUM(H68+H69+H71+H79+H85+H86+H87+H88+H89)</f>
        <v>346272.61721269006</v>
      </c>
      <c r="I91" s="883">
        <f>SUM(I68+I69+I71+I79+I85+I86+I87+I88+I89)</f>
        <v>374838.26198037999</v>
      </c>
      <c r="J91" s="448">
        <f t="shared" si="20"/>
        <v>8.1999999999999993</v>
      </c>
      <c r="K91" s="883">
        <f>SUM(K68+K69+K71+K79+K85+K86+K87+K88+K89)</f>
        <v>10657.997736359999</v>
      </c>
      <c r="L91" s="883">
        <f>SUM(L68+L69+L71+L79+L85+L86+L87+L88+L89)</f>
        <v>11809.785264059999</v>
      </c>
      <c r="M91" s="448">
        <f>IF(K91=0, "    ---- ", IF(ABS(ROUND(100/K91*L91-100,1))&lt;999,ROUND(100/K91*L91-100,1),IF(ROUND(100/K91*L91-100,1)&gt;999,999,-999)))</f>
        <v>10.8</v>
      </c>
      <c r="N91" s="883">
        <f>SUM(N68+N69+N71+N79+N85+N86+N87+N88+N89)</f>
        <v>1905.087</v>
      </c>
      <c r="O91" s="883">
        <f>SUM(O68+O69+O71+O79+O85+O86+O87+O88+O89)</f>
        <v>1903.742</v>
      </c>
      <c r="P91" s="448">
        <f>IF(N91=0, "    ---- ", IF(ABS(ROUND(100/N91*O91-100,1))&lt;999,ROUND(100/N91*O91-100,1),IF(ROUND(100/N91*O91-100,1)&gt;999,999,-999)))</f>
        <v>-0.1</v>
      </c>
      <c r="Q91" s="883">
        <f>SUM(Q68+Q69+Q71+Q79+Q85+Q86+Q87+Q88+Q89)</f>
        <v>43945.599999999999</v>
      </c>
      <c r="R91" s="883">
        <f>SUM(R68+R69+R71+R79+R85+R86+R87+R88+R89)</f>
        <v>53179.999999999993</v>
      </c>
      <c r="S91" s="448">
        <f>IF(Q91=0, "    ---- ", IF(ABS(ROUND(100/Q91*R91-100,1))&lt;999,ROUND(100/Q91*R91-100,1),IF(ROUND(100/Q91*R91-100,1)&gt;999,999,-999)))</f>
        <v>21</v>
      </c>
      <c r="T91" s="883">
        <f>SUM(T68+T69+T71+T79+T85+T86+T87+T88+T89)</f>
        <v>157.24688577000001</v>
      </c>
      <c r="U91" s="883">
        <f>SUM(U68+U69+U71+U79+U85+U86+U87+U88+U89)</f>
        <v>167.52599999999998</v>
      </c>
      <c r="V91" s="448">
        <f>IF(T91=0, "    ---- ", IF(ABS(ROUND(100/T91*U91-100,1))&lt;999,ROUND(100/T91*U91-100,1),IF(ROUND(100/T91*U91-100,1)&gt;999,999,-999)))</f>
        <v>6.5</v>
      </c>
      <c r="W91" s="883">
        <v>652276.69032454002</v>
      </c>
      <c r="X91" s="883">
        <v>706747.99020250002</v>
      </c>
      <c r="Y91" s="448">
        <f t="shared" si="48"/>
        <v>8.4</v>
      </c>
      <c r="Z91" s="883">
        <f>SUM(Z68+Z69+Z71+Z79+Z85+Z86+Z87+Z88+Z89)</f>
        <v>164118.27000000002</v>
      </c>
      <c r="AA91" s="883">
        <f>SUM(AA68+AA69+AA71+AA79+AA85+AA86+AA87+AA88+AA89)</f>
        <v>194116.53</v>
      </c>
      <c r="AB91" s="448">
        <f t="shared" si="27"/>
        <v>18.3</v>
      </c>
      <c r="AC91" s="883">
        <f>SUM(AC68+AC69+AC71+AC79+AC85+AC86+AC87+AC88+AC89)</f>
        <v>112424</v>
      </c>
      <c r="AD91" s="883">
        <f>SUM(AD68+AD69+AD71+AD79+AD85+AD86+AD87+AD88+AD89)</f>
        <v>125509</v>
      </c>
      <c r="AE91" s="448">
        <f>IF(AC91=0, "    ---- ", IF(ABS(ROUND(100/AC91*AD91-100,1))&lt;999,ROUND(100/AC91*AD91-100,1),IF(ROUND(100/AC91*AD91-100,1)&gt;999,999,-999)))</f>
        <v>11.6</v>
      </c>
      <c r="AF91" s="883">
        <f>SUM(AF68+AF69+AF71+AF79+AF85+AF86+AF87+AF88+AF89)</f>
        <v>3027.8722285099993</v>
      </c>
      <c r="AG91" s="883">
        <f>SUM(AG68+AG69+AG71+AG79+AG85+AG86+AG87+AG88+AG89)</f>
        <v>3321.703</v>
      </c>
      <c r="AH91" s="448">
        <f>IF(AF91=0, "    ---- ", IF(ABS(ROUND(100/AF91*AG91-100,1))&lt;999,ROUND(100/AF91*AG91-100,1),IF(ROUND(100/AF91*AG91-100,1)&gt;999,999,-999)))</f>
        <v>9.6999999999999993</v>
      </c>
      <c r="AI91" s="883">
        <f>SUM(AI68+AI69+AI71+AI79+AI85+AI86+AI87+AI88+AI89)</f>
        <v>73707.005999999994</v>
      </c>
      <c r="AJ91" s="883">
        <f>SUM(AJ68+AJ69+AJ71+AJ79+AJ85+AJ86+AJ87+AJ88+AJ89)</f>
        <v>87013.444000000018</v>
      </c>
      <c r="AK91" s="448">
        <f t="shared" si="29"/>
        <v>18.100000000000001</v>
      </c>
      <c r="AL91" s="883">
        <f>SUM(AL68+AL69+AL71+AL79+AL85+AL86+AL87+AL88+AL89)</f>
        <v>375840</v>
      </c>
      <c r="AM91" s="883">
        <f>SUM(AM68+AM69+AM71+AM79+AM85+AM86+AM87+AM88+AM89)</f>
        <v>411446.69999999995</v>
      </c>
      <c r="AN91" s="448">
        <f t="shared" si="30"/>
        <v>9.5</v>
      </c>
      <c r="AO91" s="197">
        <f>B91+H91+K91+N91+Q91+W91+E91+Z91+AC91+AI91+AL91</f>
        <v>1816187.41927359</v>
      </c>
      <c r="AP91" s="197">
        <f>C91+I91+L91+O91+R91+X91+F91+AA91+AD91+AJ91+AM91</f>
        <v>1998711.5704469399</v>
      </c>
      <c r="AQ91" s="448">
        <f t="shared" si="22"/>
        <v>10</v>
      </c>
      <c r="AR91" s="795">
        <f>B91+H91+K91+N91+Q91+T91+W91+E91+Z91+AC91+AF91+AI91+AL91</f>
        <v>1819372.53838787</v>
      </c>
      <c r="AS91" s="795">
        <f>C91+I91+L91+O91+R91+U91+X91+F91+AA91+AD91+AG91+AJ91+AM91</f>
        <v>2002200.7994469402</v>
      </c>
      <c r="AT91" s="449">
        <f t="shared" si="25"/>
        <v>10</v>
      </c>
    </row>
    <row r="92" spans="1:46" ht="18.75" customHeight="1" x14ac:dyDescent="0.35">
      <c r="A92" s="459" t="s">
        <v>252</v>
      </c>
      <c r="B92" s="459"/>
      <c r="W92" s="459"/>
      <c r="X92" s="461"/>
      <c r="AA92" s="462"/>
      <c r="AB92" s="462"/>
      <c r="AC92" s="462"/>
      <c r="AD92" s="462"/>
      <c r="AE92" s="462"/>
      <c r="AF92" s="462"/>
      <c r="AG92" s="462"/>
      <c r="AH92" s="462"/>
      <c r="AI92" s="459"/>
      <c r="AL92" s="459"/>
    </row>
    <row r="93" spans="1:46" ht="18.75" customHeight="1" x14ac:dyDescent="0.35">
      <c r="A93" s="459" t="s">
        <v>253</v>
      </c>
      <c r="W93" s="459"/>
      <c r="X93" s="461"/>
      <c r="AA93" s="462"/>
      <c r="AB93" s="462"/>
      <c r="AC93" s="462"/>
      <c r="AD93" s="462"/>
      <c r="AE93" s="462"/>
      <c r="AF93" s="462"/>
      <c r="AG93" s="462"/>
      <c r="AH93" s="462"/>
      <c r="AI93" s="459"/>
      <c r="AL93" s="459"/>
    </row>
    <row r="94" spans="1:46" s="463" customFormat="1" ht="18.75" customHeight="1" x14ac:dyDescent="0.35">
      <c r="A94" s="459" t="s">
        <v>254</v>
      </c>
      <c r="W94" s="459"/>
      <c r="X94" s="459"/>
      <c r="AB94" s="464"/>
      <c r="AC94" s="464"/>
      <c r="AD94" s="464"/>
      <c r="AE94" s="464"/>
      <c r="AF94" s="464"/>
      <c r="AG94" s="464"/>
      <c r="AH94" s="464"/>
    </row>
    <row r="95" spans="1:46" s="463" customFormat="1" ht="18" x14ac:dyDescent="0.35">
      <c r="W95" s="459"/>
      <c r="X95" s="459"/>
    </row>
    <row r="96" spans="1:46" s="463" customFormat="1" ht="18" x14ac:dyDescent="0.35">
      <c r="W96" s="459"/>
      <c r="X96" s="459"/>
    </row>
    <row r="97" spans="23:24" s="463" customFormat="1" ht="18" x14ac:dyDescent="0.35">
      <c r="W97" s="459"/>
      <c r="X97" s="459"/>
    </row>
    <row r="98" spans="23:24" s="463" customFormat="1" ht="18" x14ac:dyDescent="0.35">
      <c r="W98" s="459"/>
      <c r="X98" s="459"/>
    </row>
    <row r="99" spans="23:24" s="463" customFormat="1" ht="18" x14ac:dyDescent="0.35">
      <c r="W99" s="459"/>
      <c r="X99" s="459"/>
    </row>
    <row r="100" spans="23:24" s="463" customFormat="1" ht="18" x14ac:dyDescent="0.35">
      <c r="W100" s="459"/>
      <c r="X100" s="459"/>
    </row>
    <row r="101" spans="23:24" s="463" customFormat="1" ht="18" x14ac:dyDescent="0.35">
      <c r="W101" s="459"/>
      <c r="X101" s="459"/>
    </row>
    <row r="102" spans="23:24" s="463" customFormat="1" ht="18" x14ac:dyDescent="0.35">
      <c r="W102" s="459"/>
      <c r="X102" s="459"/>
    </row>
    <row r="103" spans="23:24" s="463" customFormat="1" ht="18" x14ac:dyDescent="0.35">
      <c r="W103" s="459"/>
      <c r="X103" s="459"/>
    </row>
    <row r="104" spans="23:24" s="463" customFormat="1" ht="18" x14ac:dyDescent="0.35">
      <c r="W104" s="459"/>
      <c r="X104" s="459"/>
    </row>
    <row r="105" spans="23:24" s="463" customFormat="1" ht="18" x14ac:dyDescent="0.35">
      <c r="W105" s="459"/>
      <c r="X105" s="459"/>
    </row>
    <row r="106" spans="23:24" s="463" customFormat="1" ht="18" x14ac:dyDescent="0.35">
      <c r="W106" s="459"/>
      <c r="X106" s="459"/>
    </row>
    <row r="107" spans="23:24" s="463" customFormat="1" ht="18" x14ac:dyDescent="0.35">
      <c r="W107" s="459"/>
      <c r="X107" s="459"/>
    </row>
    <row r="108" spans="23:24" s="463" customFormat="1" ht="18" x14ac:dyDescent="0.35">
      <c r="W108" s="459"/>
      <c r="X108" s="459"/>
    </row>
    <row r="109" spans="23:24" s="463" customFormat="1" ht="18" x14ac:dyDescent="0.35">
      <c r="W109" s="459"/>
      <c r="X109" s="459"/>
    </row>
    <row r="110" spans="23:24" s="463" customFormat="1" ht="18" x14ac:dyDescent="0.35">
      <c r="W110" s="459"/>
      <c r="X110" s="459"/>
    </row>
    <row r="111" spans="23:24" s="487" customFormat="1" ht="15.6" x14ac:dyDescent="0.3">
      <c r="W111" s="486"/>
      <c r="X111" s="486"/>
    </row>
    <row r="112" spans="23:24" s="487" customFormat="1" ht="15.6" x14ac:dyDescent="0.3">
      <c r="W112" s="486"/>
      <c r="X112" s="486"/>
    </row>
    <row r="113" spans="23:24" x14ac:dyDescent="0.25">
      <c r="W113" s="461"/>
      <c r="X113" s="461"/>
    </row>
    <row r="114" spans="23:24" x14ac:dyDescent="0.25">
      <c r="W114" s="461"/>
      <c r="X114" s="461"/>
    </row>
    <row r="115" spans="23:24" x14ac:dyDescent="0.25">
      <c r="W115" s="461"/>
      <c r="X115" s="461"/>
    </row>
    <row r="116" spans="23:24" x14ac:dyDescent="0.25">
      <c r="W116" s="461"/>
      <c r="X116" s="461"/>
    </row>
    <row r="117" spans="23:24" x14ac:dyDescent="0.25">
      <c r="W117" s="461"/>
      <c r="X117" s="461"/>
    </row>
    <row r="118" spans="23:24" x14ac:dyDescent="0.25">
      <c r="W118" s="461"/>
      <c r="X118" s="461"/>
    </row>
    <row r="119" spans="23:24" x14ac:dyDescent="0.25">
      <c r="W119" s="461"/>
      <c r="X119" s="461"/>
    </row>
    <row r="120" spans="23:24" x14ac:dyDescent="0.25">
      <c r="W120" s="461"/>
      <c r="X120" s="461"/>
    </row>
    <row r="121" spans="23:24" x14ac:dyDescent="0.25">
      <c r="W121" s="461"/>
      <c r="X121" s="461"/>
    </row>
    <row r="122" spans="23:24" x14ac:dyDescent="0.25">
      <c r="W122" s="461"/>
      <c r="X122" s="461"/>
    </row>
    <row r="123" spans="23:24" x14ac:dyDescent="0.25">
      <c r="W123" s="461"/>
      <c r="X123" s="461"/>
    </row>
    <row r="124" spans="23:24" x14ac:dyDescent="0.25">
      <c r="W124" s="461"/>
      <c r="X124" s="461"/>
    </row>
    <row r="125" spans="23:24" x14ac:dyDescent="0.25">
      <c r="W125" s="461"/>
      <c r="X125" s="461"/>
    </row>
    <row r="126" spans="23:24" x14ac:dyDescent="0.25">
      <c r="W126" s="461"/>
      <c r="X126" s="461"/>
    </row>
    <row r="127" spans="23:24" x14ac:dyDescent="0.25">
      <c r="W127" s="461"/>
      <c r="X127" s="461"/>
    </row>
    <row r="128" spans="23:24" x14ac:dyDescent="0.25">
      <c r="W128" s="461"/>
      <c r="X128" s="461"/>
    </row>
    <row r="129" spans="23:24" x14ac:dyDescent="0.25">
      <c r="W129" s="461"/>
      <c r="X129" s="461"/>
    </row>
    <row r="130" spans="23:24" x14ac:dyDescent="0.25">
      <c r="W130" s="461"/>
      <c r="X130" s="461"/>
    </row>
  </sheetData>
  <mergeCells count="34">
    <mergeCell ref="AI6:AK6"/>
    <mergeCell ref="AO6:AQ6"/>
    <mergeCell ref="B5:D5"/>
    <mergeCell ref="H5:J5"/>
    <mergeCell ref="AZ5:BB5"/>
    <mergeCell ref="BC5:BE5"/>
    <mergeCell ref="T6:V6"/>
    <mergeCell ref="W6:Y6"/>
    <mergeCell ref="Z6:AB6"/>
    <mergeCell ref="AC6:AE6"/>
    <mergeCell ref="AF6:AH6"/>
    <mergeCell ref="AZ6:BB6"/>
    <mergeCell ref="BC6:BE6"/>
    <mergeCell ref="AW5:AY5"/>
    <mergeCell ref="B6:D6"/>
    <mergeCell ref="H6:J6"/>
    <mergeCell ref="E5:G5"/>
    <mergeCell ref="E6:G6"/>
    <mergeCell ref="BF5:BH5"/>
    <mergeCell ref="AC5:AE5"/>
    <mergeCell ref="AL5:AN5"/>
    <mergeCell ref="AR5:AT5"/>
    <mergeCell ref="K6:M6"/>
    <mergeCell ref="N6:P6"/>
    <mergeCell ref="Q6:S6"/>
    <mergeCell ref="K5:M5"/>
    <mergeCell ref="N5:P5"/>
    <mergeCell ref="Q5:S5"/>
    <mergeCell ref="BF6:BH6"/>
    <mergeCell ref="AW6:AY6"/>
    <mergeCell ref="AI5:AK5"/>
    <mergeCell ref="AO5:AQ5"/>
    <mergeCell ref="AL6:AN6"/>
    <mergeCell ref="AR6:AT6"/>
  </mergeCells>
  <conditionalFormatting sqref="E35">
    <cfRule type="expression" dxfId="301" priority="418">
      <formula>#REF! ="35≠36+38"</formula>
    </cfRule>
  </conditionalFormatting>
  <conditionalFormatting sqref="E39">
    <cfRule type="expression" dxfId="300" priority="419">
      <formula>#REF! ="39≠40+41+42+43+44"</formula>
    </cfRule>
  </conditionalFormatting>
  <conditionalFormatting sqref="E45">
    <cfRule type="expression" dxfId="299" priority="420">
      <formula>#REF! ="45≠33+34+35+39"</formula>
    </cfRule>
  </conditionalFormatting>
  <conditionalFormatting sqref="E50">
    <cfRule type="expression" dxfId="298" priority="421">
      <formula>#REF! ="50≠51+53"</formula>
    </cfRule>
  </conditionalFormatting>
  <conditionalFormatting sqref="E54">
    <cfRule type="expression" dxfId="297" priority="422">
      <formula>#REF! ="54≠55+56+57+58+59"</formula>
    </cfRule>
  </conditionalFormatting>
  <conditionalFormatting sqref="E60">
    <cfRule type="expression" dxfId="296" priority="423">
      <formula>#REF! ="60≠48+49+50+54"</formula>
    </cfRule>
  </conditionalFormatting>
  <conditionalFormatting sqref="E62">
    <cfRule type="expression" dxfId="295" priority="424">
      <formula>#REF! ="62≠45+46+60+61"</formula>
    </cfRule>
  </conditionalFormatting>
  <conditionalFormatting sqref="E64">
    <cfRule type="expression" dxfId="294" priority="425">
      <formula>#REF! ="64≠29+62"</formula>
    </cfRule>
  </conditionalFormatting>
  <conditionalFormatting sqref="E79">
    <cfRule type="expression" dxfId="293" priority="426">
      <formula>#REF! ="80≠73+74+75+76+77+78+79"</formula>
    </cfRule>
  </conditionalFormatting>
  <conditionalFormatting sqref="E85">
    <cfRule type="expression" dxfId="292" priority="427">
      <formula>#REF! ="88≠82+83+84+85+86+87"</formula>
    </cfRule>
  </conditionalFormatting>
  <conditionalFormatting sqref="E91">
    <cfRule type="expression" dxfId="291" priority="428">
      <formula>#REF! = "64≠94"</formula>
    </cfRule>
  </conditionalFormatting>
  <conditionalFormatting sqref="E91">
    <cfRule type="expression" dxfId="290" priority="429">
      <formula>#REF! = "94≠68+69+71+80+88+89+90+91+92"</formula>
    </cfRule>
  </conditionalFormatting>
  <conditionalFormatting sqref="B35">
    <cfRule type="expression" dxfId="289" priority="262">
      <formula>#REF! ="35≠36+38"</formula>
    </cfRule>
  </conditionalFormatting>
  <conditionalFormatting sqref="B39">
    <cfRule type="expression" dxfId="288" priority="263">
      <formula>#REF! ="39≠40+41+42+43+44"</formula>
    </cfRule>
  </conditionalFormatting>
  <conditionalFormatting sqref="B45">
    <cfRule type="expression" dxfId="287" priority="264">
      <formula>#REF! ="45≠33+34+35+39"</formula>
    </cfRule>
  </conditionalFormatting>
  <conditionalFormatting sqref="B50">
    <cfRule type="expression" dxfId="286" priority="265">
      <formula>#REF! ="50≠51+53"</formula>
    </cfRule>
  </conditionalFormatting>
  <conditionalFormatting sqref="B54">
    <cfRule type="expression" dxfId="285" priority="266">
      <formula>#REF! ="54≠55+56+57+58+59"</formula>
    </cfRule>
  </conditionalFormatting>
  <conditionalFormatting sqref="B60">
    <cfRule type="expression" dxfId="284" priority="267">
      <formula>#REF! ="60≠48+49+50+54"</formula>
    </cfRule>
  </conditionalFormatting>
  <conditionalFormatting sqref="B62">
    <cfRule type="expression" dxfId="283" priority="268">
      <formula>#REF! ="62≠45+46+60+61"</formula>
    </cfRule>
  </conditionalFormatting>
  <conditionalFormatting sqref="B64">
    <cfRule type="expression" dxfId="282" priority="269">
      <formula>#REF! ="64≠29+62"</formula>
    </cfRule>
  </conditionalFormatting>
  <conditionalFormatting sqref="B79">
    <cfRule type="expression" dxfId="281" priority="270">
      <formula>#REF! ="80≠73+74+75+76+77+78+79"</formula>
    </cfRule>
  </conditionalFormatting>
  <conditionalFormatting sqref="B85">
    <cfRule type="expression" dxfId="280" priority="271">
      <formula>#REF! ="88≠82+83+84+85+86+87"</formula>
    </cfRule>
  </conditionalFormatting>
  <conditionalFormatting sqref="B91">
    <cfRule type="expression" dxfId="279" priority="272">
      <formula>#REF! = "64≠94"</formula>
    </cfRule>
  </conditionalFormatting>
  <conditionalFormatting sqref="B91">
    <cfRule type="expression" dxfId="278" priority="273">
      <formula>#REF! = "94≠68+69+71+80+88+89+90+91+92"</formula>
    </cfRule>
  </conditionalFormatting>
  <conditionalFormatting sqref="H35">
    <cfRule type="expression" dxfId="277" priority="238">
      <formula>#REF! ="35≠36+38"</formula>
    </cfRule>
  </conditionalFormatting>
  <conditionalFormatting sqref="H39">
    <cfRule type="expression" dxfId="276" priority="239">
      <formula>#REF! ="39≠40+41+42+43+44"</formula>
    </cfRule>
  </conditionalFormatting>
  <conditionalFormatting sqref="H45">
    <cfRule type="expression" dxfId="275" priority="240">
      <formula>#REF! ="45≠33+34+35+39"</formula>
    </cfRule>
  </conditionalFormatting>
  <conditionalFormatting sqref="H50">
    <cfRule type="expression" dxfId="274" priority="241">
      <formula>#REF! ="50≠51+53"</formula>
    </cfRule>
  </conditionalFormatting>
  <conditionalFormatting sqref="H54">
    <cfRule type="expression" dxfId="273" priority="242">
      <formula>#REF! ="54≠55+56+57+58+59"</formula>
    </cfRule>
  </conditionalFormatting>
  <conditionalFormatting sqref="H60">
    <cfRule type="expression" dxfId="272" priority="243">
      <formula>#REF! ="60≠48+49+50+54"</formula>
    </cfRule>
  </conditionalFormatting>
  <conditionalFormatting sqref="H62">
    <cfRule type="expression" dxfId="271" priority="244">
      <formula>#REF! ="62≠45+46+60+61"</formula>
    </cfRule>
  </conditionalFormatting>
  <conditionalFormatting sqref="H64">
    <cfRule type="expression" dxfId="270" priority="245">
      <formula>#REF! ="64≠29+62"</formula>
    </cfRule>
  </conditionalFormatting>
  <conditionalFormatting sqref="H79">
    <cfRule type="expression" dxfId="269" priority="246">
      <formula>#REF! ="80≠73+74+75+76+77+78+79"</formula>
    </cfRule>
  </conditionalFormatting>
  <conditionalFormatting sqref="H85">
    <cfRule type="expression" dxfId="268" priority="247">
      <formula>#REF! ="88≠82+83+84+85+86+87"</formula>
    </cfRule>
  </conditionalFormatting>
  <conditionalFormatting sqref="H91">
    <cfRule type="expression" dxfId="267" priority="248">
      <formula>#REF! = "64≠94"</formula>
    </cfRule>
  </conditionalFormatting>
  <conditionalFormatting sqref="H91">
    <cfRule type="expression" dxfId="266" priority="249">
      <formula>#REF! = "94≠68+69+71+80+88+89+90+91+92"</formula>
    </cfRule>
  </conditionalFormatting>
  <conditionalFormatting sqref="K35">
    <cfRule type="expression" dxfId="265" priority="214">
      <formula>#REF! ="35≠36+38"</formula>
    </cfRule>
  </conditionalFormatting>
  <conditionalFormatting sqref="K39">
    <cfRule type="expression" dxfId="264" priority="215">
      <formula>#REF! ="39≠40+41+42+43+44"</formula>
    </cfRule>
  </conditionalFormatting>
  <conditionalFormatting sqref="K45">
    <cfRule type="expression" dxfId="263" priority="216">
      <formula>#REF! ="45≠33+34+35+39"</formula>
    </cfRule>
  </conditionalFormatting>
  <conditionalFormatting sqref="K50">
    <cfRule type="expression" dxfId="262" priority="217">
      <formula>#REF! ="50≠51+53"</formula>
    </cfRule>
  </conditionalFormatting>
  <conditionalFormatting sqref="K54">
    <cfRule type="expression" dxfId="261" priority="218">
      <formula>#REF! ="54≠55+56+57+58+59"</formula>
    </cfRule>
  </conditionalFormatting>
  <conditionalFormatting sqref="K60">
    <cfRule type="expression" dxfId="260" priority="219">
      <formula>#REF! ="60≠48+49+50+54"</formula>
    </cfRule>
  </conditionalFormatting>
  <conditionalFormatting sqref="K62">
    <cfRule type="expression" dxfId="259" priority="220">
      <formula>#REF! ="62≠45+46+60+61"</formula>
    </cfRule>
  </conditionalFormatting>
  <conditionalFormatting sqref="K64">
    <cfRule type="expression" dxfId="258" priority="221">
      <formula>#REF! ="64≠29+62"</formula>
    </cfRule>
  </conditionalFormatting>
  <conditionalFormatting sqref="K79">
    <cfRule type="expression" dxfId="257" priority="222">
      <formula>#REF! ="80≠73+74+75+76+77+78+79"</formula>
    </cfRule>
  </conditionalFormatting>
  <conditionalFormatting sqref="K85">
    <cfRule type="expression" dxfId="256" priority="223">
      <formula>#REF! ="88≠82+83+84+85+86+87"</formula>
    </cfRule>
  </conditionalFormatting>
  <conditionalFormatting sqref="K91">
    <cfRule type="expression" dxfId="255" priority="224">
      <formula>#REF! = "64≠94"</formula>
    </cfRule>
  </conditionalFormatting>
  <conditionalFormatting sqref="K91">
    <cfRule type="expression" dxfId="254" priority="225">
      <formula>#REF! = "94≠68+69+71+80+88+89+90+91+92"</formula>
    </cfRule>
  </conditionalFormatting>
  <conditionalFormatting sqref="N35">
    <cfRule type="expression" dxfId="253" priority="190">
      <formula>#REF! ="35≠36+38"</formula>
    </cfRule>
  </conditionalFormatting>
  <conditionalFormatting sqref="N39">
    <cfRule type="expression" dxfId="252" priority="191">
      <formula>#REF! ="39≠40+41+42+43+44"</formula>
    </cfRule>
  </conditionalFormatting>
  <conditionalFormatting sqref="N45">
    <cfRule type="expression" dxfId="251" priority="192">
      <formula>#REF! ="45≠33+34+35+39"</formula>
    </cfRule>
  </conditionalFormatting>
  <conditionalFormatting sqref="N50">
    <cfRule type="expression" dxfId="250" priority="193">
      <formula>#REF! ="50≠51+53"</formula>
    </cfRule>
  </conditionalFormatting>
  <conditionalFormatting sqref="N54">
    <cfRule type="expression" dxfId="249" priority="194">
      <formula>#REF! ="54≠55+56+57+58+59"</formula>
    </cfRule>
  </conditionalFormatting>
  <conditionalFormatting sqref="N60">
    <cfRule type="expression" dxfId="248" priority="195">
      <formula>#REF! ="60≠48+49+50+54"</formula>
    </cfRule>
  </conditionalFormatting>
  <conditionalFormatting sqref="N62">
    <cfRule type="expression" dxfId="247" priority="196">
      <formula>#REF! ="62≠45+46+60+61"</formula>
    </cfRule>
  </conditionalFormatting>
  <conditionalFormatting sqref="N64">
    <cfRule type="expression" dxfId="246" priority="197">
      <formula>#REF! ="64≠29+62"</formula>
    </cfRule>
  </conditionalFormatting>
  <conditionalFormatting sqref="N79">
    <cfRule type="expression" dxfId="245" priority="198">
      <formula>#REF! ="80≠73+74+75+76+77+78+79"</formula>
    </cfRule>
  </conditionalFormatting>
  <conditionalFormatting sqref="N85">
    <cfRule type="expression" dxfId="244" priority="199">
      <formula>#REF! ="88≠82+83+84+85+86+87"</formula>
    </cfRule>
  </conditionalFormatting>
  <conditionalFormatting sqref="N91">
    <cfRule type="expression" dxfId="243" priority="200">
      <formula>#REF! = "64≠94"</formula>
    </cfRule>
  </conditionalFormatting>
  <conditionalFormatting sqref="N91">
    <cfRule type="expression" dxfId="242" priority="201">
      <formula>#REF! = "94≠68+69+71+80+88+89+90+91+92"</formula>
    </cfRule>
  </conditionalFormatting>
  <conditionalFormatting sqref="Q35">
    <cfRule type="expression" dxfId="241" priority="166">
      <formula>#REF! ="35≠36+38"</formula>
    </cfRule>
  </conditionalFormatting>
  <conditionalFormatting sqref="Q39">
    <cfRule type="expression" dxfId="240" priority="167">
      <formula>#REF! ="39≠40+41+42+43+44"</formula>
    </cfRule>
  </conditionalFormatting>
  <conditionalFormatting sqref="Q45">
    <cfRule type="expression" dxfId="239" priority="168">
      <formula>#REF! ="45≠33+34+35+39"</formula>
    </cfRule>
  </conditionalFormatting>
  <conditionalFormatting sqref="Q50">
    <cfRule type="expression" dxfId="238" priority="169">
      <formula>#REF! ="50≠51+53"</formula>
    </cfRule>
  </conditionalFormatting>
  <conditionalFormatting sqref="Q54">
    <cfRule type="expression" dxfId="237" priority="170">
      <formula>#REF! ="54≠55+56+57+58+59"</formula>
    </cfRule>
  </conditionalFormatting>
  <conditionalFormatting sqref="Q60">
    <cfRule type="expression" dxfId="236" priority="171">
      <formula>#REF! ="60≠48+49+50+54"</formula>
    </cfRule>
  </conditionalFormatting>
  <conditionalFormatting sqref="Q62">
    <cfRule type="expression" dxfId="235" priority="172">
      <formula>#REF! ="62≠45+46+60+61"</formula>
    </cfRule>
  </conditionalFormatting>
  <conditionalFormatting sqref="Q64">
    <cfRule type="expression" dxfId="234" priority="173">
      <formula>#REF! ="64≠29+62"</formula>
    </cfRule>
  </conditionalFormatting>
  <conditionalFormatting sqref="Q79">
    <cfRule type="expression" dxfId="233" priority="174">
      <formula>#REF! ="80≠73+74+75+76+77+78+79"</formula>
    </cfRule>
  </conditionalFormatting>
  <conditionalFormatting sqref="Q85">
    <cfRule type="expression" dxfId="232" priority="175">
      <formula>#REF! ="88≠82+83+84+85+86+87"</formula>
    </cfRule>
  </conditionalFormatting>
  <conditionalFormatting sqref="Q91">
    <cfRule type="expression" dxfId="231" priority="176">
      <formula>#REF! = "64≠94"</formula>
    </cfRule>
  </conditionalFormatting>
  <conditionalFormatting sqref="Q91">
    <cfRule type="expression" dxfId="230" priority="177">
      <formula>#REF! = "94≠68+69+71+80+88+89+90+91+92"</formula>
    </cfRule>
  </conditionalFormatting>
  <conditionalFormatting sqref="AF35">
    <cfRule type="expression" dxfId="229" priority="142">
      <formula>#REF! ="35≠36+38"</formula>
    </cfRule>
  </conditionalFormatting>
  <conditionalFormatting sqref="AF39">
    <cfRule type="expression" dxfId="228" priority="143">
      <formula>#REF! ="39≠40+41+42+43+44"</formula>
    </cfRule>
  </conditionalFormatting>
  <conditionalFormatting sqref="AF45">
    <cfRule type="expression" dxfId="227" priority="144">
      <formula>#REF! ="45≠33+34+35+39"</formula>
    </cfRule>
  </conditionalFormatting>
  <conditionalFormatting sqref="AF50">
    <cfRule type="expression" dxfId="226" priority="145">
      <formula>#REF! ="50≠51+53"</formula>
    </cfRule>
  </conditionalFormatting>
  <conditionalFormatting sqref="AF54">
    <cfRule type="expression" dxfId="225" priority="146">
      <formula>#REF! ="54≠55+56+57+58+59"</formula>
    </cfRule>
  </conditionalFormatting>
  <conditionalFormatting sqref="AF60">
    <cfRule type="expression" dxfId="224" priority="147">
      <formula>#REF! ="60≠48+49+50+54"</formula>
    </cfRule>
  </conditionalFormatting>
  <conditionalFormatting sqref="AF62">
    <cfRule type="expression" dxfId="223" priority="148">
      <formula>#REF! ="62≠45+46+60+61"</formula>
    </cfRule>
  </conditionalFormatting>
  <conditionalFormatting sqref="AF64">
    <cfRule type="expression" dxfId="222" priority="149">
      <formula>#REF! ="64≠29+62"</formula>
    </cfRule>
  </conditionalFormatting>
  <conditionalFormatting sqref="AF79">
    <cfRule type="expression" dxfId="221" priority="150">
      <formula>#REF! ="80≠73+74+75+76+77+78+79"</formula>
    </cfRule>
  </conditionalFormatting>
  <conditionalFormatting sqref="AF85">
    <cfRule type="expression" dxfId="220" priority="151">
      <formula>#REF! ="88≠82+83+84+85+86+87"</formula>
    </cfRule>
  </conditionalFormatting>
  <conditionalFormatting sqref="AF91">
    <cfRule type="expression" dxfId="219" priority="152">
      <formula>#REF! = "64≠94"</formula>
    </cfRule>
  </conditionalFormatting>
  <conditionalFormatting sqref="AF91">
    <cfRule type="expression" dxfId="218" priority="153">
      <formula>#REF! = "94≠68+69+71+80+88+89+90+91+92"</formula>
    </cfRule>
  </conditionalFormatting>
  <conditionalFormatting sqref="T35">
    <cfRule type="expression" dxfId="217" priority="118">
      <formula>#REF! ="35≠36+38"</formula>
    </cfRule>
  </conditionalFormatting>
  <conditionalFormatting sqref="T39">
    <cfRule type="expression" dxfId="216" priority="119">
      <formula>#REF! ="39≠40+41+42+43+44"</formula>
    </cfRule>
  </conditionalFormatting>
  <conditionalFormatting sqref="T45">
    <cfRule type="expression" dxfId="215" priority="120">
      <formula>#REF! ="45≠33+34+35+39"</formula>
    </cfRule>
  </conditionalFormatting>
  <conditionalFormatting sqref="T50">
    <cfRule type="expression" dxfId="214" priority="121">
      <formula>#REF! ="50≠51+53"</formula>
    </cfRule>
  </conditionalFormatting>
  <conditionalFormatting sqref="T54">
    <cfRule type="expression" dxfId="213" priority="122">
      <formula>#REF! ="54≠55+56+57+58+59"</formula>
    </cfRule>
  </conditionalFormatting>
  <conditionalFormatting sqref="T60">
    <cfRule type="expression" dxfId="212" priority="123">
      <formula>#REF! ="60≠48+49+50+54"</formula>
    </cfRule>
  </conditionalFormatting>
  <conditionalFormatting sqref="T62">
    <cfRule type="expression" dxfId="211" priority="124">
      <formula>#REF! ="62≠45+46+60+61"</formula>
    </cfRule>
  </conditionalFormatting>
  <conditionalFormatting sqref="T64">
    <cfRule type="expression" dxfId="210" priority="125">
      <formula>#REF! ="64≠29+62"</formula>
    </cfRule>
  </conditionalFormatting>
  <conditionalFormatting sqref="T79">
    <cfRule type="expression" dxfId="209" priority="126">
      <formula>#REF! ="80≠73+74+75+76+77+78+79"</formula>
    </cfRule>
  </conditionalFormatting>
  <conditionalFormatting sqref="T85">
    <cfRule type="expression" dxfId="208" priority="127">
      <formula>#REF! ="88≠82+83+84+85+86+87"</formula>
    </cfRule>
  </conditionalFormatting>
  <conditionalFormatting sqref="T91">
    <cfRule type="expression" dxfId="207" priority="128">
      <formula>#REF! = "64≠94"</formula>
    </cfRule>
  </conditionalFormatting>
  <conditionalFormatting sqref="T91">
    <cfRule type="expression" dxfId="206" priority="129">
      <formula>#REF! = "94≠68+69+71+80+88+89+90+91+92"</formula>
    </cfRule>
  </conditionalFormatting>
  <conditionalFormatting sqref="W35">
    <cfRule type="expression" dxfId="205" priority="97">
      <formula>#REF! ="35≠36+38"</formula>
    </cfRule>
  </conditionalFormatting>
  <conditionalFormatting sqref="W39">
    <cfRule type="expression" dxfId="204" priority="98">
      <formula>#REF! ="39≠40+41+42+43+44"</formula>
    </cfRule>
  </conditionalFormatting>
  <conditionalFormatting sqref="W45">
    <cfRule type="expression" dxfId="203" priority="99">
      <formula>#REF! ="45≠33+34+35+39"</formula>
    </cfRule>
  </conditionalFormatting>
  <conditionalFormatting sqref="W50">
    <cfRule type="expression" dxfId="202" priority="100">
      <formula>#REF! ="50≠51+53"</formula>
    </cfRule>
  </conditionalFormatting>
  <conditionalFormatting sqref="W54">
    <cfRule type="expression" dxfId="201" priority="101">
      <formula>#REF! ="54≠55+56+57+58+59"</formula>
    </cfRule>
  </conditionalFormatting>
  <conditionalFormatting sqref="W60">
    <cfRule type="expression" dxfId="200" priority="102">
      <formula>#REF! ="60≠48+49+50+54"</formula>
    </cfRule>
  </conditionalFormatting>
  <conditionalFormatting sqref="W62">
    <cfRule type="expression" dxfId="199" priority="103">
      <formula>#REF! ="62≠45+46+60+61"</formula>
    </cfRule>
  </conditionalFormatting>
  <conditionalFormatting sqref="W64">
    <cfRule type="expression" dxfId="198" priority="104">
      <formula>#REF! ="64≠29+62"</formula>
    </cfRule>
  </conditionalFormatting>
  <conditionalFormatting sqref="W79">
    <cfRule type="expression" dxfId="197" priority="105">
      <formula>#REF! ="80≠73+74+75+76+77+78+79"</formula>
    </cfRule>
  </conditionalFormatting>
  <conditionalFormatting sqref="W85">
    <cfRule type="expression" dxfId="196" priority="106">
      <formula>#REF! ="88≠82+83+84+85+86+87"</formula>
    </cfRule>
  </conditionalFormatting>
  <conditionalFormatting sqref="W91">
    <cfRule type="expression" dxfId="195" priority="107">
      <formula>#REF! = "64≠94"</formula>
    </cfRule>
  </conditionalFormatting>
  <conditionalFormatting sqref="W91">
    <cfRule type="expression" dxfId="194" priority="108">
      <formula>#REF! = "94≠68+69+71+80+88+89+90+91+92"</formula>
    </cfRule>
  </conditionalFormatting>
  <conditionalFormatting sqref="Z35">
    <cfRule type="expression" dxfId="193" priority="73">
      <formula>#REF! ="35≠36+38"</formula>
    </cfRule>
  </conditionalFormatting>
  <conditionalFormatting sqref="Z39">
    <cfRule type="expression" dxfId="192" priority="74">
      <formula>#REF! ="39≠40+41+42+43+44"</formula>
    </cfRule>
  </conditionalFormatting>
  <conditionalFormatting sqref="Z45">
    <cfRule type="expression" dxfId="191" priority="75">
      <formula>#REF! ="45≠33+34+35+39"</formula>
    </cfRule>
  </conditionalFormatting>
  <conditionalFormatting sqref="Z50">
    <cfRule type="expression" dxfId="190" priority="76">
      <formula>#REF! ="50≠51+53"</formula>
    </cfRule>
  </conditionalFormatting>
  <conditionalFormatting sqref="Z54">
    <cfRule type="expression" dxfId="189" priority="77">
      <formula>#REF! ="54≠55+56+57+58+59"</formula>
    </cfRule>
  </conditionalFormatting>
  <conditionalFormatting sqref="Z60">
    <cfRule type="expression" dxfId="188" priority="78">
      <formula>#REF! ="60≠48+49+50+54"</formula>
    </cfRule>
  </conditionalFormatting>
  <conditionalFormatting sqref="Z62">
    <cfRule type="expression" dxfId="187" priority="79">
      <formula>#REF! ="62≠45+46+60+61"</formula>
    </cfRule>
  </conditionalFormatting>
  <conditionalFormatting sqref="Z64">
    <cfRule type="expression" dxfId="186" priority="80">
      <formula>#REF! ="64≠29+62"</formula>
    </cfRule>
  </conditionalFormatting>
  <conditionalFormatting sqref="Z79">
    <cfRule type="expression" dxfId="185" priority="81">
      <formula>#REF! ="80≠73+74+75+76+77+78+79"</formula>
    </cfRule>
  </conditionalFormatting>
  <conditionalFormatting sqref="Z85">
    <cfRule type="expression" dxfId="184" priority="82">
      <formula>#REF! ="88≠82+83+84+85+86+87"</formula>
    </cfRule>
  </conditionalFormatting>
  <conditionalFormatting sqref="Z91">
    <cfRule type="expression" dxfId="183" priority="83">
      <formula>#REF! = "64≠94"</formula>
    </cfRule>
  </conditionalFormatting>
  <conditionalFormatting sqref="Z91">
    <cfRule type="expression" dxfId="182" priority="84">
      <formula>#REF! = "94≠68+69+71+80+88+89+90+91+92"</formula>
    </cfRule>
  </conditionalFormatting>
  <conditionalFormatting sqref="AC35">
    <cfRule type="expression" dxfId="181" priority="49">
      <formula>#REF! ="35≠36+38"</formula>
    </cfRule>
  </conditionalFormatting>
  <conditionalFormatting sqref="AC39">
    <cfRule type="expression" dxfId="180" priority="50">
      <formula>#REF! ="39≠40+41+42+43+44"</formula>
    </cfRule>
  </conditionalFormatting>
  <conditionalFormatting sqref="AC45">
    <cfRule type="expression" dxfId="179" priority="51">
      <formula>#REF! ="45≠33+34+35+39"</formula>
    </cfRule>
  </conditionalFormatting>
  <conditionalFormatting sqref="AC50">
    <cfRule type="expression" dxfId="178" priority="52">
      <formula>#REF! ="50≠51+53"</formula>
    </cfRule>
  </conditionalFormatting>
  <conditionalFormatting sqref="AC54">
    <cfRule type="expression" dxfId="177" priority="53">
      <formula>#REF! ="54≠55+56+57+58+59"</formula>
    </cfRule>
  </conditionalFormatting>
  <conditionalFormatting sqref="AC60">
    <cfRule type="expression" dxfId="176" priority="54">
      <formula>#REF! ="60≠48+49+50+54"</formula>
    </cfRule>
  </conditionalFormatting>
  <conditionalFormatting sqref="AC62">
    <cfRule type="expression" dxfId="175" priority="55">
      <formula>#REF! ="62≠45+46+60+61"</formula>
    </cfRule>
  </conditionalFormatting>
  <conditionalFormatting sqref="AC64">
    <cfRule type="expression" dxfId="174" priority="56">
      <formula>#REF! ="64≠29+62"</formula>
    </cfRule>
  </conditionalFormatting>
  <conditionalFormatting sqref="AC79">
    <cfRule type="expression" dxfId="173" priority="57">
      <formula>#REF! ="80≠73+74+75+76+77+78+79"</formula>
    </cfRule>
  </conditionalFormatting>
  <conditionalFormatting sqref="AC85">
    <cfRule type="expression" dxfId="172" priority="58">
      <formula>#REF! ="88≠82+83+84+85+86+87"</formula>
    </cfRule>
  </conditionalFormatting>
  <conditionalFormatting sqref="AC91">
    <cfRule type="expression" dxfId="171" priority="59">
      <formula>#REF! = "64≠94"</formula>
    </cfRule>
  </conditionalFormatting>
  <conditionalFormatting sqref="AC91">
    <cfRule type="expression" dxfId="170" priority="60">
      <formula>#REF! = "94≠68+69+71+80+88+89+90+91+92"</formula>
    </cfRule>
  </conditionalFormatting>
  <conditionalFormatting sqref="AI35">
    <cfRule type="expression" dxfId="169" priority="25">
      <formula>#REF! ="35≠36+38"</formula>
    </cfRule>
  </conditionalFormatting>
  <conditionalFormatting sqref="AI39">
    <cfRule type="expression" dxfId="168" priority="26">
      <formula>#REF! ="39≠40+41+42+43+44"</formula>
    </cfRule>
  </conditionalFormatting>
  <conditionalFormatting sqref="AI45">
    <cfRule type="expression" dxfId="167" priority="27">
      <formula>#REF! ="45≠33+34+35+39"</formula>
    </cfRule>
  </conditionalFormatting>
  <conditionalFormatting sqref="AI50">
    <cfRule type="expression" dxfId="166" priority="28">
      <formula>#REF! ="50≠51+53"</formula>
    </cfRule>
  </conditionalFormatting>
  <conditionalFormatting sqref="AI54">
    <cfRule type="expression" dxfId="165" priority="29">
      <formula>#REF! ="54≠55+56+57+58+59"</formula>
    </cfRule>
  </conditionalFormatting>
  <conditionalFormatting sqref="AI60">
    <cfRule type="expression" dxfId="164" priority="30">
      <formula>#REF! ="60≠48+49+50+54"</formula>
    </cfRule>
  </conditionalFormatting>
  <conditionalFormatting sqref="AI62">
    <cfRule type="expression" dxfId="163" priority="31">
      <formula>#REF! ="62≠45+46+60+61"</formula>
    </cfRule>
  </conditionalFormatting>
  <conditionalFormatting sqref="AI64">
    <cfRule type="expression" dxfId="162" priority="32">
      <formula>#REF! ="64≠29+62"</formula>
    </cfRule>
  </conditionalFormatting>
  <conditionalFormatting sqref="AI79">
    <cfRule type="expression" dxfId="161" priority="33">
      <formula>#REF! ="80≠73+74+75+76+77+78+79"</formula>
    </cfRule>
  </conditionalFormatting>
  <conditionalFormatting sqref="AI85">
    <cfRule type="expression" dxfId="160" priority="34">
      <formula>#REF! ="88≠82+83+84+85+86+87"</formula>
    </cfRule>
  </conditionalFormatting>
  <conditionalFormatting sqref="AI91">
    <cfRule type="expression" dxfId="159" priority="35">
      <formula>#REF! = "64≠94"</formula>
    </cfRule>
  </conditionalFormatting>
  <conditionalFormatting sqref="AI91">
    <cfRule type="expression" dxfId="158" priority="36">
      <formula>#REF! = "94≠68+69+71+80+88+89+90+91+92"</formula>
    </cfRule>
  </conditionalFormatting>
  <conditionalFormatting sqref="AL35">
    <cfRule type="expression" dxfId="157" priority="1">
      <formula>#REF! ="35≠36+38"</formula>
    </cfRule>
  </conditionalFormatting>
  <conditionalFormatting sqref="AL39">
    <cfRule type="expression" dxfId="156" priority="2">
      <formula>#REF! ="39≠40+41+42+43+44"</formula>
    </cfRule>
  </conditionalFormatting>
  <conditionalFormatting sqref="AL45">
    <cfRule type="expression" dxfId="155" priority="3">
      <formula>#REF! ="45≠33+34+35+39"</formula>
    </cfRule>
  </conditionalFormatting>
  <conditionalFormatting sqref="AL50">
    <cfRule type="expression" dxfId="154" priority="4">
      <formula>#REF! ="50≠51+53"</formula>
    </cfRule>
  </conditionalFormatting>
  <conditionalFormatting sqref="AL54">
    <cfRule type="expression" dxfId="153" priority="5">
      <formula>#REF! ="54≠55+56+57+58+59"</formula>
    </cfRule>
  </conditionalFormatting>
  <conditionalFormatting sqref="AL60">
    <cfRule type="expression" dxfId="152" priority="6">
      <formula>#REF! ="60≠48+49+50+54"</formula>
    </cfRule>
  </conditionalFormatting>
  <conditionalFormatting sqref="AL62">
    <cfRule type="expression" dxfId="151" priority="7">
      <formula>#REF! ="62≠45+46+60+61"</formula>
    </cfRule>
  </conditionalFormatting>
  <conditionalFormatting sqref="AL64">
    <cfRule type="expression" dxfId="150" priority="8">
      <formula>#REF! ="64≠29+62"</formula>
    </cfRule>
  </conditionalFormatting>
  <conditionalFormatting sqref="AL79">
    <cfRule type="expression" dxfId="149" priority="9">
      <formula>#REF! ="80≠73+74+75+76+77+78+79"</formula>
    </cfRule>
  </conditionalFormatting>
  <conditionalFormatting sqref="AL85">
    <cfRule type="expression" dxfId="148" priority="10">
      <formula>#REF! ="88≠82+83+84+85+86+87"</formula>
    </cfRule>
  </conditionalFormatting>
  <conditionalFormatting sqref="AL91">
    <cfRule type="expression" dxfId="147" priority="11">
      <formula>#REF! = "64≠94"</formula>
    </cfRule>
  </conditionalFormatting>
  <conditionalFormatting sqref="AL91">
    <cfRule type="expression" dxfId="146" priority="12">
      <formula>#REF! = "94≠68+69+71+80+88+89+90+91+92"</formula>
    </cfRule>
  </conditionalFormatting>
  <conditionalFormatting sqref="F35 C35 I35 L35 O35 R35 AG35 U35 X35 AA35 AD35 AJ35 AM35">
    <cfRule type="expression" dxfId="145" priority="1391">
      <formula>#REF! ="35≠36+38"</formula>
    </cfRule>
  </conditionalFormatting>
  <conditionalFormatting sqref="F39 C39 I39 L39 O39 R39 AG39 U39 X39 AA39 AD39 AJ39 AM39">
    <cfRule type="expression" dxfId="144" priority="1392">
      <formula>#REF! ="39≠40+41+42+43+44"</formula>
    </cfRule>
  </conditionalFormatting>
  <conditionalFormatting sqref="F45 C45 I45 L45 O45 R45 AG45 U45 X45 AA45 AD45 AJ45 AM45">
    <cfRule type="expression" dxfId="143" priority="1393">
      <formula>#REF! ="45≠33+34+35+39"</formula>
    </cfRule>
  </conditionalFormatting>
  <conditionalFormatting sqref="F50 C50 I50 L50 O50 R50 AG50 U50 AA50 AD50 AJ50 AM50">
    <cfRule type="expression" dxfId="142" priority="1394">
      <formula>#REF! ="50≠51+53"</formula>
    </cfRule>
  </conditionalFormatting>
  <conditionalFormatting sqref="F54 C54 I54 L54 O54 R54 AG54 U54 AA54 AD54 AJ54 AM54">
    <cfRule type="expression" dxfId="141" priority="1395">
      <formula>#REF! ="54≠55+56+57+58+59"</formula>
    </cfRule>
  </conditionalFormatting>
  <conditionalFormatting sqref="F60 C60 I60 L60 O60 R60 AG60 U60 AA60 AD60 AJ60 AM60">
    <cfRule type="expression" dxfId="140" priority="1396">
      <formula>#REF! ="60≠48+49+50+54"</formula>
    </cfRule>
  </conditionalFormatting>
  <conditionalFormatting sqref="F62 C62 I62 L62 O62 R62 AG62 U62 X62 AA62 AD62 AJ62 AM62">
    <cfRule type="expression" dxfId="139" priority="1397">
      <formula>#REF! ="62≠45+46+60+61"</formula>
    </cfRule>
  </conditionalFormatting>
  <conditionalFormatting sqref="F64 C64 I64 L64 O64 R64 AG64 U64 X64 AA64 AD64 AJ64 AM64">
    <cfRule type="expression" dxfId="138" priority="1398">
      <formula>#REF! ="64≠29+62"</formula>
    </cfRule>
  </conditionalFormatting>
  <conditionalFormatting sqref="F79 C79 I79 L79 O79 R79 AG79 U79 X79 AA79 AD79 AJ79 AM79">
    <cfRule type="expression" dxfId="137" priority="1399">
      <formula>#REF! ="80≠73+74+75+76+77+78+79"</formula>
    </cfRule>
  </conditionalFormatting>
  <conditionalFormatting sqref="F85 C85 I85 L85 O85 R85 AG85 U85 X85 AA85 AD85 AJ85 AM85">
    <cfRule type="expression" dxfId="136" priority="1400">
      <formula>#REF! ="88≠82+83+84+85+86+87"</formula>
    </cfRule>
  </conditionalFormatting>
  <conditionalFormatting sqref="F91 C91 I91 L91 O91 R91 AG91 U91 X91 AA91 AD91 AJ91 AM91">
    <cfRule type="expression" dxfId="135" priority="1401">
      <formula>#REF! = "64≠94"</formula>
    </cfRule>
  </conditionalFormatting>
  <conditionalFormatting sqref="F91 C91 I91 L91 O91 R91 AG91 U91 X91 AA91 AD91 AJ91 AM91">
    <cfRule type="expression" dxfId="134" priority="1402">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E84"/>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4140625" defaultRowHeight="13.2" x14ac:dyDescent="0.25"/>
  <cols>
    <col min="1" max="1" width="84.5546875" style="671" customWidth="1"/>
    <col min="2" max="37" width="11.6640625" style="671" customWidth="1"/>
    <col min="38" max="38" width="16.6640625" style="671" customWidth="1"/>
    <col min="39" max="39" width="16.44140625" style="671" customWidth="1"/>
    <col min="40" max="40" width="11.6640625" style="671" customWidth="1"/>
    <col min="41" max="41" width="12.33203125" style="671" bestFit="1" customWidth="1"/>
    <col min="42" max="16384" width="11.44140625" style="671"/>
  </cols>
  <sheetData>
    <row r="1" spans="1:57" ht="20.25" customHeight="1" x14ac:dyDescent="0.35">
      <c r="A1" s="670" t="s">
        <v>173</v>
      </c>
      <c r="B1" s="466" t="s">
        <v>52</v>
      </c>
      <c r="AO1" s="672"/>
    </row>
    <row r="2" spans="1:57" ht="20.100000000000001" customHeight="1" x14ac:dyDescent="0.35">
      <c r="A2" s="670" t="s">
        <v>402</v>
      </c>
      <c r="AO2" s="672"/>
    </row>
    <row r="3" spans="1:57" ht="20.100000000000001" customHeight="1" x14ac:dyDescent="0.3">
      <c r="A3" s="673" t="s">
        <v>403</v>
      </c>
      <c r="AO3" s="674"/>
    </row>
    <row r="4" spans="1:57" ht="18.75" customHeight="1" x14ac:dyDescent="0.3">
      <c r="A4" s="675" t="s">
        <v>360</v>
      </c>
      <c r="B4" s="676"/>
      <c r="C4" s="677"/>
      <c r="D4" s="678"/>
      <c r="E4" s="676"/>
      <c r="F4" s="677"/>
      <c r="G4" s="678"/>
      <c r="H4" s="677"/>
      <c r="I4" s="677"/>
      <c r="J4" s="677"/>
      <c r="K4" s="677"/>
      <c r="L4" s="677"/>
      <c r="M4" s="678"/>
      <c r="N4" s="677"/>
      <c r="O4" s="677"/>
      <c r="P4" s="678"/>
      <c r="Q4" s="676"/>
      <c r="R4" s="677"/>
      <c r="S4" s="678"/>
      <c r="T4" s="676"/>
      <c r="U4" s="677"/>
      <c r="V4" s="678"/>
      <c r="W4" s="676"/>
      <c r="X4" s="677"/>
      <c r="Y4" s="678"/>
      <c r="Z4" s="676"/>
      <c r="AA4" s="677"/>
      <c r="AB4" s="678"/>
      <c r="AC4" s="676"/>
      <c r="AD4" s="677"/>
      <c r="AE4" s="678"/>
      <c r="AF4" s="676"/>
      <c r="AG4" s="677"/>
      <c r="AH4" s="678"/>
      <c r="AI4" s="676"/>
      <c r="AJ4" s="677"/>
      <c r="AK4" s="678"/>
      <c r="AL4" s="676"/>
      <c r="AM4" s="677"/>
      <c r="AN4" s="678"/>
      <c r="AO4" s="679"/>
      <c r="AP4" s="680"/>
      <c r="AQ4" s="680"/>
      <c r="AR4" s="680"/>
      <c r="AS4" s="680"/>
      <c r="AT4" s="680"/>
      <c r="AU4" s="680"/>
      <c r="AV4" s="680"/>
      <c r="AW4" s="680"/>
      <c r="AX4" s="680"/>
      <c r="AY4" s="680"/>
      <c r="AZ4" s="680"/>
      <c r="BA4" s="680"/>
      <c r="BB4" s="680"/>
      <c r="BC4" s="680"/>
      <c r="BD4" s="680"/>
      <c r="BE4" s="680"/>
    </row>
    <row r="5" spans="1:57" ht="18.75" customHeight="1" x14ac:dyDescent="0.3">
      <c r="A5" s="505" t="s">
        <v>404</v>
      </c>
      <c r="B5" s="971" t="s">
        <v>176</v>
      </c>
      <c r="C5" s="972"/>
      <c r="D5" s="973"/>
      <c r="E5" s="971" t="s">
        <v>177</v>
      </c>
      <c r="F5" s="972"/>
      <c r="G5" s="973"/>
      <c r="H5" s="971" t="s">
        <v>177</v>
      </c>
      <c r="I5" s="972"/>
      <c r="J5" s="973"/>
      <c r="K5" s="971" t="s">
        <v>481</v>
      </c>
      <c r="L5" s="972"/>
      <c r="M5" s="973"/>
      <c r="N5" s="971" t="s">
        <v>178</v>
      </c>
      <c r="O5" s="972"/>
      <c r="P5" s="973"/>
      <c r="Q5" s="971" t="s">
        <v>179</v>
      </c>
      <c r="R5" s="972"/>
      <c r="S5" s="973"/>
      <c r="T5" s="971" t="s">
        <v>180</v>
      </c>
      <c r="U5" s="972"/>
      <c r="V5" s="973"/>
      <c r="W5" s="855" t="s">
        <v>180</v>
      </c>
      <c r="X5" s="856"/>
      <c r="Y5" s="857"/>
      <c r="Z5" s="855"/>
      <c r="AA5" s="856"/>
      <c r="AB5" s="857"/>
      <c r="AC5" s="971" t="s">
        <v>181</v>
      </c>
      <c r="AD5" s="972"/>
      <c r="AE5" s="973"/>
      <c r="AF5" s="971" t="s">
        <v>68</v>
      </c>
      <c r="AG5" s="972"/>
      <c r="AH5" s="973"/>
      <c r="AI5" s="971" t="s">
        <v>73</v>
      </c>
      <c r="AJ5" s="972"/>
      <c r="AK5" s="973"/>
      <c r="AL5" s="971" t="s">
        <v>405</v>
      </c>
      <c r="AM5" s="972"/>
      <c r="AN5" s="973"/>
      <c r="AO5" s="681"/>
      <c r="AP5" s="682"/>
      <c r="AQ5" s="1005"/>
      <c r="AR5" s="1005"/>
      <c r="AS5" s="1005"/>
      <c r="AT5" s="1005"/>
      <c r="AU5" s="1005"/>
      <c r="AV5" s="1005"/>
      <c r="AW5" s="1005"/>
      <c r="AX5" s="1005"/>
      <c r="AY5" s="1005"/>
      <c r="AZ5" s="1005"/>
      <c r="BA5" s="1005"/>
      <c r="BB5" s="1005"/>
      <c r="BC5" s="1005"/>
      <c r="BD5" s="1005"/>
      <c r="BE5" s="1005"/>
    </row>
    <row r="6" spans="1:57" ht="18.75" customHeight="1" x14ac:dyDescent="0.3">
      <c r="A6" s="506" t="s">
        <v>406</v>
      </c>
      <c r="B6" s="965" t="s">
        <v>182</v>
      </c>
      <c r="C6" s="966"/>
      <c r="D6" s="967"/>
      <c r="E6" s="965" t="s">
        <v>496</v>
      </c>
      <c r="F6" s="966"/>
      <c r="G6" s="967"/>
      <c r="H6" s="965" t="s">
        <v>183</v>
      </c>
      <c r="I6" s="966"/>
      <c r="J6" s="967"/>
      <c r="K6" s="965" t="s">
        <v>183</v>
      </c>
      <c r="L6" s="966"/>
      <c r="M6" s="967"/>
      <c r="N6" s="965" t="s">
        <v>183</v>
      </c>
      <c r="O6" s="966"/>
      <c r="P6" s="967"/>
      <c r="Q6" s="965" t="s">
        <v>184</v>
      </c>
      <c r="R6" s="966"/>
      <c r="S6" s="967"/>
      <c r="T6" s="965" t="s">
        <v>91</v>
      </c>
      <c r="U6" s="966"/>
      <c r="V6" s="967"/>
      <c r="W6" s="965" t="s">
        <v>63</v>
      </c>
      <c r="X6" s="966"/>
      <c r="Y6" s="967"/>
      <c r="Z6" s="965" t="s">
        <v>66</v>
      </c>
      <c r="AA6" s="966"/>
      <c r="AB6" s="967"/>
      <c r="AC6" s="965" t="s">
        <v>182</v>
      </c>
      <c r="AD6" s="966"/>
      <c r="AE6" s="967"/>
      <c r="AF6" s="965" t="s">
        <v>497</v>
      </c>
      <c r="AG6" s="966"/>
      <c r="AH6" s="967"/>
      <c r="AI6" s="965" t="s">
        <v>183</v>
      </c>
      <c r="AJ6" s="966"/>
      <c r="AK6" s="967"/>
      <c r="AL6" s="965" t="s">
        <v>407</v>
      </c>
      <c r="AM6" s="966"/>
      <c r="AN6" s="967"/>
      <c r="AO6" s="681"/>
      <c r="AP6" s="682"/>
      <c r="AQ6" s="1005"/>
      <c r="AR6" s="1005"/>
      <c r="AS6" s="1005"/>
      <c r="AT6" s="1005"/>
      <c r="AU6" s="1005"/>
      <c r="AV6" s="1005"/>
      <c r="AW6" s="1005"/>
      <c r="AX6" s="1005"/>
      <c r="AY6" s="1005"/>
      <c r="AZ6" s="1005"/>
      <c r="BA6" s="1005"/>
      <c r="BB6" s="1005"/>
      <c r="BC6" s="1005"/>
      <c r="BD6" s="1005"/>
      <c r="BE6" s="1005"/>
    </row>
    <row r="7" spans="1:57" ht="18.75" customHeight="1" x14ac:dyDescent="0.3">
      <c r="A7" s="506"/>
      <c r="B7" s="683"/>
      <c r="C7" s="683"/>
      <c r="D7" s="507" t="s">
        <v>81</v>
      </c>
      <c r="E7" s="683"/>
      <c r="F7" s="683"/>
      <c r="G7" s="507" t="s">
        <v>81</v>
      </c>
      <c r="H7" s="683"/>
      <c r="I7" s="683"/>
      <c r="J7" s="507" t="s">
        <v>81</v>
      </c>
      <c r="K7" s="683"/>
      <c r="L7" s="683"/>
      <c r="M7" s="507" t="s">
        <v>81</v>
      </c>
      <c r="N7" s="683"/>
      <c r="O7" s="683"/>
      <c r="P7" s="507" t="s">
        <v>81</v>
      </c>
      <c r="Q7" s="683"/>
      <c r="R7" s="683"/>
      <c r="S7" s="507" t="s">
        <v>81</v>
      </c>
      <c r="T7" s="683"/>
      <c r="U7" s="683"/>
      <c r="V7" s="507" t="s">
        <v>81</v>
      </c>
      <c r="W7" s="683"/>
      <c r="X7" s="683"/>
      <c r="Y7" s="507" t="s">
        <v>81</v>
      </c>
      <c r="Z7" s="683"/>
      <c r="AA7" s="683"/>
      <c r="AB7" s="507" t="s">
        <v>81</v>
      </c>
      <c r="AC7" s="683"/>
      <c r="AD7" s="683"/>
      <c r="AE7" s="507" t="s">
        <v>81</v>
      </c>
      <c r="AF7" s="683"/>
      <c r="AG7" s="683"/>
      <c r="AH7" s="507" t="s">
        <v>81</v>
      </c>
      <c r="AI7" s="683"/>
      <c r="AJ7" s="683"/>
      <c r="AK7" s="507" t="s">
        <v>81</v>
      </c>
      <c r="AL7" s="683"/>
      <c r="AM7" s="683"/>
      <c r="AN7" s="507" t="s">
        <v>81</v>
      </c>
      <c r="AO7" s="681"/>
      <c r="AP7" s="682"/>
      <c r="AQ7" s="682"/>
      <c r="AR7" s="682"/>
      <c r="AS7" s="682"/>
      <c r="AT7" s="682"/>
      <c r="AU7" s="682"/>
      <c r="AV7" s="682"/>
      <c r="AW7" s="682"/>
      <c r="AX7" s="682"/>
      <c r="AY7" s="682"/>
      <c r="AZ7" s="682"/>
      <c r="BA7" s="682"/>
      <c r="BB7" s="682"/>
      <c r="BC7" s="682"/>
      <c r="BD7" s="682"/>
      <c r="BE7" s="682"/>
    </row>
    <row r="8" spans="1:57" ht="18.75" customHeight="1" x14ac:dyDescent="0.35">
      <c r="A8" s="684" t="s">
        <v>288</v>
      </c>
      <c r="B8" s="685">
        <v>2020</v>
      </c>
      <c r="C8" s="685">
        <v>2021</v>
      </c>
      <c r="D8" s="509" t="s">
        <v>83</v>
      </c>
      <c r="E8" s="685">
        <f>$B$8</f>
        <v>2020</v>
      </c>
      <c r="F8" s="685">
        <f>$C$8</f>
        <v>2021</v>
      </c>
      <c r="G8" s="509" t="s">
        <v>83</v>
      </c>
      <c r="H8" s="685">
        <f>$B$8</f>
        <v>2020</v>
      </c>
      <c r="I8" s="685">
        <f>$C$8</f>
        <v>2021</v>
      </c>
      <c r="J8" s="509" t="s">
        <v>83</v>
      </c>
      <c r="K8" s="685">
        <f>$B$8</f>
        <v>2020</v>
      </c>
      <c r="L8" s="685">
        <f>$C$8</f>
        <v>2021</v>
      </c>
      <c r="M8" s="509" t="s">
        <v>83</v>
      </c>
      <c r="N8" s="685">
        <f>$B$8</f>
        <v>2020</v>
      </c>
      <c r="O8" s="685">
        <f>$C$8</f>
        <v>2021</v>
      </c>
      <c r="P8" s="509" t="s">
        <v>83</v>
      </c>
      <c r="Q8" s="685">
        <f>$B$8</f>
        <v>2020</v>
      </c>
      <c r="R8" s="685">
        <f>$C$8</f>
        <v>2021</v>
      </c>
      <c r="S8" s="509" t="s">
        <v>83</v>
      </c>
      <c r="T8" s="685">
        <f>$B$8</f>
        <v>2020</v>
      </c>
      <c r="U8" s="685">
        <f>$C$8</f>
        <v>2021</v>
      </c>
      <c r="V8" s="509" t="s">
        <v>83</v>
      </c>
      <c r="W8" s="685">
        <f>$B$8</f>
        <v>2020</v>
      </c>
      <c r="X8" s="685">
        <f>$C$8</f>
        <v>2021</v>
      </c>
      <c r="Y8" s="509" t="s">
        <v>83</v>
      </c>
      <c r="Z8" s="685">
        <f>$B$8</f>
        <v>2020</v>
      </c>
      <c r="AA8" s="685">
        <f>$C$8</f>
        <v>2021</v>
      </c>
      <c r="AB8" s="509" t="s">
        <v>83</v>
      </c>
      <c r="AC8" s="685">
        <f>$B$8</f>
        <v>2020</v>
      </c>
      <c r="AD8" s="685">
        <f>$C$8</f>
        <v>2021</v>
      </c>
      <c r="AE8" s="509" t="s">
        <v>83</v>
      </c>
      <c r="AF8" s="685">
        <f>$B$8</f>
        <v>2020</v>
      </c>
      <c r="AG8" s="685">
        <f>$C$8</f>
        <v>2021</v>
      </c>
      <c r="AH8" s="509" t="s">
        <v>83</v>
      </c>
      <c r="AI8" s="685">
        <f>$B$8</f>
        <v>2020</v>
      </c>
      <c r="AJ8" s="685">
        <f>$C$8</f>
        <v>2021</v>
      </c>
      <c r="AK8" s="509" t="s">
        <v>83</v>
      </c>
      <c r="AL8" s="685">
        <f>$B$8</f>
        <v>2020</v>
      </c>
      <c r="AM8" s="685">
        <f>$C$8</f>
        <v>2021</v>
      </c>
      <c r="AN8" s="509" t="s">
        <v>83</v>
      </c>
      <c r="AO8" s="681"/>
      <c r="AP8" s="686"/>
      <c r="AQ8" s="687"/>
      <c r="AR8" s="687"/>
      <c r="AS8" s="686"/>
      <c r="AT8" s="687"/>
      <c r="AU8" s="687"/>
      <c r="AV8" s="686"/>
      <c r="AW8" s="687"/>
      <c r="AX8" s="687"/>
      <c r="AY8" s="686"/>
      <c r="AZ8" s="687"/>
      <c r="BA8" s="687"/>
      <c r="BB8" s="686"/>
      <c r="BC8" s="687"/>
      <c r="BD8" s="687"/>
      <c r="BE8" s="686"/>
    </row>
    <row r="9" spans="1:57" s="528" customFormat="1" ht="18.75" customHeight="1" x14ac:dyDescent="0.35">
      <c r="A9" s="532"/>
      <c r="B9" s="822"/>
      <c r="C9" s="822"/>
      <c r="D9" s="520"/>
      <c r="E9" s="822"/>
      <c r="F9" s="822"/>
      <c r="G9" s="520"/>
      <c r="H9" s="822"/>
      <c r="I9" s="822"/>
      <c r="J9" s="520"/>
      <c r="K9" s="596"/>
      <c r="L9" s="596"/>
      <c r="M9" s="520"/>
      <c r="N9" s="822"/>
      <c r="O9" s="822"/>
      <c r="P9" s="520"/>
      <c r="Q9" s="822"/>
      <c r="R9" s="822"/>
      <c r="S9" s="689"/>
      <c r="T9" s="822"/>
      <c r="U9" s="822"/>
      <c r="V9" s="520"/>
      <c r="W9" s="822"/>
      <c r="X9" s="822"/>
      <c r="Y9" s="520"/>
      <c r="Z9" s="822"/>
      <c r="AA9" s="822"/>
      <c r="AB9" s="520"/>
      <c r="AC9" s="822"/>
      <c r="AD9" s="822"/>
      <c r="AE9" s="520"/>
      <c r="AF9" s="822"/>
      <c r="AG9" s="822"/>
      <c r="AH9" s="520"/>
      <c r="AI9" s="822"/>
      <c r="AJ9" s="822"/>
      <c r="AK9" s="520"/>
      <c r="AL9" s="688"/>
      <c r="AM9" s="688"/>
      <c r="AN9" s="520"/>
      <c r="AO9" s="690"/>
      <c r="AP9" s="690"/>
    </row>
    <row r="10" spans="1:57" s="528" customFormat="1" ht="18.75" customHeight="1" x14ac:dyDescent="0.35">
      <c r="A10" s="532" t="s">
        <v>408</v>
      </c>
      <c r="B10" s="836"/>
      <c r="C10" s="889"/>
      <c r="D10" s="520"/>
      <c r="E10" s="836"/>
      <c r="F10" s="836"/>
      <c r="G10" s="520"/>
      <c r="H10" s="836"/>
      <c r="I10" s="836"/>
      <c r="J10" s="520"/>
      <c r="K10" s="597"/>
      <c r="L10" s="597"/>
      <c r="M10" s="520"/>
      <c r="N10" s="836"/>
      <c r="O10" s="836"/>
      <c r="P10" s="520"/>
      <c r="Q10" s="836"/>
      <c r="R10" s="836"/>
      <c r="S10" s="691"/>
      <c r="T10" s="836"/>
      <c r="U10" s="836"/>
      <c r="V10" s="520"/>
      <c r="W10" s="836"/>
      <c r="X10" s="836"/>
      <c r="Y10" s="520"/>
      <c r="Z10" s="836"/>
      <c r="AA10" s="836"/>
      <c r="AB10" s="520"/>
      <c r="AC10" s="836"/>
      <c r="AD10" s="836"/>
      <c r="AE10" s="520"/>
      <c r="AF10" s="836"/>
      <c r="AG10" s="836"/>
      <c r="AH10" s="520"/>
      <c r="AI10" s="836"/>
      <c r="AJ10" s="836"/>
      <c r="AK10" s="520"/>
      <c r="AL10" s="688"/>
      <c r="AM10" s="688"/>
      <c r="AN10" s="520"/>
      <c r="AO10" s="690"/>
      <c r="AP10" s="690"/>
    </row>
    <row r="11" spans="1:57" s="697" customFormat="1" ht="18.75" customHeight="1" x14ac:dyDescent="0.35">
      <c r="A11" s="692" t="s">
        <v>409</v>
      </c>
      <c r="B11" s="837">
        <f>SUM(B12+B15+B18+B19+B21+B22)</f>
        <v>1209.0629999999999</v>
      </c>
      <c r="C11" s="890">
        <f>SUM(C12+C15+C18+C19+C21+C22)</f>
        <v>1301.8049999999998</v>
      </c>
      <c r="D11" s="693">
        <f>IF(B11=0, "    ---- ", IF(ABS(ROUND(100/B11*C11-100,1))&lt;999,ROUND(100/B11*C11-100,1),IF(ROUND(100/B11*C11-100,1)&gt;999,999,-999)))</f>
        <v>7.7</v>
      </c>
      <c r="E11" s="837">
        <f>SUM(E12+E15+E18+E19+E21+E22)</f>
        <v>1659.4</v>
      </c>
      <c r="F11" s="837"/>
      <c r="G11" s="693">
        <f>IF(E11=0, "    ---- ", IF(ABS(ROUND(100/E11*F11-100,1))&lt;999,ROUND(100/E11*F11-100,1),IF(ROUND(100/E11*F11-100,1)&gt;999,999,-999)))</f>
        <v>-100</v>
      </c>
      <c r="H11" s="837">
        <f>SUM(H12+H15+H18+H19+H21+H22)</f>
        <v>188967.5</v>
      </c>
      <c r="I11" s="837">
        <f>SUM(I12+I15+I18+I19+I21+I22)</f>
        <v>185948.32772345998</v>
      </c>
      <c r="J11" s="693">
        <f t="shared" ref="J11:J54" si="0">IF(H11=0, "    ---- ", IF(ABS(ROUND(100/H11*I11-100,1))&lt;999,ROUND(100/H11*I11-100,1),IF(ROUND(100/H11*I11-100,1)&gt;999,999,-999)))</f>
        <v>-1.6</v>
      </c>
      <c r="K11" s="599">
        <f>SUM(K12+K15+K18+K19+K21+K22)</f>
        <v>6911</v>
      </c>
      <c r="L11" s="599">
        <f>SUM(L12+L15+L18+L19+L21+L22)</f>
        <v>7489.2467585300001</v>
      </c>
      <c r="M11" s="693">
        <f>IF(K11=0, "    ---- ", IF(ABS(ROUND(100/K11*L11-100,1))&lt;999,ROUND(100/K11*L11-100,1),IF(ROUND(100/K11*L11-100,1)&gt;999,999,-999)))</f>
        <v>8.4</v>
      </c>
      <c r="N11" s="837">
        <f>SUM(N12+N15+N18+N19+N21+N22)</f>
        <v>963.07100000000003</v>
      </c>
      <c r="O11" s="837">
        <f>SUM(O12+O15+O18+O19+O21+O22)</f>
        <v>1169.4220000000003</v>
      </c>
      <c r="P11" s="693">
        <f>IF(N11=0, "    ---- ", IF(ABS(ROUND(100/N11*O11-100,1))&lt;999,ROUND(100/N11*O11-100,1),IF(ROUND(100/N11*O11-100,1)&gt;999,999,-999)))</f>
        <v>21.4</v>
      </c>
      <c r="Q11" s="837">
        <f>SUM(Q12+Q15+Q18+Q19+Q21+Q22)</f>
        <v>7364.0999999999995</v>
      </c>
      <c r="R11" s="837">
        <f>SUM(R12+R15+R18+R19+R21+R22)</f>
        <v>7894.5</v>
      </c>
      <c r="S11" s="694">
        <f>IF(Q11=0, "    ---- ", IF(ABS(ROUND(100/Q11*R11-100,1))&lt;999,ROUND(100/Q11*R11-100,1),IF(ROUND(100/Q11*R11-100,1)&gt;999,999,-999)))</f>
        <v>7.2</v>
      </c>
      <c r="T11" s="837">
        <f>SUM(T12+T15+T18+T19+T21+T22)</f>
        <v>47.95949978999996</v>
      </c>
      <c r="U11" s="837">
        <f>SUM(U12+U15+U18+U19+U21+U22)</f>
        <v>38.507252789999995</v>
      </c>
      <c r="V11" s="520">
        <f>IF(T11=0, "    ---- ", IF(ABS(ROUND(100/T11*U11-100,1))&lt;999,ROUND(100/T11*U11-100,1),IF(ROUND(100/T11*U11-100,1)&gt;999,999,-999)))</f>
        <v>-19.7</v>
      </c>
      <c r="W11" s="837">
        <f>SUM(W12+W15+W18+W19+W21+W22)</f>
        <v>456054.73747088999</v>
      </c>
      <c r="X11" s="837">
        <v>484728.08347910998</v>
      </c>
      <c r="Y11" s="693">
        <f>IF(W11=0, "    ---- ", IF(ABS(ROUND(100/W11*X11-100,1))&lt;999,ROUND(100/W11*X11-100,1),IF(ROUND(100/W11*X11-100,1)&gt;999,999,-999)))</f>
        <v>6.3</v>
      </c>
      <c r="Z11" s="837">
        <f>SUM(Z12+Z15+Z18+Z19+Z21+Z22)</f>
        <v>47225.549999999996</v>
      </c>
      <c r="AA11" s="837">
        <f>SUM(AA12+AA15+AA18+AA19+AA21+AA22)</f>
        <v>47749.670000000006</v>
      </c>
      <c r="AB11" s="693">
        <f t="shared" ref="AB11:AB54" si="1">IF(Z11=0, "    ---- ", IF(ABS(ROUND(100/Z11*AA11-100,1))&lt;999,ROUND(100/Z11*AA11-100,1),IF(ROUND(100/Z11*AA11-100,1)&gt;999,999,-999)))</f>
        <v>1.1000000000000001</v>
      </c>
      <c r="AC11" s="837">
        <f>SUM(AC12+AC15+AC18+AC19+AC21+AC22)</f>
        <v>66749</v>
      </c>
      <c r="AD11" s="837">
        <f>SUM(AD12+AD15+AD18+AD19+AD21+AD22)</f>
        <v>72092</v>
      </c>
      <c r="AE11" s="693">
        <f>IF(AC11=0, "    ---- ", IF(ABS(ROUND(100/AC11*AD11-100,1))&lt;999,ROUND(100/AC11*AD11-100,1),IF(ROUND(100/AC11*AD11-100,1)&gt;999,999,-999)))</f>
        <v>8</v>
      </c>
      <c r="AF11" s="837">
        <f>SUM(AF12+AF15+AF18+AF19+AF21+AF22)</f>
        <v>17905</v>
      </c>
      <c r="AG11" s="837">
        <f>SUM(AG12+AG15+AG18+AG19+AG21+AG22)</f>
        <v>17776</v>
      </c>
      <c r="AH11" s="693">
        <f t="shared" ref="AH11:AH54" si="2">IF(AF11=0, "    ---- ", IF(ABS(ROUND(100/AF11*AG11-100,1))&lt;999,ROUND(100/AF11*AG11-100,1),IF(ROUND(100/AF11*AG11-100,1)&gt;999,999,-999)))</f>
        <v>-0.7</v>
      </c>
      <c r="AI11" s="837">
        <f>SUM(AI12+AI15+AI18+AI19+AI21+AI22)</f>
        <v>172089</v>
      </c>
      <c r="AJ11" s="837">
        <f>SUM(AJ12+AJ15+AJ18+AJ19+AJ21+AJ22)</f>
        <v>180685</v>
      </c>
      <c r="AK11" s="693">
        <f t="shared" ref="AK11:AK45" si="3">IF(AI11=0, "    ---- ", IF(ABS(ROUND(100/AI11*AJ11-100,1))&lt;999,ROUND(100/AI11*AJ11-100,1),IF(ROUND(100/AI11*AJ11-100,1)&gt;999,999,-999)))</f>
        <v>5</v>
      </c>
      <c r="AL11" s="610">
        <f t="shared" ref="AL11:AL45" si="4">+B11+H11+K11+N11+Q11+T11+W11+E11+Z11+AC11+AF11+AI11</f>
        <v>967145.38097068004</v>
      </c>
      <c r="AM11" s="610">
        <f t="shared" ref="AM11:AM45" si="5">+C11+I11+L11+O11+R11+U11+X11+F11+AA11+AD11+AG11+AJ11</f>
        <v>1006872.56221389</v>
      </c>
      <c r="AN11" s="693">
        <f>IF(AL11=0, "    ---- ", IF(ABS(ROUND(100/AL11*AM11-100,1))&lt;999,ROUND(100/AL11*AM11-100,1),IF(ROUND(100/AL11*AM11-100,1)&gt;999,999,-999)))</f>
        <v>4.0999999999999996</v>
      </c>
      <c r="AO11" s="695"/>
      <c r="AP11" s="696"/>
    </row>
    <row r="12" spans="1:57" s="528" customFormat="1" ht="18.75" customHeight="1" x14ac:dyDescent="0.35">
      <c r="A12" s="514" t="s">
        <v>410</v>
      </c>
      <c r="B12" s="836">
        <v>237.54900000000001</v>
      </c>
      <c r="C12" s="889">
        <v>248.87899999999999</v>
      </c>
      <c r="D12" s="520">
        <f>IF(B12=0, "    ---- ", IF(ABS(ROUND(100/B12*C12-100,1))&lt;999,ROUND(100/B12*C12-100,1),IF(ROUND(100/B12*C12-100,1)&gt;999,999,-999)))</f>
        <v>4.8</v>
      </c>
      <c r="E12" s="836"/>
      <c r="F12" s="836"/>
      <c r="G12" s="520"/>
      <c r="H12" s="836">
        <v>11036.7</v>
      </c>
      <c r="I12" s="836">
        <f>+I13+I14</f>
        <v>9928.5519375500007</v>
      </c>
      <c r="J12" s="520">
        <f t="shared" si="0"/>
        <v>-10</v>
      </c>
      <c r="K12" s="597">
        <v>566</v>
      </c>
      <c r="L12" s="597">
        <v>650.79192044000001</v>
      </c>
      <c r="M12" s="520">
        <f>IF(K12=0, "    ---- ", IF(ABS(ROUND(100/K12*L12-100,1))&lt;999,ROUND(100/K12*L12-100,1),IF(ROUND(100/K12*L12-100,1)&gt;999,999,-999)))</f>
        <v>15</v>
      </c>
      <c r="N12" s="836">
        <v>59.457999999999998</v>
      </c>
      <c r="O12" s="836">
        <v>68.747</v>
      </c>
      <c r="P12" s="520">
        <f>IF(N12=0, "    ---- ", IF(ABS(ROUND(100/N12*O12-100,1))&lt;999,ROUND(100/N12*O12-100,1),IF(ROUND(100/N12*O12-100,1)&gt;999,999,-999)))</f>
        <v>15.6</v>
      </c>
      <c r="Q12" s="836"/>
      <c r="R12" s="836"/>
      <c r="S12" s="691"/>
      <c r="T12" s="836">
        <v>23.770146623515501</v>
      </c>
      <c r="U12" s="836">
        <v>20.282084000000001</v>
      </c>
      <c r="V12" s="520">
        <f>IF(T12=0, "    ---- ", IF(ABS(ROUND(100/T12*U12-100,1))&lt;999,ROUND(100/T12*U12-100,1),IF(ROUND(100/T12*U12-100,1)&gt;999,999,-999)))</f>
        <v>-14.7</v>
      </c>
      <c r="W12" s="836"/>
      <c r="X12" s="836"/>
      <c r="Y12" s="520"/>
      <c r="Z12" s="836">
        <v>673.25</v>
      </c>
      <c r="AA12" s="836">
        <v>686.58</v>
      </c>
      <c r="AB12" s="520">
        <f t="shared" si="1"/>
        <v>2</v>
      </c>
      <c r="AC12" s="836"/>
      <c r="AD12" s="836"/>
      <c r="AE12" s="520"/>
      <c r="AF12" s="836">
        <v>413</v>
      </c>
      <c r="AG12" s="836">
        <v>382</v>
      </c>
      <c r="AH12" s="520">
        <f t="shared" si="2"/>
        <v>-7.5</v>
      </c>
      <c r="AI12" s="836">
        <f>2089+1845+12</f>
        <v>3946</v>
      </c>
      <c r="AJ12" s="836">
        <v>4000</v>
      </c>
      <c r="AK12" s="520">
        <f t="shared" si="3"/>
        <v>1.4</v>
      </c>
      <c r="AL12" s="688">
        <f t="shared" si="4"/>
        <v>16955.727146623518</v>
      </c>
      <c r="AM12" s="688">
        <f t="shared" si="5"/>
        <v>15985.831941990002</v>
      </c>
      <c r="AN12" s="520">
        <f t="shared" ref="AN12:AN54" si="6">IF(AL12=0, "    ---- ", IF(ABS(ROUND(100/AL12*AM12-100,1))&lt;999,ROUND(100/AL12*AM12-100,1),IF(ROUND(100/AL12*AM12-100,1)&gt;999,999,-999)))</f>
        <v>-5.7</v>
      </c>
      <c r="AO12" s="690"/>
      <c r="AP12" s="690"/>
    </row>
    <row r="13" spans="1:57" s="528" customFormat="1" ht="18.75" customHeight="1" x14ac:dyDescent="0.35">
      <c r="A13" s="514" t="s">
        <v>411</v>
      </c>
      <c r="B13" s="822"/>
      <c r="C13" s="891"/>
      <c r="D13" s="520"/>
      <c r="E13" s="822"/>
      <c r="F13" s="822"/>
      <c r="G13" s="520"/>
      <c r="H13" s="836">
        <v>2878.7</v>
      </c>
      <c r="I13" s="822">
        <v>2822.0279565700002</v>
      </c>
      <c r="J13" s="589">
        <f t="shared" si="0"/>
        <v>-2</v>
      </c>
      <c r="K13" s="597"/>
      <c r="L13" s="596"/>
      <c r="M13" s="520"/>
      <c r="N13" s="822"/>
      <c r="O13" s="822"/>
      <c r="P13" s="520"/>
      <c r="Q13" s="822"/>
      <c r="R13" s="822"/>
      <c r="S13" s="691"/>
      <c r="T13" s="822"/>
      <c r="U13" s="822"/>
      <c r="V13" s="520"/>
      <c r="W13" s="822"/>
      <c r="X13" s="822"/>
      <c r="Y13" s="520"/>
      <c r="Z13" s="822">
        <v>409.72</v>
      </c>
      <c r="AA13" s="822">
        <v>386.25</v>
      </c>
      <c r="AB13" s="520">
        <f t="shared" si="1"/>
        <v>-5.7</v>
      </c>
      <c r="AC13" s="822"/>
      <c r="AD13" s="822"/>
      <c r="AE13" s="520"/>
      <c r="AF13" s="822">
        <v>277</v>
      </c>
      <c r="AG13" s="822">
        <v>254</v>
      </c>
      <c r="AH13" s="520">
        <f t="shared" si="2"/>
        <v>-8.3000000000000007</v>
      </c>
      <c r="AI13" s="822">
        <v>2089</v>
      </c>
      <c r="AJ13" s="822">
        <v>2004</v>
      </c>
      <c r="AK13" s="520">
        <f t="shared" si="3"/>
        <v>-4.0999999999999996</v>
      </c>
      <c r="AL13" s="688">
        <f t="shared" si="4"/>
        <v>5654.42</v>
      </c>
      <c r="AM13" s="688">
        <f t="shared" si="5"/>
        <v>5466.2779565700002</v>
      </c>
      <c r="AN13" s="520">
        <f t="shared" si="6"/>
        <v>-3.3</v>
      </c>
      <c r="AO13" s="690"/>
      <c r="AP13" s="690"/>
    </row>
    <row r="14" spans="1:57" s="528" customFormat="1" ht="18.75" customHeight="1" x14ac:dyDescent="0.35">
      <c r="A14" s="514" t="s">
        <v>412</v>
      </c>
      <c r="B14" s="822">
        <v>237.54900000000001</v>
      </c>
      <c r="C14" s="891">
        <v>248.87899999999999</v>
      </c>
      <c r="D14" s="520">
        <f t="shared" ref="D14:D15" si="7">IF(B14=0, "    ---- ", IF(ABS(ROUND(100/B14*C14-100,1))&lt;999,ROUND(100/B14*C14-100,1),IF(ROUND(100/B14*C14-100,1)&gt;999,999,-999)))</f>
        <v>4.8</v>
      </c>
      <c r="E14" s="822"/>
      <c r="F14" s="822"/>
      <c r="G14" s="520"/>
      <c r="H14" s="836">
        <v>8158</v>
      </c>
      <c r="I14" s="822">
        <v>7106.5239809799996</v>
      </c>
      <c r="J14" s="589">
        <f t="shared" si="0"/>
        <v>-12.9</v>
      </c>
      <c r="K14" s="596"/>
      <c r="L14" s="596"/>
      <c r="M14" s="520"/>
      <c r="N14" s="822"/>
      <c r="O14" s="822"/>
      <c r="P14" s="520"/>
      <c r="Q14" s="822"/>
      <c r="R14" s="822"/>
      <c r="S14" s="520"/>
      <c r="T14" s="822"/>
      <c r="U14" s="822"/>
      <c r="V14" s="520"/>
      <c r="W14" s="822"/>
      <c r="X14" s="822"/>
      <c r="Y14" s="520"/>
      <c r="Z14" s="822">
        <v>36.81</v>
      </c>
      <c r="AA14" s="822">
        <v>36.74</v>
      </c>
      <c r="AB14" s="520">
        <f t="shared" si="1"/>
        <v>-0.2</v>
      </c>
      <c r="AC14" s="822"/>
      <c r="AD14" s="822"/>
      <c r="AE14" s="520"/>
      <c r="AF14" s="822">
        <v>135</v>
      </c>
      <c r="AG14" s="822">
        <v>128</v>
      </c>
      <c r="AH14" s="520">
        <f t="shared" si="2"/>
        <v>-5.2</v>
      </c>
      <c r="AI14" s="822"/>
      <c r="AJ14" s="822"/>
      <c r="AK14" s="520"/>
      <c r="AL14" s="688">
        <f t="shared" si="4"/>
        <v>8567.3590000000004</v>
      </c>
      <c r="AM14" s="688">
        <f t="shared" si="5"/>
        <v>7520.1429809799993</v>
      </c>
      <c r="AN14" s="520">
        <f t="shared" si="6"/>
        <v>-12.2</v>
      </c>
      <c r="AO14" s="690"/>
      <c r="AP14" s="690"/>
    </row>
    <row r="15" spans="1:57" s="528" customFormat="1" ht="18.75" customHeight="1" x14ac:dyDescent="0.35">
      <c r="A15" s="514" t="s">
        <v>413</v>
      </c>
      <c r="B15" s="836">
        <f>89.454+40.673</f>
        <v>130.12700000000001</v>
      </c>
      <c r="C15" s="889">
        <f>113.434+36.585</f>
        <v>150.01900000000001</v>
      </c>
      <c r="D15" s="520">
        <f t="shared" si="7"/>
        <v>15.3</v>
      </c>
      <c r="E15" s="836"/>
      <c r="F15" s="836"/>
      <c r="G15" s="520"/>
      <c r="H15" s="836">
        <v>23166.6</v>
      </c>
      <c r="I15" s="836">
        <f>+I16+I17</f>
        <v>22028.337746069996</v>
      </c>
      <c r="J15" s="691">
        <f t="shared" si="0"/>
        <v>-4.9000000000000004</v>
      </c>
      <c r="K15" s="597">
        <v>3313</v>
      </c>
      <c r="L15" s="597">
        <v>3665.6077474800004</v>
      </c>
      <c r="M15" s="520">
        <f>IF(K15=0, "    ---- ", IF(ABS(ROUND(100/K15*L15-100,1))&lt;999,ROUND(100/K15*L15-100,1),IF(ROUND(100/K15*L15-100,1)&gt;999,999,-999)))</f>
        <v>10.6</v>
      </c>
      <c r="N15" s="836">
        <v>721.13900000000001</v>
      </c>
      <c r="O15" s="836">
        <v>961.60500000000002</v>
      </c>
      <c r="P15" s="520">
        <f>IF(N15=0, "    ---- ", IF(ABS(ROUND(100/N15*O15-100,1))&lt;999,ROUND(100/N15*O15-100,1),IF(ROUND(100/N15*O15-100,1)&gt;999,999,-999)))</f>
        <v>33.299999999999997</v>
      </c>
      <c r="Q15" s="836">
        <v>2252.6999999999998</v>
      </c>
      <c r="R15" s="836">
        <v>2627.9</v>
      </c>
      <c r="S15" s="520">
        <f>IF(Q15=0, "    ---- ", IF(ABS(ROUND(100/Q15*R15-100,1))&lt;999,ROUND(100/Q15*R15-100,1),IF(ROUND(100/Q15*R15-100,1)&gt;999,999,-999)))</f>
        <v>16.7</v>
      </c>
      <c r="T15" s="836">
        <v>2.2810968220557601</v>
      </c>
      <c r="U15" s="836">
        <v>1.728453</v>
      </c>
      <c r="V15" s="520">
        <f>IF(T15=0, "    ---- ", IF(ABS(ROUND(100/T15*U15-100,1))&lt;999,ROUND(100/T15*U15-100,1),IF(ROUND(100/T15*U15-100,1)&gt;999,999,-999)))</f>
        <v>-24.2</v>
      </c>
      <c r="W15" s="836"/>
      <c r="X15" s="836"/>
      <c r="Y15" s="520"/>
      <c r="Z15" s="836">
        <v>3571.43</v>
      </c>
      <c r="AA15" s="836">
        <v>3592.21</v>
      </c>
      <c r="AB15" s="520">
        <f t="shared" si="1"/>
        <v>0.6</v>
      </c>
      <c r="AC15" s="836"/>
      <c r="AD15" s="836"/>
      <c r="AE15" s="691"/>
      <c r="AF15" s="836">
        <v>2591</v>
      </c>
      <c r="AG15" s="836">
        <v>2540</v>
      </c>
      <c r="AH15" s="520">
        <f t="shared" si="2"/>
        <v>-2</v>
      </c>
      <c r="AI15" s="836">
        <v>8346</v>
      </c>
      <c r="AJ15" s="836">
        <v>7741</v>
      </c>
      <c r="AK15" s="520">
        <f t="shared" si="3"/>
        <v>-7.2</v>
      </c>
      <c r="AL15" s="688">
        <f t="shared" si="4"/>
        <v>44094.27709682205</v>
      </c>
      <c r="AM15" s="688">
        <f t="shared" si="5"/>
        <v>43308.407946549996</v>
      </c>
      <c r="AN15" s="520">
        <f t="shared" si="6"/>
        <v>-1.8</v>
      </c>
      <c r="AO15" s="690"/>
      <c r="AP15" s="690"/>
    </row>
    <row r="16" spans="1:57" s="528" customFormat="1" ht="18.75" customHeight="1" x14ac:dyDescent="0.35">
      <c r="A16" s="514" t="s">
        <v>411</v>
      </c>
      <c r="B16" s="836"/>
      <c r="C16" s="889"/>
      <c r="D16" s="520"/>
      <c r="E16" s="836"/>
      <c r="F16" s="836"/>
      <c r="G16" s="520"/>
      <c r="H16" s="836">
        <v>20225.599999999999</v>
      </c>
      <c r="I16" s="836">
        <v>19054.340623419997</v>
      </c>
      <c r="J16" s="691">
        <f t="shared" si="0"/>
        <v>-5.8</v>
      </c>
      <c r="K16" s="597"/>
      <c r="L16" s="597"/>
      <c r="M16" s="520"/>
      <c r="N16" s="836"/>
      <c r="O16" s="836"/>
      <c r="P16" s="520"/>
      <c r="Q16" s="836"/>
      <c r="R16" s="836"/>
      <c r="S16" s="520"/>
      <c r="T16" s="836"/>
      <c r="U16" s="836"/>
      <c r="V16" s="520"/>
      <c r="W16" s="836"/>
      <c r="X16" s="836"/>
      <c r="Y16" s="520"/>
      <c r="Z16" s="836">
        <v>2408.8000000000002</v>
      </c>
      <c r="AA16" s="836">
        <v>2291.33</v>
      </c>
      <c r="AB16" s="520">
        <f t="shared" si="1"/>
        <v>-4.9000000000000004</v>
      </c>
      <c r="AC16" s="836"/>
      <c r="AD16" s="836"/>
      <c r="AE16" s="691"/>
      <c r="AF16" s="836">
        <v>2415</v>
      </c>
      <c r="AG16" s="836">
        <v>2352</v>
      </c>
      <c r="AH16" s="520">
        <f t="shared" si="2"/>
        <v>-2.6</v>
      </c>
      <c r="AI16" s="836">
        <v>8346</v>
      </c>
      <c r="AJ16" s="836">
        <v>7741</v>
      </c>
      <c r="AK16" s="520">
        <f t="shared" si="3"/>
        <v>-7.2</v>
      </c>
      <c r="AL16" s="688">
        <f t="shared" si="4"/>
        <v>33395.399999999994</v>
      </c>
      <c r="AM16" s="688">
        <f t="shared" si="5"/>
        <v>31438.670623419996</v>
      </c>
      <c r="AN16" s="520">
        <f t="shared" si="6"/>
        <v>-5.9</v>
      </c>
      <c r="AO16" s="690"/>
      <c r="AP16" s="690"/>
    </row>
    <row r="17" spans="1:42" s="528" customFormat="1" ht="18.75" customHeight="1" x14ac:dyDescent="0.35">
      <c r="A17" s="514" t="s">
        <v>412</v>
      </c>
      <c r="B17" s="836">
        <f>89.454+40.673</f>
        <v>130.12700000000001</v>
      </c>
      <c r="C17" s="889">
        <f>113.434+36.585</f>
        <v>150.01900000000001</v>
      </c>
      <c r="D17" s="520">
        <f t="shared" ref="D17:D20" si="8">IF(B17=0, "    ---- ", IF(ABS(ROUND(100/B17*C17-100,1))&lt;999,ROUND(100/B17*C17-100,1),IF(ROUND(100/B17*C17-100,1)&gt;999,999,-999)))</f>
        <v>15.3</v>
      </c>
      <c r="E17" s="836"/>
      <c r="F17" s="836"/>
      <c r="G17" s="520"/>
      <c r="H17" s="836">
        <v>2941</v>
      </c>
      <c r="I17" s="836">
        <v>2973.9971226499997</v>
      </c>
      <c r="J17" s="691">
        <f t="shared" si="0"/>
        <v>1.1000000000000001</v>
      </c>
      <c r="K17" s="894">
        <v>249</v>
      </c>
      <c r="L17" s="597">
        <v>190.36670703000004</v>
      </c>
      <c r="M17" s="520">
        <f>IF(K17=0, "    ---- ", IF(ABS(ROUND(100/K17*L17-100,1))&lt;999,ROUND(100/K17*L17-100,1),IF(ROUND(100/K17*L17-100,1)&gt;999,999,-999)))</f>
        <v>-23.5</v>
      </c>
      <c r="N17" s="836"/>
      <c r="O17" s="836"/>
      <c r="P17" s="520"/>
      <c r="Q17" s="836">
        <v>2252.6999999999998</v>
      </c>
      <c r="R17" s="836">
        <v>2627.9</v>
      </c>
      <c r="S17" s="520">
        <f>IF(Q17=0, "    ---- ", IF(ABS(ROUND(100/Q17*R17-100,1))&lt;999,ROUND(100/Q17*R17-100,1),IF(ROUND(100/Q17*R17-100,1)&gt;999,999,-999)))</f>
        <v>16.7</v>
      </c>
      <c r="T17" s="836"/>
      <c r="U17" s="836"/>
      <c r="V17" s="520"/>
      <c r="W17" s="836"/>
      <c r="X17" s="836"/>
      <c r="Y17" s="520"/>
      <c r="Z17" s="836">
        <v>522.25</v>
      </c>
      <c r="AA17" s="836">
        <v>567.25</v>
      </c>
      <c r="AB17" s="520">
        <f t="shared" si="1"/>
        <v>8.6</v>
      </c>
      <c r="AC17" s="836"/>
      <c r="AD17" s="836"/>
      <c r="AE17" s="691"/>
      <c r="AF17" s="836">
        <v>175</v>
      </c>
      <c r="AG17" s="836">
        <v>188</v>
      </c>
      <c r="AH17" s="520">
        <f t="shared" si="2"/>
        <v>7.4</v>
      </c>
      <c r="AI17" s="836"/>
      <c r="AJ17" s="836"/>
      <c r="AK17" s="520"/>
      <c r="AL17" s="688">
        <f t="shared" si="4"/>
        <v>6270.0769999999993</v>
      </c>
      <c r="AM17" s="688">
        <f t="shared" si="5"/>
        <v>6697.5328296799998</v>
      </c>
      <c r="AN17" s="520">
        <f t="shared" si="6"/>
        <v>6.8</v>
      </c>
      <c r="AO17" s="690"/>
      <c r="AP17" s="690"/>
    </row>
    <row r="18" spans="1:42" s="528" customFormat="1" ht="18.75" customHeight="1" x14ac:dyDescent="0.35">
      <c r="A18" s="514" t="s">
        <v>414</v>
      </c>
      <c r="B18" s="836">
        <v>0.52500000000000002</v>
      </c>
      <c r="C18" s="889">
        <v>1.6990000000000001</v>
      </c>
      <c r="D18" s="520">
        <f t="shared" si="8"/>
        <v>223.6</v>
      </c>
      <c r="E18" s="836"/>
      <c r="F18" s="836"/>
      <c r="G18" s="520"/>
      <c r="H18" s="836">
        <v>290</v>
      </c>
      <c r="I18" s="836">
        <v>241.43803983999999</v>
      </c>
      <c r="J18" s="691">
        <f t="shared" si="0"/>
        <v>-16.7</v>
      </c>
      <c r="K18" s="597">
        <v>2438</v>
      </c>
      <c r="L18" s="597">
        <v>2549.9973124099997</v>
      </c>
      <c r="M18" s="520">
        <f>IF(K18=0, "    ---- ", IF(ABS(ROUND(100/K18*L18-100,1))&lt;999,ROUND(100/K18*L18-100,1),IF(ROUND(100/K18*L18-100,1)&gt;999,999,-999)))</f>
        <v>4.5999999999999996</v>
      </c>
      <c r="N18" s="836">
        <v>38.411000000000001</v>
      </c>
      <c r="O18" s="836">
        <v>37.341999999999999</v>
      </c>
      <c r="P18" s="520">
        <f>IF(N18=0, "    ---- ", IF(ABS(ROUND(100/N18*O18-100,1))&lt;999,ROUND(100/N18*O18-100,1),IF(ROUND(100/N18*O18-100,1)&gt;999,999,-999)))</f>
        <v>-2.8</v>
      </c>
      <c r="Q18" s="836"/>
      <c r="R18" s="836"/>
      <c r="S18" s="520"/>
      <c r="T18" s="836">
        <v>21.9082563444287</v>
      </c>
      <c r="U18" s="836">
        <v>16.49671579</v>
      </c>
      <c r="V18" s="520">
        <f>IF(T18=0, "    ---- ", IF(ABS(ROUND(100/T18*U18-100,1))&lt;999,ROUND(100/T18*U18-100,1),IF(ROUND(100/T18*U18-100,1)&gt;999,999,-999)))</f>
        <v>-24.7</v>
      </c>
      <c r="W18" s="836">
        <v>18.486153500000004</v>
      </c>
      <c r="X18" s="836">
        <v>0.93028330000000004</v>
      </c>
      <c r="Y18" s="520">
        <f>IF(W18=0, "    ---- ", IF(ABS(ROUND(100/W18*X18-100,1))&lt;999,ROUND(100/W18*X18-100,1),IF(ROUND(100/W18*X18-100,1)&gt;999,999,-999)))</f>
        <v>-95</v>
      </c>
      <c r="Z18" s="836"/>
      <c r="AA18" s="836"/>
      <c r="AB18" s="520"/>
      <c r="AC18" s="836"/>
      <c r="AD18" s="836"/>
      <c r="AE18" s="691"/>
      <c r="AF18" s="836">
        <v>77</v>
      </c>
      <c r="AG18" s="836">
        <v>41</v>
      </c>
      <c r="AH18" s="520">
        <f t="shared" si="2"/>
        <v>-46.8</v>
      </c>
      <c r="AI18" s="836">
        <v>1535</v>
      </c>
      <c r="AJ18" s="836">
        <v>1515</v>
      </c>
      <c r="AK18" s="520">
        <f t="shared" si="3"/>
        <v>-1.3</v>
      </c>
      <c r="AL18" s="688">
        <f t="shared" si="4"/>
        <v>4419.3304098444287</v>
      </c>
      <c r="AM18" s="688">
        <f t="shared" si="5"/>
        <v>4403.90335134</v>
      </c>
      <c r="AN18" s="520">
        <f t="shared" si="6"/>
        <v>-0.3</v>
      </c>
      <c r="AO18" s="690"/>
      <c r="AP18" s="690"/>
    </row>
    <row r="19" spans="1:42" s="528" customFormat="1" ht="18.75" customHeight="1" x14ac:dyDescent="0.35">
      <c r="A19" s="514" t="s">
        <v>415</v>
      </c>
      <c r="B19" s="836">
        <f>390.402+164.425+231.118</f>
        <v>785.94499999999994</v>
      </c>
      <c r="C19" s="889">
        <f>441.523+149.603+264.684</f>
        <v>855.81</v>
      </c>
      <c r="D19" s="520">
        <f t="shared" si="8"/>
        <v>8.9</v>
      </c>
      <c r="E19" s="836">
        <v>1659.4</v>
      </c>
      <c r="F19" s="836"/>
      <c r="G19" s="520">
        <f>IF(E19=0, "    ---- ", IF(ABS(ROUND(100/E19*F19-100,1))&lt;999,ROUND(100/E19*F19-100,1),IF(ROUND(100/E19*F19-100,1)&gt;999,999,-999)))</f>
        <v>-100</v>
      </c>
      <c r="H19" s="836">
        <v>149889.20000000001</v>
      </c>
      <c r="I19" s="836">
        <f>151107+2634</f>
        <v>153741</v>
      </c>
      <c r="J19" s="691">
        <f t="shared" si="0"/>
        <v>2.6</v>
      </c>
      <c r="K19" s="597"/>
      <c r="L19" s="597"/>
      <c r="M19" s="520"/>
      <c r="N19" s="836">
        <v>0</v>
      </c>
      <c r="O19" s="836"/>
      <c r="P19" s="520"/>
      <c r="Q19" s="836">
        <v>5111.3999999999996</v>
      </c>
      <c r="R19" s="836">
        <v>5266.6</v>
      </c>
      <c r="S19" s="520">
        <f>IF(Q19=0, "    ---- ", IF(ABS(ROUND(100/Q19*R19-100,1))&lt;999,ROUND(100/Q19*R19-100,1),IF(ROUND(100/Q19*R19-100,1)&gt;999,999,-999)))</f>
        <v>3</v>
      </c>
      <c r="T19" s="836"/>
      <c r="U19" s="836"/>
      <c r="V19" s="520"/>
      <c r="W19" s="836"/>
      <c r="X19" s="836"/>
      <c r="Y19" s="520"/>
      <c r="Z19" s="836">
        <v>42927.78</v>
      </c>
      <c r="AA19" s="836">
        <v>43412.08</v>
      </c>
      <c r="AB19" s="520">
        <f t="shared" si="1"/>
        <v>1.1000000000000001</v>
      </c>
      <c r="AC19" s="836"/>
      <c r="AD19" s="836"/>
      <c r="AE19" s="691"/>
      <c r="AF19" s="836">
        <v>14824</v>
      </c>
      <c r="AG19" s="836">
        <v>14813</v>
      </c>
      <c r="AH19" s="520">
        <f t="shared" si="2"/>
        <v>-0.1</v>
      </c>
      <c r="AI19" s="836">
        <f>277856-38135-64541-1843-17761</f>
        <v>155576</v>
      </c>
      <c r="AJ19" s="836">
        <v>158176</v>
      </c>
      <c r="AK19" s="520">
        <f t="shared" si="3"/>
        <v>1.7</v>
      </c>
      <c r="AL19" s="688">
        <f t="shared" si="4"/>
        <v>370773.72499999998</v>
      </c>
      <c r="AM19" s="688">
        <f t="shared" si="5"/>
        <v>376264.49</v>
      </c>
      <c r="AN19" s="520">
        <f t="shared" si="6"/>
        <v>1.5</v>
      </c>
      <c r="AO19" s="690"/>
      <c r="AP19" s="690"/>
    </row>
    <row r="20" spans="1:42" s="528" customFormat="1" ht="18.75" customHeight="1" x14ac:dyDescent="0.35">
      <c r="A20" s="514" t="s">
        <v>416</v>
      </c>
      <c r="B20" s="836">
        <v>164.42500000000001</v>
      </c>
      <c r="C20" s="889">
        <v>149.60300000000001</v>
      </c>
      <c r="D20" s="520">
        <f t="shared" si="8"/>
        <v>-9</v>
      </c>
      <c r="E20" s="836">
        <v>986.4</v>
      </c>
      <c r="F20" s="836"/>
      <c r="G20" s="520">
        <f>IF(E20=0, "    ---- ", IF(ABS(ROUND(100/E20*F20-100,1))&lt;999,ROUND(100/E20*F20-100,1),IF(ROUND(100/E20*F20-100,1)&gt;999,999,-999)))</f>
        <v>-100</v>
      </c>
      <c r="H20" s="836">
        <v>131666.79999999999</v>
      </c>
      <c r="I20" s="836">
        <v>132599</v>
      </c>
      <c r="J20" s="691">
        <f t="shared" si="0"/>
        <v>0.7</v>
      </c>
      <c r="K20" s="597"/>
      <c r="L20" s="597"/>
      <c r="M20" s="520"/>
      <c r="N20" s="836"/>
      <c r="O20" s="836"/>
      <c r="P20" s="520"/>
      <c r="Q20" s="836">
        <v>3869.7</v>
      </c>
      <c r="R20" s="836">
        <v>3885.9</v>
      </c>
      <c r="S20" s="520">
        <f>IF(Q20=0, "    ---- ", IF(ABS(ROUND(100/Q20*R20-100,1))&lt;999,ROUND(100/Q20*R20-100,1),IF(ROUND(100/Q20*R20-100,1)&gt;999,999,-999)))</f>
        <v>0.4</v>
      </c>
      <c r="T20" s="836"/>
      <c r="U20" s="836"/>
      <c r="V20" s="520"/>
      <c r="W20" s="836"/>
      <c r="X20" s="836"/>
      <c r="Y20" s="520"/>
      <c r="Z20" s="836">
        <v>36209.68</v>
      </c>
      <c r="AA20" s="836">
        <v>36623.29</v>
      </c>
      <c r="AB20" s="520">
        <f t="shared" si="1"/>
        <v>1.1000000000000001</v>
      </c>
      <c r="AC20" s="836"/>
      <c r="AD20" s="836"/>
      <c r="AE20" s="691"/>
      <c r="AF20" s="836">
        <v>8963</v>
      </c>
      <c r="AG20" s="836">
        <v>9163</v>
      </c>
      <c r="AH20" s="520">
        <f t="shared" si="2"/>
        <v>2.2000000000000002</v>
      </c>
      <c r="AI20" s="836">
        <v>131273</v>
      </c>
      <c r="AJ20" s="836">
        <v>134272</v>
      </c>
      <c r="AK20" s="520">
        <f t="shared" si="3"/>
        <v>2.2999999999999998</v>
      </c>
      <c r="AL20" s="688">
        <f t="shared" si="4"/>
        <v>313133.005</v>
      </c>
      <c r="AM20" s="688">
        <f t="shared" si="5"/>
        <v>316692.79300000001</v>
      </c>
      <c r="AN20" s="520">
        <f t="shared" si="6"/>
        <v>1.1000000000000001</v>
      </c>
      <c r="AO20" s="690"/>
      <c r="AP20" s="690"/>
    </row>
    <row r="21" spans="1:42" s="528" customFormat="1" ht="18.75" customHeight="1" x14ac:dyDescent="0.35">
      <c r="A21" s="514" t="s">
        <v>417</v>
      </c>
      <c r="B21" s="836"/>
      <c r="C21" s="889"/>
      <c r="D21" s="520"/>
      <c r="E21" s="836"/>
      <c r="F21" s="836"/>
      <c r="G21" s="520"/>
      <c r="H21" s="836"/>
      <c r="I21" s="836"/>
      <c r="J21" s="691"/>
      <c r="K21" s="597"/>
      <c r="L21" s="597"/>
      <c r="M21" s="520"/>
      <c r="N21" s="836"/>
      <c r="O21" s="836"/>
      <c r="P21" s="520"/>
      <c r="Q21" s="836"/>
      <c r="R21" s="836"/>
      <c r="S21" s="520"/>
      <c r="T21" s="836"/>
      <c r="U21" s="836"/>
      <c r="V21" s="520"/>
      <c r="W21" s="836">
        <v>456036.25131739001</v>
      </c>
      <c r="X21" s="836">
        <v>484727.15319580998</v>
      </c>
      <c r="Y21" s="520">
        <f>IF(W21=0, "    ---- ", IF(ABS(ROUND(100/W21*X21-100,1))&lt;999,ROUND(100/W21*X21-100,1),IF(ROUND(100/W21*X21-100,1)&gt;999,999,-999)))</f>
        <v>6.3</v>
      </c>
      <c r="Z21" s="836"/>
      <c r="AA21" s="836"/>
      <c r="AB21" s="520"/>
      <c r="AC21" s="836">
        <v>66749</v>
      </c>
      <c r="AD21" s="836">
        <v>72092</v>
      </c>
      <c r="AE21" s="691">
        <f>IF(AC21=0, "    ---- ", IF(ABS(ROUND(100/AC21*AD21-100,1))&lt;999,ROUND(100/AC21*AD21-100,1),IF(ROUND(100/AC21*AD21-100,1)&gt;999,999,-999)))</f>
        <v>8</v>
      </c>
      <c r="AF21" s="836"/>
      <c r="AG21" s="836"/>
      <c r="AH21" s="520"/>
      <c r="AI21" s="836">
        <v>2686</v>
      </c>
      <c r="AJ21" s="836">
        <v>9253</v>
      </c>
      <c r="AK21" s="520">
        <f t="shared" si="3"/>
        <v>244.5</v>
      </c>
      <c r="AL21" s="688">
        <f t="shared" si="4"/>
        <v>525471.25131739001</v>
      </c>
      <c r="AM21" s="688">
        <f t="shared" si="5"/>
        <v>566072.15319581004</v>
      </c>
      <c r="AN21" s="520">
        <f t="shared" si="6"/>
        <v>7.7</v>
      </c>
      <c r="AO21" s="690"/>
      <c r="AP21" s="690"/>
    </row>
    <row r="22" spans="1:42" s="528" customFormat="1" ht="18.75" customHeight="1" x14ac:dyDescent="0.35">
      <c r="A22" s="514" t="s">
        <v>418</v>
      </c>
      <c r="B22" s="836">
        <v>54.917000000000002</v>
      </c>
      <c r="C22" s="889">
        <v>45.398000000000003</v>
      </c>
      <c r="D22" s="520">
        <f>IF(B22=0, "    ---- ", IF(ABS(ROUND(100/B22*C22-100,1))&lt;999,ROUND(100/B22*C22-100,1),IF(ROUND(100/B22*C22-100,1)&gt;999,999,-999)))</f>
        <v>-17.3</v>
      </c>
      <c r="E22" s="836"/>
      <c r="F22" s="836"/>
      <c r="G22" s="520"/>
      <c r="H22" s="836">
        <f>2824.1+1760.9</f>
        <v>4585</v>
      </c>
      <c r="I22" s="836">
        <f>2643-2634</f>
        <v>9</v>
      </c>
      <c r="J22" s="691">
        <f t="shared" si="0"/>
        <v>-99.8</v>
      </c>
      <c r="K22" s="597">
        <v>594</v>
      </c>
      <c r="L22" s="597">
        <v>622.84977819999995</v>
      </c>
      <c r="M22" s="520">
        <f>IF(K22=0, "    ---- ", IF(ABS(ROUND(100/K22*L22-100,1))&lt;999,ROUND(100/K22*L22-100,1),IF(ROUND(100/K22*L22-100,1)&gt;999,999,-999)))</f>
        <v>4.9000000000000004</v>
      </c>
      <c r="N22" s="836">
        <v>144.06299999999999</v>
      </c>
      <c r="O22" s="836">
        <v>101.72799999999999</v>
      </c>
      <c r="P22" s="520">
        <f>IF(N22=0, "    ---- ", IF(ABS(ROUND(100/N22*O22-100,1))&lt;999,ROUND(100/N22*O22-100,1),IF(ROUND(100/N22*O22-100,1)&gt;999,999,-999)))</f>
        <v>-29.4</v>
      </c>
      <c r="Q22" s="836"/>
      <c r="R22" s="836"/>
      <c r="S22" s="520"/>
      <c r="T22" s="836"/>
      <c r="U22" s="836"/>
      <c r="V22" s="520"/>
      <c r="W22" s="836"/>
      <c r="X22" s="836"/>
      <c r="Y22" s="520"/>
      <c r="Z22" s="836">
        <v>53.09</v>
      </c>
      <c r="AA22" s="836">
        <v>58.8</v>
      </c>
      <c r="AB22" s="520">
        <f t="shared" si="1"/>
        <v>10.8</v>
      </c>
      <c r="AC22" s="836"/>
      <c r="AD22" s="836"/>
      <c r="AE22" s="691"/>
      <c r="AF22" s="836"/>
      <c r="AG22" s="836"/>
      <c r="AH22" s="520"/>
      <c r="AI22" s="836"/>
      <c r="AJ22" s="836"/>
      <c r="AK22" s="520"/>
      <c r="AL22" s="688">
        <f t="shared" si="4"/>
        <v>5431.0700000000006</v>
      </c>
      <c r="AM22" s="688">
        <f t="shared" si="5"/>
        <v>837.77577819999988</v>
      </c>
      <c r="AN22" s="520">
        <f t="shared" si="6"/>
        <v>-84.6</v>
      </c>
      <c r="AO22" s="690"/>
      <c r="AP22" s="690"/>
    </row>
    <row r="23" spans="1:42" s="697" customFormat="1" ht="18.75" customHeight="1" x14ac:dyDescent="0.3">
      <c r="A23" s="692" t="s">
        <v>419</v>
      </c>
      <c r="B23" s="837">
        <f>SUM(B24+B27+B30+B31+B33+B34)</f>
        <v>483.62520000000001</v>
      </c>
      <c r="C23" s="890">
        <f>SUM(C24+C27+C30+C31+C33+C34)</f>
        <v>520.72200000000009</v>
      </c>
      <c r="D23" s="693">
        <f>IF(B23=0, "    ---- ", IF(ABS(ROUND(100/B23*C23-100,1))&lt;999,ROUND(100/B23*C23-100,1),IF(ROUND(100/B23*C23-100,1)&gt;999,999,-999)))</f>
        <v>7.7</v>
      </c>
      <c r="E23" s="837"/>
      <c r="F23" s="837"/>
      <c r="G23" s="693"/>
      <c r="H23" s="837">
        <f>SUM(H24+H27+H30+H31+H33+H34)</f>
        <v>188967.5</v>
      </c>
      <c r="I23" s="837">
        <f>SUM(I24+I27+I30+I31+I33+I34)</f>
        <v>185948.32772345998</v>
      </c>
      <c r="J23" s="694">
        <f t="shared" si="0"/>
        <v>-1.6</v>
      </c>
      <c r="K23" s="599">
        <f>SUM(K24+K27+K30+K31+K33+K34)</f>
        <v>6385</v>
      </c>
      <c r="L23" s="599">
        <v>6977.4347729200008</v>
      </c>
      <c r="M23" s="693">
        <f>IF(K23=0, "    ---- ", IF(ABS(ROUND(100/K23*L23-100,1))&lt;999,ROUND(100/K23*L23-100,1),IF(ROUND(100/K23*L23-100,1)&gt;999,999,-999)))</f>
        <v>9.3000000000000007</v>
      </c>
      <c r="N23" s="837">
        <f>SUM(N24+N27+N30+N31+N33+N34)</f>
        <v>916.75799999999992</v>
      </c>
      <c r="O23" s="837">
        <f>SUM(O24+O27+O30+O31+O33+O34)</f>
        <v>1102.3530000000001</v>
      </c>
      <c r="P23" s="693">
        <f>IF(N23=0, "    ---- ", IF(ABS(ROUND(100/N23*O23-100,1))&lt;999,ROUND(100/N23*O23-100,1),IF(ROUND(100/N23*O23-100,1)&gt;999,999,-999)))</f>
        <v>20.2</v>
      </c>
      <c r="Q23" s="837">
        <f>SUM(Q24+Q27+Q30+Q31+Q33+Q34)</f>
        <v>6845.9</v>
      </c>
      <c r="R23" s="837">
        <f>SUM(R24+R27+R30+R31+R33+R34)</f>
        <v>7328.4000000000005</v>
      </c>
      <c r="S23" s="693">
        <f>IF(Q23=0, "    ---- ", IF(ABS(ROUND(100/Q23*R23-100,1))&lt;999,ROUND(100/Q23*R23-100,1),IF(ROUND(100/Q23*R23-100,1)&gt;999,999,-999)))</f>
        <v>7</v>
      </c>
      <c r="T23" s="837"/>
      <c r="U23" s="837"/>
      <c r="V23" s="693"/>
      <c r="W23" s="837"/>
      <c r="X23" s="837">
        <v>484743.18644980999</v>
      </c>
      <c r="Y23" s="693" t="str">
        <f>IF(W23=0, "    ---- ", IF(ABS(ROUND(100/W23*X23-100,1))&lt;999,ROUND(100/W23*X23-100,1),IF(ROUND(100/W23*X23-100,1)&gt;999,999,-999)))</f>
        <v xml:space="preserve">    ---- </v>
      </c>
      <c r="Z23" s="837">
        <f>SUM(Z24+Z27+Z30+Z31+Z33+Z34)</f>
        <v>47225.549999999996</v>
      </c>
      <c r="AA23" s="837">
        <f>SUM(AA24+AA27+AA30+AA31+AA33+AA34)</f>
        <v>47749.670000000006</v>
      </c>
      <c r="AB23" s="693">
        <f t="shared" si="1"/>
        <v>1.1000000000000001</v>
      </c>
      <c r="AC23" s="837"/>
      <c r="AD23" s="837"/>
      <c r="AE23" s="694"/>
      <c r="AF23" s="837">
        <f>SUM(AF24+AF27+AF30+AF31+AF33+AF34)</f>
        <v>17905</v>
      </c>
      <c r="AG23" s="837">
        <f>SUM(AG24+AG27+AG30+AG31+AG33+AG34)</f>
        <v>17776</v>
      </c>
      <c r="AH23" s="693">
        <f t="shared" si="2"/>
        <v>-0.7</v>
      </c>
      <c r="AI23" s="837">
        <f>SUM(AI24+AI27+AI30+AI31+AI33+AI34)</f>
        <v>172089</v>
      </c>
      <c r="AJ23" s="837">
        <f>SUM(AJ24+AJ27+AJ30+AJ31+AJ33+AJ34)</f>
        <v>180685</v>
      </c>
      <c r="AK23" s="693">
        <f t="shared" si="3"/>
        <v>5</v>
      </c>
      <c r="AL23" s="610">
        <f t="shared" si="4"/>
        <v>440818.33319999999</v>
      </c>
      <c r="AM23" s="610">
        <f t="shared" si="5"/>
        <v>932831.09394618997</v>
      </c>
      <c r="AN23" s="693">
        <f t="shared" si="6"/>
        <v>111.6</v>
      </c>
      <c r="AO23" s="695"/>
      <c r="AP23" s="696"/>
    </row>
    <row r="24" spans="1:42" s="528" customFormat="1" ht="18.75" customHeight="1" x14ac:dyDescent="0.35">
      <c r="A24" s="514" t="s">
        <v>410</v>
      </c>
      <c r="B24" s="889">
        <f>B12*0.4</f>
        <v>95.019600000000011</v>
      </c>
      <c r="C24" s="889">
        <f>C12*0.4</f>
        <v>99.551600000000008</v>
      </c>
      <c r="D24" s="520">
        <f>IF(B24=0, "    ---- ", IF(ABS(ROUND(100/B24*C24-100,1))&lt;999,ROUND(100/B24*C24-100,1),IF(ROUND(100/B24*C24-100,1)&gt;999,999,-999)))</f>
        <v>4.8</v>
      </c>
      <c r="E24" s="836"/>
      <c r="F24" s="836"/>
      <c r="G24" s="520"/>
      <c r="H24" s="836">
        <v>11036.7</v>
      </c>
      <c r="I24" s="836">
        <f>+I25+I26</f>
        <v>9928.5519375500007</v>
      </c>
      <c r="J24" s="691">
        <f t="shared" si="0"/>
        <v>-10</v>
      </c>
      <c r="K24" s="597">
        <v>566</v>
      </c>
      <c r="L24" s="597">
        <v>650.79192044000001</v>
      </c>
      <c r="M24" s="520">
        <f>IF(K24=0, "    ---- ", IF(ABS(ROUND(100/K24*L24-100,1))&lt;999,ROUND(100/K24*L24-100,1),IF(ROUND(100/K24*L24-100,1)&gt;999,999,-999)))</f>
        <v>15</v>
      </c>
      <c r="N24" s="836">
        <v>59.173000000000002</v>
      </c>
      <c r="O24" s="836">
        <v>67.611000000000004</v>
      </c>
      <c r="P24" s="520">
        <f>IF(N24=0, "    ---- ", IF(ABS(ROUND(100/N24*O24-100,1))&lt;999,ROUND(100/N24*O24-100,1),IF(ROUND(100/N24*O24-100,1)&gt;999,999,-999)))</f>
        <v>14.3</v>
      </c>
      <c r="Q24" s="836"/>
      <c r="R24" s="836"/>
      <c r="S24" s="520"/>
      <c r="T24" s="836"/>
      <c r="U24" s="836"/>
      <c r="V24" s="520"/>
      <c r="W24" s="836"/>
      <c r="X24" s="836"/>
      <c r="Y24" s="520"/>
      <c r="Z24" s="836">
        <v>673.25</v>
      </c>
      <c r="AA24" s="836">
        <v>686.58</v>
      </c>
      <c r="AB24" s="520">
        <f t="shared" si="1"/>
        <v>2</v>
      </c>
      <c r="AC24" s="836"/>
      <c r="AD24" s="836"/>
      <c r="AE24" s="691"/>
      <c r="AF24" s="836">
        <v>413</v>
      </c>
      <c r="AG24" s="836">
        <v>382</v>
      </c>
      <c r="AH24" s="520">
        <f t="shared" si="2"/>
        <v>-7.5</v>
      </c>
      <c r="AI24" s="836">
        <v>3946</v>
      </c>
      <c r="AJ24" s="836">
        <v>4000</v>
      </c>
      <c r="AK24" s="520">
        <f t="shared" si="3"/>
        <v>1.4</v>
      </c>
      <c r="AL24" s="688">
        <f t="shared" si="4"/>
        <v>16789.142599999999</v>
      </c>
      <c r="AM24" s="688">
        <f t="shared" si="5"/>
        <v>15815.086457990003</v>
      </c>
      <c r="AN24" s="520">
        <f t="shared" si="6"/>
        <v>-5.8</v>
      </c>
      <c r="AO24" s="690"/>
      <c r="AP24" s="690"/>
    </row>
    <row r="25" spans="1:42" s="528" customFormat="1" ht="18.75" customHeight="1" x14ac:dyDescent="0.35">
      <c r="A25" s="514" t="s">
        <v>411</v>
      </c>
      <c r="B25" s="889"/>
      <c r="C25" s="889"/>
      <c r="D25" s="520"/>
      <c r="E25" s="836"/>
      <c r="F25" s="836"/>
      <c r="G25" s="520"/>
      <c r="H25" s="836">
        <v>2878.7</v>
      </c>
      <c r="I25" s="822">
        <v>2822.0279565700002</v>
      </c>
      <c r="J25" s="691">
        <f t="shared" si="0"/>
        <v>-2</v>
      </c>
      <c r="K25" s="597"/>
      <c r="L25" s="597"/>
      <c r="M25" s="520"/>
      <c r="N25" s="836"/>
      <c r="O25" s="836"/>
      <c r="P25" s="520"/>
      <c r="Q25" s="836"/>
      <c r="R25" s="836"/>
      <c r="S25" s="520"/>
      <c r="T25" s="836"/>
      <c r="U25" s="836"/>
      <c r="V25" s="520"/>
      <c r="W25" s="836"/>
      <c r="X25" s="836"/>
      <c r="Y25" s="520"/>
      <c r="Z25" s="836">
        <v>409.72</v>
      </c>
      <c r="AA25" s="836">
        <v>386.25</v>
      </c>
      <c r="AB25" s="520">
        <f t="shared" si="1"/>
        <v>-5.7</v>
      </c>
      <c r="AC25" s="836"/>
      <c r="AD25" s="836"/>
      <c r="AE25" s="691"/>
      <c r="AF25" s="822">
        <v>277</v>
      </c>
      <c r="AG25" s="822">
        <v>254</v>
      </c>
      <c r="AH25" s="520">
        <f t="shared" si="2"/>
        <v>-8.3000000000000007</v>
      </c>
      <c r="AI25" s="836">
        <v>2089</v>
      </c>
      <c r="AJ25" s="836">
        <f>+AJ13</f>
        <v>2004</v>
      </c>
      <c r="AK25" s="520">
        <f t="shared" si="3"/>
        <v>-4.0999999999999996</v>
      </c>
      <c r="AL25" s="688">
        <f t="shared" si="4"/>
        <v>5654.42</v>
      </c>
      <c r="AM25" s="688">
        <f t="shared" si="5"/>
        <v>5466.2779565700002</v>
      </c>
      <c r="AN25" s="520">
        <f t="shared" si="6"/>
        <v>-3.3</v>
      </c>
      <c r="AO25" s="690"/>
      <c r="AP25" s="690"/>
    </row>
    <row r="26" spans="1:42" s="528" customFormat="1" ht="18.75" customHeight="1" x14ac:dyDescent="0.35">
      <c r="A26" s="514" t="s">
        <v>412</v>
      </c>
      <c r="B26" s="889">
        <f>B14*0.4</f>
        <v>95.019600000000011</v>
      </c>
      <c r="C26" s="889">
        <f>C14*0.4</f>
        <v>99.551600000000008</v>
      </c>
      <c r="D26" s="520">
        <f t="shared" ref="D26:D27" si="9">IF(B26=0, "    ---- ", IF(ABS(ROUND(100/B26*C26-100,1))&lt;999,ROUND(100/B26*C26-100,1),IF(ROUND(100/B26*C26-100,1)&gt;999,999,-999)))</f>
        <v>4.8</v>
      </c>
      <c r="E26" s="836"/>
      <c r="F26" s="836"/>
      <c r="G26" s="520"/>
      <c r="H26" s="836">
        <v>8158</v>
      </c>
      <c r="I26" s="822">
        <v>7106.5239809799996</v>
      </c>
      <c r="J26" s="691">
        <f t="shared" si="0"/>
        <v>-12.9</v>
      </c>
      <c r="K26" s="894"/>
      <c r="L26" s="597"/>
      <c r="M26" s="520"/>
      <c r="N26" s="836"/>
      <c r="O26" s="836"/>
      <c r="P26" s="520"/>
      <c r="Q26" s="836"/>
      <c r="R26" s="836"/>
      <c r="S26" s="520"/>
      <c r="T26" s="836"/>
      <c r="U26" s="836"/>
      <c r="V26" s="520"/>
      <c r="W26" s="836"/>
      <c r="X26" s="836"/>
      <c r="Y26" s="520"/>
      <c r="Z26" s="836">
        <v>36.81</v>
      </c>
      <c r="AA26" s="836">
        <v>36.74</v>
      </c>
      <c r="AB26" s="520">
        <f t="shared" si="1"/>
        <v>-0.2</v>
      </c>
      <c r="AC26" s="836"/>
      <c r="AD26" s="836"/>
      <c r="AE26" s="691"/>
      <c r="AF26" s="822">
        <v>135</v>
      </c>
      <c r="AG26" s="822">
        <v>128</v>
      </c>
      <c r="AH26" s="520">
        <f t="shared" si="2"/>
        <v>-5.2</v>
      </c>
      <c r="AI26" s="836"/>
      <c r="AJ26" s="836"/>
      <c r="AK26" s="520"/>
      <c r="AL26" s="688">
        <f t="shared" si="4"/>
        <v>8424.8295999999991</v>
      </c>
      <c r="AM26" s="688">
        <f t="shared" si="5"/>
        <v>7370.8155809799991</v>
      </c>
      <c r="AN26" s="520">
        <f t="shared" si="6"/>
        <v>-12.5</v>
      </c>
      <c r="AO26" s="690"/>
      <c r="AP26" s="690"/>
    </row>
    <row r="27" spans="1:42" s="528" customFormat="1" ht="18.75" customHeight="1" x14ac:dyDescent="0.35">
      <c r="A27" s="514" t="s">
        <v>413</v>
      </c>
      <c r="B27" s="889">
        <f>B15*0.4</f>
        <v>52.05080000000001</v>
      </c>
      <c r="C27" s="889">
        <f>C15*0.4</f>
        <v>60.007600000000004</v>
      </c>
      <c r="D27" s="520">
        <f t="shared" si="9"/>
        <v>15.3</v>
      </c>
      <c r="E27" s="836"/>
      <c r="F27" s="836"/>
      <c r="G27" s="520"/>
      <c r="H27" s="836">
        <v>23166.6</v>
      </c>
      <c r="I27" s="836">
        <f>+I28+I29</f>
        <v>22028.337746069996</v>
      </c>
      <c r="J27" s="691">
        <f t="shared" si="0"/>
        <v>-4.9000000000000004</v>
      </c>
      <c r="K27" s="597">
        <v>3313</v>
      </c>
      <c r="L27" s="597">
        <v>3665.6077474800004</v>
      </c>
      <c r="M27" s="520">
        <f>IF(K27=0, "    ---- ", IF(ABS(ROUND(100/K27*L27-100,1))&lt;999,ROUND(100/K27*L27-100,1),IF(ROUND(100/K27*L27-100,1)&gt;999,999,-999)))</f>
        <v>10.6</v>
      </c>
      <c r="N27" s="836">
        <v>719.95399999999995</v>
      </c>
      <c r="O27" s="836">
        <v>917.04700000000003</v>
      </c>
      <c r="P27" s="520">
        <f>IF(N27=0, "    ---- ", IF(ABS(ROUND(100/N27*O27-100,1))&lt;999,ROUND(100/N27*O27-100,1),IF(ROUND(100/N27*O27-100,1)&gt;999,999,-999)))</f>
        <v>27.4</v>
      </c>
      <c r="Q27" s="836">
        <f>2252.7-474.8</f>
        <v>1777.8999999999999</v>
      </c>
      <c r="R27" s="836">
        <v>2084.8000000000002</v>
      </c>
      <c r="S27" s="520">
        <f>IF(Q27=0, "    ---- ", IF(ABS(ROUND(100/Q27*R27-100,1))&lt;999,ROUND(100/Q27*R27-100,1),IF(ROUND(100/Q27*R27-100,1)&gt;999,999,-999)))</f>
        <v>17.3</v>
      </c>
      <c r="T27" s="836"/>
      <c r="U27" s="836"/>
      <c r="V27" s="520"/>
      <c r="W27" s="836"/>
      <c r="X27" s="836"/>
      <c r="Y27" s="520"/>
      <c r="Z27" s="836">
        <v>3571.43</v>
      </c>
      <c r="AA27" s="836">
        <v>3592.21</v>
      </c>
      <c r="AB27" s="520">
        <f t="shared" si="1"/>
        <v>0.6</v>
      </c>
      <c r="AC27" s="836"/>
      <c r="AD27" s="836"/>
      <c r="AE27" s="691"/>
      <c r="AF27" s="836">
        <v>2591</v>
      </c>
      <c r="AG27" s="836">
        <v>2540</v>
      </c>
      <c r="AH27" s="520">
        <f t="shared" si="2"/>
        <v>-2</v>
      </c>
      <c r="AI27" s="836">
        <v>8346</v>
      </c>
      <c r="AJ27" s="836">
        <v>7741</v>
      </c>
      <c r="AK27" s="520">
        <f t="shared" si="3"/>
        <v>-7.2</v>
      </c>
      <c r="AL27" s="688">
        <f t="shared" si="4"/>
        <v>43537.934800000003</v>
      </c>
      <c r="AM27" s="688">
        <f t="shared" si="5"/>
        <v>42629.010093549994</v>
      </c>
      <c r="AN27" s="520">
        <f t="shared" si="6"/>
        <v>-2.1</v>
      </c>
      <c r="AO27" s="690"/>
      <c r="AP27" s="690"/>
    </row>
    <row r="28" spans="1:42" s="528" customFormat="1" ht="18.75" customHeight="1" x14ac:dyDescent="0.35">
      <c r="A28" s="514" t="s">
        <v>411</v>
      </c>
      <c r="B28" s="889"/>
      <c r="C28" s="889"/>
      <c r="D28" s="520"/>
      <c r="E28" s="836"/>
      <c r="F28" s="836"/>
      <c r="G28" s="520"/>
      <c r="H28" s="836">
        <v>20225.599999999999</v>
      </c>
      <c r="I28" s="836">
        <v>19054.340623419997</v>
      </c>
      <c r="J28" s="691">
        <f t="shared" si="0"/>
        <v>-5.8</v>
      </c>
      <c r="K28" s="597"/>
      <c r="L28" s="597"/>
      <c r="M28" s="520"/>
      <c r="N28" s="836"/>
      <c r="O28" s="836"/>
      <c r="P28" s="520"/>
      <c r="Q28" s="836"/>
      <c r="R28" s="836"/>
      <c r="S28" s="520"/>
      <c r="T28" s="836"/>
      <c r="U28" s="836"/>
      <c r="V28" s="520"/>
      <c r="W28" s="836"/>
      <c r="X28" s="836"/>
      <c r="Y28" s="520"/>
      <c r="Z28" s="836">
        <v>2389.16</v>
      </c>
      <c r="AA28" s="836">
        <v>2268.21</v>
      </c>
      <c r="AB28" s="520">
        <f t="shared" si="1"/>
        <v>-5.0999999999999996</v>
      </c>
      <c r="AC28" s="836"/>
      <c r="AD28" s="836"/>
      <c r="AE28" s="691"/>
      <c r="AF28" s="836">
        <v>2415</v>
      </c>
      <c r="AG28" s="836">
        <v>2352</v>
      </c>
      <c r="AH28" s="520">
        <f t="shared" si="2"/>
        <v>-2.6</v>
      </c>
      <c r="AI28" s="836">
        <v>8346</v>
      </c>
      <c r="AJ28" s="836">
        <f>+AJ16</f>
        <v>7741</v>
      </c>
      <c r="AK28" s="520">
        <f t="shared" si="3"/>
        <v>-7.2</v>
      </c>
      <c r="AL28" s="688">
        <f t="shared" si="4"/>
        <v>33375.759999999995</v>
      </c>
      <c r="AM28" s="688">
        <f t="shared" si="5"/>
        <v>31415.550623419997</v>
      </c>
      <c r="AN28" s="520">
        <f t="shared" si="6"/>
        <v>-5.9</v>
      </c>
      <c r="AO28" s="690"/>
      <c r="AP28" s="690"/>
    </row>
    <row r="29" spans="1:42" s="528" customFormat="1" ht="18.75" customHeight="1" x14ac:dyDescent="0.35">
      <c r="A29" s="514" t="s">
        <v>412</v>
      </c>
      <c r="B29" s="889">
        <f t="shared" ref="B29:C32" si="10">B17*0.4</f>
        <v>52.05080000000001</v>
      </c>
      <c r="C29" s="889">
        <f t="shared" si="10"/>
        <v>60.007600000000004</v>
      </c>
      <c r="D29" s="520">
        <f t="shared" ref="D29:D32" si="11">IF(B29=0, "    ---- ", IF(ABS(ROUND(100/B29*C29-100,1))&lt;999,ROUND(100/B29*C29-100,1),IF(ROUND(100/B29*C29-100,1)&gt;999,999,-999)))</f>
        <v>15.3</v>
      </c>
      <c r="E29" s="836"/>
      <c r="F29" s="836"/>
      <c r="G29" s="520"/>
      <c r="H29" s="836">
        <v>2941</v>
      </c>
      <c r="I29" s="836">
        <v>2973.9971226499997</v>
      </c>
      <c r="J29" s="691">
        <f t="shared" si="0"/>
        <v>1.1000000000000001</v>
      </c>
      <c r="K29" s="894">
        <v>0.2</v>
      </c>
      <c r="L29" s="597"/>
      <c r="M29" s="520">
        <f>IF(K29=0, "    ---- ", IF(ABS(ROUND(100/K29*L29-100,1))&lt;999,ROUND(100/K29*L29-100,1),IF(ROUND(100/K29*L29-100,1)&gt;999,999,-999)))</f>
        <v>-100</v>
      </c>
      <c r="N29" s="836"/>
      <c r="O29" s="836"/>
      <c r="P29" s="520"/>
      <c r="Q29" s="836">
        <v>1777.8999999999999</v>
      </c>
      <c r="R29" s="836">
        <v>2084.8000000000002</v>
      </c>
      <c r="S29" s="520">
        <f>IF(Q29=0, "    ---- ", IF(ABS(ROUND(100/Q29*R29-100,1))&lt;999,ROUND(100/Q29*R29-100,1),IF(ROUND(100/Q29*R29-100,1)&gt;999,999,-999)))</f>
        <v>17.3</v>
      </c>
      <c r="T29" s="836"/>
      <c r="U29" s="836"/>
      <c r="V29" s="520"/>
      <c r="W29" s="836"/>
      <c r="X29" s="836"/>
      <c r="Y29" s="520"/>
      <c r="Z29" s="836">
        <v>522.25</v>
      </c>
      <c r="AA29" s="836">
        <v>567.25</v>
      </c>
      <c r="AB29" s="520">
        <f t="shared" si="1"/>
        <v>8.6</v>
      </c>
      <c r="AC29" s="836"/>
      <c r="AD29" s="836"/>
      <c r="AE29" s="691"/>
      <c r="AF29" s="836">
        <v>175</v>
      </c>
      <c r="AG29" s="836">
        <v>188</v>
      </c>
      <c r="AH29" s="520">
        <f t="shared" si="2"/>
        <v>7.4</v>
      </c>
      <c r="AI29" s="836"/>
      <c r="AJ29" s="836"/>
      <c r="AK29" s="520"/>
      <c r="AL29" s="688">
        <f t="shared" si="4"/>
        <v>5468.4007999999994</v>
      </c>
      <c r="AM29" s="688">
        <f t="shared" si="5"/>
        <v>5874.0547226500003</v>
      </c>
      <c r="AN29" s="520">
        <f t="shared" si="6"/>
        <v>7.4</v>
      </c>
      <c r="AO29" s="690"/>
      <c r="AP29" s="690"/>
    </row>
    <row r="30" spans="1:42" s="528" customFormat="1" ht="18.75" customHeight="1" x14ac:dyDescent="0.35">
      <c r="A30" s="514" t="s">
        <v>414</v>
      </c>
      <c r="B30" s="889">
        <f t="shared" si="10"/>
        <v>0.21000000000000002</v>
      </c>
      <c r="C30" s="889">
        <f t="shared" si="10"/>
        <v>0.67960000000000009</v>
      </c>
      <c r="D30" s="520">
        <f t="shared" si="11"/>
        <v>223.6</v>
      </c>
      <c r="E30" s="836"/>
      <c r="F30" s="836"/>
      <c r="G30" s="520"/>
      <c r="H30" s="836">
        <v>290</v>
      </c>
      <c r="I30" s="836">
        <v>241.43803983999999</v>
      </c>
      <c r="J30" s="691">
        <f t="shared" si="0"/>
        <v>-16.7</v>
      </c>
      <c r="K30" s="597">
        <v>2072</v>
      </c>
      <c r="L30" s="597">
        <v>2181.5601344799998</v>
      </c>
      <c r="M30" s="520">
        <f>IF(K30=0, "    ---- ", IF(ABS(ROUND(100/K30*L30-100,1))&lt;999,ROUND(100/K30*L30-100,1),IF(ROUND(100/K30*L30-100,1)&gt;999,999,-999)))</f>
        <v>5.3</v>
      </c>
      <c r="N30" s="836">
        <v>33.134</v>
      </c>
      <c r="O30" s="836">
        <v>33.909999999999997</v>
      </c>
      <c r="P30" s="520">
        <f>IF(N30=0, "    ---- ", IF(ABS(ROUND(100/N30*O30-100,1))&lt;999,ROUND(100/N30*O30-100,1),IF(ROUND(100/N30*O30-100,1)&gt;999,999,-999)))</f>
        <v>2.2999999999999998</v>
      </c>
      <c r="Q30" s="836"/>
      <c r="R30" s="836"/>
      <c r="S30" s="520"/>
      <c r="T30" s="836"/>
      <c r="U30" s="836"/>
      <c r="V30" s="520"/>
      <c r="W30" s="836"/>
      <c r="X30" s="836">
        <v>16.033253999999999</v>
      </c>
      <c r="Y30" s="520" t="str">
        <f>IF(W30=0, "    ---- ", IF(ABS(ROUND(100/W30*X30-100,1))&lt;999,ROUND(100/W30*X30-100,1),IF(ROUND(100/W30*X30-100,1)&gt;999,999,-999)))</f>
        <v xml:space="preserve">    ---- </v>
      </c>
      <c r="Z30" s="836"/>
      <c r="AA30" s="836"/>
      <c r="AB30" s="520"/>
      <c r="AC30" s="836"/>
      <c r="AD30" s="836"/>
      <c r="AE30" s="691"/>
      <c r="AF30" s="836">
        <v>77</v>
      </c>
      <c r="AG30" s="836">
        <v>41</v>
      </c>
      <c r="AH30" s="520">
        <f t="shared" si="2"/>
        <v>-46.8</v>
      </c>
      <c r="AI30" s="836">
        <v>1535</v>
      </c>
      <c r="AJ30" s="836">
        <f>+AJ18</f>
        <v>1515</v>
      </c>
      <c r="AK30" s="520">
        <f t="shared" si="3"/>
        <v>-1.3</v>
      </c>
      <c r="AL30" s="688">
        <f t="shared" si="4"/>
        <v>4007.3440000000001</v>
      </c>
      <c r="AM30" s="688">
        <f t="shared" si="5"/>
        <v>4029.6210283199994</v>
      </c>
      <c r="AN30" s="520">
        <f t="shared" si="6"/>
        <v>0.6</v>
      </c>
      <c r="AO30" s="690"/>
      <c r="AP30" s="690"/>
    </row>
    <row r="31" spans="1:42" s="528" customFormat="1" ht="18.75" customHeight="1" x14ac:dyDescent="0.35">
      <c r="A31" s="514" t="s">
        <v>415</v>
      </c>
      <c r="B31" s="889">
        <f t="shared" si="10"/>
        <v>314.37799999999999</v>
      </c>
      <c r="C31" s="889">
        <f t="shared" si="10"/>
        <v>342.32400000000001</v>
      </c>
      <c r="D31" s="520">
        <f t="shared" si="11"/>
        <v>8.9</v>
      </c>
      <c r="E31" s="836"/>
      <c r="F31" s="836"/>
      <c r="G31" s="520"/>
      <c r="H31" s="836">
        <v>149889.20000000001</v>
      </c>
      <c r="I31" s="836">
        <f>151107+2634</f>
        <v>153741</v>
      </c>
      <c r="J31" s="691">
        <f t="shared" si="0"/>
        <v>2.6</v>
      </c>
      <c r="K31" s="597"/>
      <c r="L31" s="597"/>
      <c r="M31" s="520"/>
      <c r="N31" s="836">
        <v>-7.452</v>
      </c>
      <c r="O31" s="836"/>
      <c r="P31" s="520">
        <f>IF(N31=0, "    ---- ", IF(ABS(ROUND(100/N31*O31-100,1))&lt;999,ROUND(100/N31*O31-100,1),IF(ROUND(100/N31*O31-100,1)&gt;999,999,-999)))</f>
        <v>-100</v>
      </c>
      <c r="Q31" s="836">
        <f>5111.4-43.4</f>
        <v>5068</v>
      </c>
      <c r="R31" s="836">
        <v>5243.6</v>
      </c>
      <c r="S31" s="520">
        <f>IF(Q31=0, "    ---- ", IF(ABS(ROUND(100/Q31*R31-100,1))&lt;999,ROUND(100/Q31*R31-100,1),IF(ROUND(100/Q31*R31-100,1)&gt;999,999,-999)))</f>
        <v>3.5</v>
      </c>
      <c r="T31" s="836"/>
      <c r="U31" s="836"/>
      <c r="V31" s="520"/>
      <c r="W31" s="836"/>
      <c r="X31" s="836"/>
      <c r="Y31" s="520"/>
      <c r="Z31" s="836">
        <v>42927.78</v>
      </c>
      <c r="AA31" s="836">
        <v>43412.08</v>
      </c>
      <c r="AB31" s="520">
        <f t="shared" si="1"/>
        <v>1.1000000000000001</v>
      </c>
      <c r="AC31" s="836"/>
      <c r="AD31" s="836"/>
      <c r="AE31" s="691"/>
      <c r="AF31" s="836">
        <v>14824</v>
      </c>
      <c r="AG31" s="836">
        <v>14813</v>
      </c>
      <c r="AH31" s="520">
        <f t="shared" si="2"/>
        <v>-0.1</v>
      </c>
      <c r="AI31" s="836">
        <v>155576</v>
      </c>
      <c r="AJ31" s="836">
        <f>+AJ19</f>
        <v>158176</v>
      </c>
      <c r="AK31" s="520">
        <f t="shared" si="3"/>
        <v>1.7</v>
      </c>
      <c r="AL31" s="688">
        <f t="shared" si="4"/>
        <v>368591.90600000002</v>
      </c>
      <c r="AM31" s="688">
        <f t="shared" si="5"/>
        <v>375728.00400000002</v>
      </c>
      <c r="AN31" s="520">
        <f t="shared" si="6"/>
        <v>1.9</v>
      </c>
      <c r="AO31" s="690"/>
      <c r="AP31" s="690"/>
    </row>
    <row r="32" spans="1:42" s="528" customFormat="1" ht="18.75" customHeight="1" x14ac:dyDescent="0.35">
      <c r="A32" s="514" t="s">
        <v>416</v>
      </c>
      <c r="B32" s="889">
        <f t="shared" si="10"/>
        <v>65.77000000000001</v>
      </c>
      <c r="C32" s="889">
        <f t="shared" si="10"/>
        <v>59.841200000000008</v>
      </c>
      <c r="D32" s="520">
        <f t="shared" si="11"/>
        <v>-9</v>
      </c>
      <c r="E32" s="836"/>
      <c r="F32" s="836"/>
      <c r="G32" s="520"/>
      <c r="H32" s="836">
        <v>131666.79999999999</v>
      </c>
      <c r="I32" s="836">
        <v>132599</v>
      </c>
      <c r="J32" s="691">
        <f t="shared" si="0"/>
        <v>0.7</v>
      </c>
      <c r="K32" s="597"/>
      <c r="L32" s="597"/>
      <c r="M32" s="520"/>
      <c r="N32" s="836"/>
      <c r="O32" s="836"/>
      <c r="P32" s="520"/>
      <c r="Q32" s="836">
        <v>3869.7</v>
      </c>
      <c r="R32" s="836">
        <v>3885.9</v>
      </c>
      <c r="S32" s="520">
        <f>IF(Q32=0, "    ---- ", IF(ABS(ROUND(100/Q32*R32-100,1))&lt;999,ROUND(100/Q32*R32-100,1),IF(ROUND(100/Q32*R32-100,1)&gt;999,999,-999)))</f>
        <v>0.4</v>
      </c>
      <c r="T32" s="836"/>
      <c r="U32" s="836"/>
      <c r="V32" s="520"/>
      <c r="W32" s="836"/>
      <c r="X32" s="836"/>
      <c r="Y32" s="520"/>
      <c r="Z32" s="836">
        <v>36209.68</v>
      </c>
      <c r="AA32" s="836">
        <v>36623.29</v>
      </c>
      <c r="AB32" s="520">
        <f t="shared" si="1"/>
        <v>1.1000000000000001</v>
      </c>
      <c r="AC32" s="836"/>
      <c r="AD32" s="836"/>
      <c r="AE32" s="691"/>
      <c r="AF32" s="836">
        <v>8963</v>
      </c>
      <c r="AG32" s="836">
        <v>9163</v>
      </c>
      <c r="AH32" s="520">
        <f t="shared" si="2"/>
        <v>2.2000000000000002</v>
      </c>
      <c r="AI32" s="836">
        <v>131273</v>
      </c>
      <c r="AJ32" s="836">
        <f>+AJ20</f>
        <v>134272</v>
      </c>
      <c r="AK32" s="520">
        <f t="shared" si="3"/>
        <v>2.2999999999999998</v>
      </c>
      <c r="AL32" s="688">
        <f t="shared" si="4"/>
        <v>312047.94999999995</v>
      </c>
      <c r="AM32" s="688">
        <f t="shared" si="5"/>
        <v>316603.03119999997</v>
      </c>
      <c r="AN32" s="520">
        <f t="shared" si="6"/>
        <v>1.5</v>
      </c>
      <c r="AO32" s="690"/>
      <c r="AP32" s="690"/>
    </row>
    <row r="33" spans="1:42" s="528" customFormat="1" ht="18.75" customHeight="1" x14ac:dyDescent="0.35">
      <c r="A33" s="514" t="s">
        <v>417</v>
      </c>
      <c r="B33" s="889"/>
      <c r="C33" s="889"/>
      <c r="D33" s="520"/>
      <c r="E33" s="836"/>
      <c r="F33" s="836"/>
      <c r="G33" s="520"/>
      <c r="H33" s="836"/>
      <c r="I33" s="836"/>
      <c r="J33" s="691"/>
      <c r="K33" s="597"/>
      <c r="L33" s="597"/>
      <c r="M33" s="520"/>
      <c r="N33" s="836"/>
      <c r="O33" s="836"/>
      <c r="P33" s="520"/>
      <c r="Q33" s="836"/>
      <c r="R33" s="836"/>
      <c r="S33" s="520"/>
      <c r="T33" s="836"/>
      <c r="U33" s="836"/>
      <c r="V33" s="520"/>
      <c r="W33" s="836">
        <v>456019.29273716162</v>
      </c>
      <c r="X33" s="836">
        <v>484727.15319580998</v>
      </c>
      <c r="Y33" s="520">
        <f>IF(W33=0, "    ---- ", IF(ABS(ROUND(100/W33*X33-100,1))&lt;999,ROUND(100/W33*X33-100,1),IF(ROUND(100/W33*X33-100,1)&gt;999,999,-999)))</f>
        <v>6.3</v>
      </c>
      <c r="Z33" s="836"/>
      <c r="AA33" s="836"/>
      <c r="AB33" s="520"/>
      <c r="AC33" s="836"/>
      <c r="AD33" s="836"/>
      <c r="AE33" s="691"/>
      <c r="AF33" s="836"/>
      <c r="AG33" s="836"/>
      <c r="AH33" s="520"/>
      <c r="AI33" s="836">
        <v>2686</v>
      </c>
      <c r="AJ33" s="836">
        <f>+AJ21</f>
        <v>9253</v>
      </c>
      <c r="AK33" s="520">
        <f t="shared" si="3"/>
        <v>244.5</v>
      </c>
      <c r="AL33" s="688">
        <f t="shared" si="4"/>
        <v>458705.29273716162</v>
      </c>
      <c r="AM33" s="688">
        <f t="shared" si="5"/>
        <v>493980.15319580998</v>
      </c>
      <c r="AN33" s="520">
        <f t="shared" si="6"/>
        <v>7.7</v>
      </c>
      <c r="AO33" s="690"/>
      <c r="AP33" s="690"/>
    </row>
    <row r="34" spans="1:42" s="528" customFormat="1" ht="18.75" customHeight="1" x14ac:dyDescent="0.35">
      <c r="A34" s="514" t="s">
        <v>418</v>
      </c>
      <c r="B34" s="889">
        <f>B22*0.4</f>
        <v>21.966800000000003</v>
      </c>
      <c r="C34" s="889">
        <f>C22*0.4</f>
        <v>18.159200000000002</v>
      </c>
      <c r="D34" s="520">
        <f>IF(B34=0, "    ---- ", IF(ABS(ROUND(100/B34*C34-100,1))&lt;999,ROUND(100/B34*C34-100,1),IF(ROUND(100/B34*C34-100,1)&gt;999,999,-999)))</f>
        <v>-17.3</v>
      </c>
      <c r="E34" s="836"/>
      <c r="F34" s="836"/>
      <c r="G34" s="520"/>
      <c r="H34" s="836">
        <f>2824.1+1760.9</f>
        <v>4585</v>
      </c>
      <c r="I34" s="836">
        <f>2643-2634</f>
        <v>9</v>
      </c>
      <c r="J34" s="691">
        <f t="shared" si="0"/>
        <v>-99.8</v>
      </c>
      <c r="K34" s="597">
        <v>434</v>
      </c>
      <c r="L34" s="597">
        <v>479.47497051999994</v>
      </c>
      <c r="M34" s="520">
        <f>IF(K34=0, "    ---- ", IF(ABS(ROUND(100/K34*L34-100,1))&lt;999,ROUND(100/K34*L34-100,1),IF(ROUND(100/K34*L34-100,1)&gt;999,999,-999)))</f>
        <v>10.5</v>
      </c>
      <c r="N34" s="836">
        <v>111.949</v>
      </c>
      <c r="O34" s="836">
        <v>83.784999999999997</v>
      </c>
      <c r="P34" s="520">
        <f>IF(N34=0, "    ---- ", IF(ABS(ROUND(100/N34*O34-100,1))&lt;999,ROUND(100/N34*O34-100,1),IF(ROUND(100/N34*O34-100,1)&gt;999,999,-999)))</f>
        <v>-25.2</v>
      </c>
      <c r="Q34" s="836"/>
      <c r="R34" s="836"/>
      <c r="S34" s="520"/>
      <c r="T34" s="836"/>
      <c r="U34" s="836"/>
      <c r="V34" s="520"/>
      <c r="W34" s="836"/>
      <c r="X34" s="836"/>
      <c r="Y34" s="520"/>
      <c r="Z34" s="836">
        <v>53.09</v>
      </c>
      <c r="AA34" s="836">
        <v>58.8</v>
      </c>
      <c r="AB34" s="520">
        <f t="shared" si="1"/>
        <v>10.8</v>
      </c>
      <c r="AC34" s="836"/>
      <c r="AD34" s="836"/>
      <c r="AE34" s="691"/>
      <c r="AF34" s="836"/>
      <c r="AG34" s="836"/>
      <c r="AH34" s="520"/>
      <c r="AI34" s="836"/>
      <c r="AJ34" s="836"/>
      <c r="AK34" s="520"/>
      <c r="AL34" s="688">
        <f t="shared" si="4"/>
        <v>5206.0057999999999</v>
      </c>
      <c r="AM34" s="688">
        <f t="shared" si="5"/>
        <v>649.21917051999992</v>
      </c>
      <c r="AN34" s="520">
        <f t="shared" si="6"/>
        <v>-87.5</v>
      </c>
      <c r="AO34" s="690"/>
      <c r="AP34" s="690"/>
    </row>
    <row r="35" spans="1:42" s="697" customFormat="1" ht="18.75" customHeight="1" x14ac:dyDescent="0.3">
      <c r="A35" s="692" t="s">
        <v>420</v>
      </c>
      <c r="B35" s="837">
        <f>SUM(B36:B39)</f>
        <v>26.604999999999997</v>
      </c>
      <c r="C35" s="890">
        <f>SUM(C36:C39)</f>
        <v>29.785</v>
      </c>
      <c r="D35" s="693">
        <f>IF(B35=0, "    ---- ", IF(ABS(ROUND(100/B35*C35-100,1))&lt;999,ROUND(100/B35*C35-100,1),IF(ROUND(100/B35*C35-100,1)&gt;999,999,-999)))</f>
        <v>12</v>
      </c>
      <c r="E35" s="837">
        <f>SUM(E36:E39)</f>
        <v>109.2</v>
      </c>
      <c r="F35" s="837"/>
      <c r="G35" s="693">
        <f>IF(E35=0, "    ---- ", IF(ABS(ROUND(100/E35*F35-100,1))&lt;999,ROUND(100/E35*F35-100,1),IF(ROUND(100/E35*F35-100,1)&gt;999,999,-999)))</f>
        <v>-100</v>
      </c>
      <c r="H35" s="837">
        <f>SUM(H36:H39)</f>
        <v>6134.4</v>
      </c>
      <c r="I35" s="837">
        <f>SUM(I36:I39)</f>
        <v>7351</v>
      </c>
      <c r="J35" s="694">
        <f t="shared" si="0"/>
        <v>19.8</v>
      </c>
      <c r="K35" s="599"/>
      <c r="L35" s="599"/>
      <c r="M35" s="693"/>
      <c r="N35" s="837">
        <f>SUM(N36:N39)</f>
        <v>5.7919999999999998</v>
      </c>
      <c r="O35" s="837">
        <f>SUM(O36:O39)</f>
        <v>4.6589999999999998</v>
      </c>
      <c r="P35" s="693">
        <f>IF(N35=0, "    ---- ", IF(ABS(ROUND(100/N35*O35-100,1))&lt;999,ROUND(100/N35*O35-100,1),IF(ROUND(100/N35*O35-100,1)&gt;999,999,-999)))</f>
        <v>-19.600000000000001</v>
      </c>
      <c r="Q35" s="837">
        <f>SUM(Q36:Q39)</f>
        <v>295.8</v>
      </c>
      <c r="R35" s="837">
        <f>SUM(R36:R39)</f>
        <v>332.09999999999997</v>
      </c>
      <c r="S35" s="693">
        <f>IF(Q35=0, "    ---- ", IF(ABS(ROUND(100/Q35*R35-100,1))&lt;999,ROUND(100/Q35*R35-100,1),IF(ROUND(100/Q35*R35-100,1)&gt;999,999,-999)))</f>
        <v>12.3</v>
      </c>
      <c r="T35" s="837"/>
      <c r="U35" s="837"/>
      <c r="V35" s="693"/>
      <c r="W35" s="837">
        <f>SUM(W36:W39)</f>
        <v>43325.203834</v>
      </c>
      <c r="X35" s="837">
        <v>48625.802113999998</v>
      </c>
      <c r="Y35" s="693">
        <f>IF(W35=0, "    ---- ", IF(ABS(ROUND(100/W35*X35-100,1))&lt;999,ROUND(100/W35*X35-100,1),IF(ROUND(100/W35*X35-100,1)&gt;999,999,-999)))</f>
        <v>12.2</v>
      </c>
      <c r="Z35" s="837">
        <f>SUM(Z36:Z39)</f>
        <v>2615.91</v>
      </c>
      <c r="AA35" s="837">
        <f>SUM(AA36:AA39)</f>
        <v>3881.27</v>
      </c>
      <c r="AB35" s="693">
        <f t="shared" si="1"/>
        <v>48.4</v>
      </c>
      <c r="AC35" s="837">
        <f>SUM(AC36:AC39)</f>
        <v>7886</v>
      </c>
      <c r="AD35" s="837">
        <f>SUM(AD36:AD39)</f>
        <v>8555</v>
      </c>
      <c r="AE35" s="694">
        <f>IF(AC35=0, "    ---- ", IF(ABS(ROUND(100/AC35*AD35-100,1))&lt;999,ROUND(100/AC35*AD35-100,1),IF(ROUND(100/AC35*AD35-100,1)&gt;999,999,-999)))</f>
        <v>8.5</v>
      </c>
      <c r="AF35" s="837">
        <f>SUM(AF36:AF39)</f>
        <v>1207</v>
      </c>
      <c r="AG35" s="837">
        <f>SUM(AG36:AG39)</f>
        <v>1418</v>
      </c>
      <c r="AH35" s="693">
        <f t="shared" si="2"/>
        <v>17.5</v>
      </c>
      <c r="AI35" s="837">
        <f>SUM(AI36:AI39)</f>
        <v>11380</v>
      </c>
      <c r="AJ35" s="837">
        <f>SUM(AJ36:AJ39)</f>
        <v>13603</v>
      </c>
      <c r="AK35" s="693">
        <f t="shared" si="3"/>
        <v>19.5</v>
      </c>
      <c r="AL35" s="610">
        <f t="shared" si="4"/>
        <v>72985.910833999995</v>
      </c>
      <c r="AM35" s="610">
        <f t="shared" si="5"/>
        <v>83800.616114000004</v>
      </c>
      <c r="AN35" s="693">
        <f t="shared" si="6"/>
        <v>14.8</v>
      </c>
      <c r="AO35" s="695"/>
      <c r="AP35" s="696"/>
    </row>
    <row r="36" spans="1:42" s="528" customFormat="1" ht="18.75" customHeight="1" x14ac:dyDescent="0.35">
      <c r="A36" s="514" t="s">
        <v>410</v>
      </c>
      <c r="B36" s="836"/>
      <c r="C36" s="889"/>
      <c r="D36" s="520"/>
      <c r="E36" s="836"/>
      <c r="F36" s="836"/>
      <c r="G36" s="520"/>
      <c r="H36" s="836">
        <v>381.4</v>
      </c>
      <c r="I36" s="836">
        <v>383</v>
      </c>
      <c r="J36" s="691">
        <f t="shared" si="0"/>
        <v>0.4</v>
      </c>
      <c r="K36" s="597"/>
      <c r="L36" s="597"/>
      <c r="M36" s="520"/>
      <c r="N36" s="836"/>
      <c r="O36" s="836"/>
      <c r="P36" s="520"/>
      <c r="Q36" s="836"/>
      <c r="R36" s="836"/>
      <c r="S36" s="520"/>
      <c r="T36" s="836"/>
      <c r="U36" s="836"/>
      <c r="V36" s="520"/>
      <c r="W36" s="836"/>
      <c r="X36" s="836"/>
      <c r="Y36" s="520"/>
      <c r="Z36" s="836">
        <v>30.05</v>
      </c>
      <c r="AA36" s="836">
        <v>40.020000000000003</v>
      </c>
      <c r="AB36" s="520">
        <f t="shared" si="1"/>
        <v>33.200000000000003</v>
      </c>
      <c r="AC36" s="836"/>
      <c r="AD36" s="836"/>
      <c r="AE36" s="691"/>
      <c r="AF36" s="836">
        <v>4</v>
      </c>
      <c r="AG36" s="836">
        <v>4</v>
      </c>
      <c r="AH36" s="520">
        <f t="shared" si="2"/>
        <v>0</v>
      </c>
      <c r="AI36" s="836">
        <v>180</v>
      </c>
      <c r="AJ36" s="836">
        <v>153</v>
      </c>
      <c r="AK36" s="520">
        <f t="shared" si="3"/>
        <v>-15</v>
      </c>
      <c r="AL36" s="688">
        <f t="shared" si="4"/>
        <v>595.45000000000005</v>
      </c>
      <c r="AM36" s="688">
        <f t="shared" si="5"/>
        <v>580.02</v>
      </c>
      <c r="AN36" s="520">
        <f t="shared" si="6"/>
        <v>-2.6</v>
      </c>
      <c r="AO36" s="690"/>
      <c r="AP36" s="690"/>
    </row>
    <row r="37" spans="1:42" s="528" customFormat="1" ht="18.75" customHeight="1" x14ac:dyDescent="0.35">
      <c r="A37" s="514" t="s">
        <v>413</v>
      </c>
      <c r="B37" s="836">
        <v>0.33600000000000002</v>
      </c>
      <c r="C37" s="889">
        <v>0.33600000000000002</v>
      </c>
      <c r="D37" s="520">
        <f>IF(B37=0, "    ---- ", IF(ABS(ROUND(100/B37*C37-100,1))&lt;999,ROUND(100/B37*C37-100,1),IF(ROUND(100/B37*C37-100,1)&gt;999,999,-999)))</f>
        <v>0</v>
      </c>
      <c r="E37" s="836"/>
      <c r="F37" s="836"/>
      <c r="G37" s="520"/>
      <c r="H37" s="836">
        <v>473.1</v>
      </c>
      <c r="I37" s="836">
        <v>651</v>
      </c>
      <c r="J37" s="520">
        <f t="shared" si="0"/>
        <v>37.6</v>
      </c>
      <c r="K37" s="597"/>
      <c r="L37" s="597"/>
      <c r="M37" s="520"/>
      <c r="N37" s="836">
        <v>5.7919999999999998</v>
      </c>
      <c r="O37" s="836">
        <v>4.6589999999999998</v>
      </c>
      <c r="P37" s="520">
        <f>IF(N37=0, "    ---- ", IF(ABS(ROUND(100/N37*O37-100,1))&lt;999,ROUND(100/N37*O37-100,1),IF(ROUND(100/N37*O37-100,1)&gt;999,999,-999)))</f>
        <v>-19.600000000000001</v>
      </c>
      <c r="Q37" s="836">
        <v>7.8</v>
      </c>
      <c r="R37" s="836">
        <v>8.1999999999999993</v>
      </c>
      <c r="S37" s="520">
        <f>IF(Q37=0, "    ---- ", IF(ABS(ROUND(100/Q37*R37-100,1))&lt;999,ROUND(100/Q37*R37-100,1),IF(ROUND(100/Q37*R37-100,1)&gt;999,999,-999)))</f>
        <v>5.0999999999999996</v>
      </c>
      <c r="T37" s="836"/>
      <c r="U37" s="836"/>
      <c r="V37" s="520"/>
      <c r="W37" s="836"/>
      <c r="X37" s="836"/>
      <c r="Y37" s="520"/>
      <c r="Z37" s="836">
        <v>232.89</v>
      </c>
      <c r="AA37" s="836">
        <v>315.61</v>
      </c>
      <c r="AB37" s="520">
        <f t="shared" si="1"/>
        <v>35.5</v>
      </c>
      <c r="AC37" s="836"/>
      <c r="AD37" s="836"/>
      <c r="AE37" s="520"/>
      <c r="AF37" s="836">
        <v>128</v>
      </c>
      <c r="AG37" s="836">
        <v>116</v>
      </c>
      <c r="AH37" s="520">
        <f t="shared" si="2"/>
        <v>-9.4</v>
      </c>
      <c r="AI37" s="836">
        <v>686</v>
      </c>
      <c r="AJ37" s="836">
        <v>642</v>
      </c>
      <c r="AK37" s="520">
        <f t="shared" si="3"/>
        <v>-6.4</v>
      </c>
      <c r="AL37" s="688">
        <f t="shared" si="4"/>
        <v>1533.9180000000001</v>
      </c>
      <c r="AM37" s="688">
        <f t="shared" si="5"/>
        <v>1737.8050000000001</v>
      </c>
      <c r="AN37" s="520">
        <f t="shared" si="6"/>
        <v>13.3</v>
      </c>
      <c r="AO37" s="690"/>
      <c r="AP37" s="690"/>
    </row>
    <row r="38" spans="1:42" s="528" customFormat="1" ht="18.75" customHeight="1" x14ac:dyDescent="0.35">
      <c r="A38" s="514" t="s">
        <v>415</v>
      </c>
      <c r="B38" s="836">
        <f>20.47+5.799</f>
        <v>26.268999999999998</v>
      </c>
      <c r="C38" s="889">
        <v>29.449000000000002</v>
      </c>
      <c r="D38" s="520">
        <f>IF(B38=0, "    ---- ", IF(ABS(ROUND(100/B38*C38-100,1))&lt;999,ROUND(100/B38*C38-100,1),IF(ROUND(100/B38*C38-100,1)&gt;999,999,-999)))</f>
        <v>12.1</v>
      </c>
      <c r="E38" s="836">
        <v>109.2</v>
      </c>
      <c r="F38" s="836"/>
      <c r="G38" s="520">
        <f>IF(E38=0, "    ---- ", IF(ABS(ROUND(100/E38*F38-100,1))&lt;999,ROUND(100/E38*F38-100,1),IF(ROUND(100/E38*F38-100,1)&gt;999,999,-999)))</f>
        <v>-100</v>
      </c>
      <c r="H38" s="836">
        <f>5233.2+46.7</f>
        <v>5279.9</v>
      </c>
      <c r="I38" s="836">
        <v>6317</v>
      </c>
      <c r="J38" s="691">
        <f t="shared" si="0"/>
        <v>19.600000000000001</v>
      </c>
      <c r="K38" s="597"/>
      <c r="L38" s="597"/>
      <c r="M38" s="520"/>
      <c r="N38" s="836"/>
      <c r="O38" s="836"/>
      <c r="P38" s="520"/>
      <c r="Q38" s="836">
        <v>288</v>
      </c>
      <c r="R38" s="836">
        <v>323.89999999999998</v>
      </c>
      <c r="S38" s="520">
        <f>IF(Q38=0, "    ---- ", IF(ABS(ROUND(100/Q38*R38-100,1))&lt;999,ROUND(100/Q38*R38-100,1),IF(ROUND(100/Q38*R38-100,1)&gt;999,999,-999)))</f>
        <v>12.5</v>
      </c>
      <c r="T38" s="836"/>
      <c r="U38" s="836"/>
      <c r="V38" s="520"/>
      <c r="W38" s="836"/>
      <c r="X38" s="836"/>
      <c r="Y38" s="520"/>
      <c r="Z38" s="836">
        <v>2352.9699999999998</v>
      </c>
      <c r="AA38" s="836">
        <v>3525.64</v>
      </c>
      <c r="AB38" s="520">
        <f t="shared" si="1"/>
        <v>49.8</v>
      </c>
      <c r="AC38" s="836"/>
      <c r="AD38" s="836"/>
      <c r="AE38" s="691"/>
      <c r="AF38" s="836">
        <v>1075</v>
      </c>
      <c r="AG38" s="836">
        <v>1298</v>
      </c>
      <c r="AH38" s="520">
        <f t="shared" si="2"/>
        <v>20.7</v>
      </c>
      <c r="AI38" s="836">
        <v>10250</v>
      </c>
      <c r="AJ38" s="836">
        <v>11788</v>
      </c>
      <c r="AK38" s="520">
        <f t="shared" si="3"/>
        <v>15</v>
      </c>
      <c r="AL38" s="688">
        <f t="shared" si="4"/>
        <v>19381.339</v>
      </c>
      <c r="AM38" s="688">
        <f t="shared" si="5"/>
        <v>23281.989000000001</v>
      </c>
      <c r="AN38" s="520">
        <f t="shared" si="6"/>
        <v>20.100000000000001</v>
      </c>
      <c r="AO38" s="690"/>
      <c r="AP38" s="690"/>
    </row>
    <row r="39" spans="1:42" s="528" customFormat="1" ht="18.75" customHeight="1" x14ac:dyDescent="0.35">
      <c r="A39" s="514" t="s">
        <v>417</v>
      </c>
      <c r="B39" s="836"/>
      <c r="C39" s="889"/>
      <c r="D39" s="520"/>
      <c r="E39" s="836"/>
      <c r="F39" s="836"/>
      <c r="G39" s="520"/>
      <c r="H39" s="836"/>
      <c r="I39" s="836"/>
      <c r="J39" s="691"/>
      <c r="K39" s="597"/>
      <c r="L39" s="597"/>
      <c r="M39" s="520"/>
      <c r="N39" s="836"/>
      <c r="O39" s="836"/>
      <c r="P39" s="520"/>
      <c r="Q39" s="836"/>
      <c r="R39" s="836"/>
      <c r="S39" s="520"/>
      <c r="T39" s="836"/>
      <c r="U39" s="836"/>
      <c r="V39" s="520"/>
      <c r="W39" s="836">
        <v>43325.203834</v>
      </c>
      <c r="X39" s="836">
        <v>48625.802113999998</v>
      </c>
      <c r="Y39" s="520">
        <f>IF(W39=0, "    ---- ", IF(ABS(ROUND(100/W39*X39-100,1))&lt;999,ROUND(100/W39*X39-100,1),IF(ROUND(100/W39*X39-100,1)&gt;999,999,-999)))</f>
        <v>12.2</v>
      </c>
      <c r="Z39" s="836"/>
      <c r="AA39" s="836"/>
      <c r="AB39" s="520"/>
      <c r="AC39" s="836">
        <v>7886</v>
      </c>
      <c r="AD39" s="836">
        <v>8555</v>
      </c>
      <c r="AE39" s="691">
        <f>IF(AC39=0, "    ---- ", IF(ABS(ROUND(100/AC39*AD39-100,1))&lt;999,ROUND(100/AC39*AD39-100,1),IF(ROUND(100/AC39*AD39-100,1)&gt;999,999,-999)))</f>
        <v>8.5</v>
      </c>
      <c r="AF39" s="836"/>
      <c r="AG39" s="836"/>
      <c r="AH39" s="520"/>
      <c r="AI39" s="836">
        <v>264</v>
      </c>
      <c r="AJ39" s="836">
        <v>1020</v>
      </c>
      <c r="AK39" s="520">
        <f t="shared" si="3"/>
        <v>286.39999999999998</v>
      </c>
      <c r="AL39" s="688">
        <f t="shared" si="4"/>
        <v>51475.203834</v>
      </c>
      <c r="AM39" s="688">
        <f t="shared" si="5"/>
        <v>58200.802113999998</v>
      </c>
      <c r="AN39" s="520">
        <f t="shared" si="6"/>
        <v>13.1</v>
      </c>
      <c r="AO39" s="690"/>
      <c r="AP39" s="690"/>
    </row>
    <row r="40" spans="1:42" s="697" customFormat="1" ht="18.75" customHeight="1" x14ac:dyDescent="0.35">
      <c r="A40" s="692" t="s">
        <v>421</v>
      </c>
      <c r="B40" s="837">
        <v>68.406000000000006</v>
      </c>
      <c r="C40" s="890">
        <v>53.637</v>
      </c>
      <c r="D40" s="693">
        <f>IF(B40=0, "    ---- ", IF(ABS(ROUND(100/B40*C40-100,1))&lt;999,ROUND(100/B40*C40-100,1),IF(ROUND(100/B40*C40-100,1)&gt;999,999,-999)))</f>
        <v>-21.6</v>
      </c>
      <c r="E40" s="837">
        <v>0</v>
      </c>
      <c r="F40" s="837"/>
      <c r="G40" s="693" t="str">
        <f>IF(E40=0, "    ---- ", IF(ABS(ROUND(100/E40*F40-100,1))&lt;999,ROUND(100/E40*F40-100,1),IF(ROUND(100/E40*F40-100,1)&gt;999,999,-999)))</f>
        <v xml:space="preserve">    ---- </v>
      </c>
      <c r="H40" s="837">
        <v>2626.9</v>
      </c>
      <c r="I40" s="837">
        <v>3204</v>
      </c>
      <c r="J40" s="694">
        <f t="shared" si="0"/>
        <v>22</v>
      </c>
      <c r="K40" s="599">
        <v>46</v>
      </c>
      <c r="L40" s="599">
        <v>5.9795832399999966</v>
      </c>
      <c r="M40" s="520">
        <f t="shared" ref="M40" si="12">IF(K40=0, "    ---- ", IF(ABS(ROUND(100/K40*L40-100,1))&lt;999,ROUND(100/K40*L40-100,1),IF(ROUND(100/K40*L40-100,1)&gt;999,999,-999)))</f>
        <v>-87</v>
      </c>
      <c r="N40" s="837">
        <v>6.9</v>
      </c>
      <c r="O40" s="837">
        <v>0</v>
      </c>
      <c r="P40" s="520">
        <f t="shared" ref="P40" si="13">IF(N40=0, "    ---- ", IF(ABS(ROUND(100/N40*O40-100,1))&lt;999,ROUND(100/N40*O40-100,1),IF(ROUND(100/N40*O40-100,1)&gt;999,999,-999)))</f>
        <v>-100</v>
      </c>
      <c r="Q40" s="837">
        <v>1.6</v>
      </c>
      <c r="R40" s="837">
        <v>11.8</v>
      </c>
      <c r="S40" s="693">
        <f>IF(Q40=0, "    ---- ", IF(ABS(ROUND(100/Q40*R40-100,1))&lt;999,ROUND(100/Q40*R40-100,1),IF(ROUND(100/Q40*R40-100,1)&gt;999,999,-999)))</f>
        <v>637.5</v>
      </c>
      <c r="T40" s="837"/>
      <c r="U40" s="837"/>
      <c r="V40" s="693"/>
      <c r="W40" s="837">
        <v>55137.488722000002</v>
      </c>
      <c r="X40" s="837">
        <v>77396.876943130002</v>
      </c>
      <c r="Y40" s="693">
        <f>IF(W40=0, "    ---- ", IF(ABS(ROUND(100/W40*X40-100,1))&lt;999,ROUND(100/W40*X40-100,1),IF(ROUND(100/W40*X40-100,1)&gt;999,999,-999)))</f>
        <v>40.4</v>
      </c>
      <c r="Z40" s="837">
        <v>2340</v>
      </c>
      <c r="AA40" s="837">
        <v>3386</v>
      </c>
      <c r="AB40" s="693">
        <f t="shared" si="1"/>
        <v>44.7</v>
      </c>
      <c r="AC40" s="837">
        <v>17605</v>
      </c>
      <c r="AD40" s="837">
        <v>21261</v>
      </c>
      <c r="AE40" s="694">
        <f>IF(AC40=0, "    ---- ", IF(ABS(ROUND(100/AC40*AD40-100,1))&lt;999,ROUND(100/AC40*AD40-100,1),IF(ROUND(100/AC40*AD40-100,1)&gt;999,999,-999)))</f>
        <v>20.8</v>
      </c>
      <c r="AF40" s="837">
        <v>2806</v>
      </c>
      <c r="AG40" s="837">
        <v>2736</v>
      </c>
      <c r="AH40" s="693">
        <f t="shared" si="2"/>
        <v>-2.5</v>
      </c>
      <c r="AI40" s="837">
        <v>7170</v>
      </c>
      <c r="AJ40" s="837">
        <v>6309</v>
      </c>
      <c r="AK40" s="693">
        <f t="shared" si="3"/>
        <v>-12</v>
      </c>
      <c r="AL40" s="610">
        <f t="shared" si="4"/>
        <v>87808.294721999991</v>
      </c>
      <c r="AM40" s="610">
        <f t="shared" si="5"/>
        <v>114364.29352637001</v>
      </c>
      <c r="AN40" s="693">
        <f t="shared" si="6"/>
        <v>30.2</v>
      </c>
      <c r="AO40" s="696"/>
      <c r="AP40" s="696"/>
    </row>
    <row r="41" spans="1:42" s="697" customFormat="1" ht="18.75" customHeight="1" x14ac:dyDescent="0.35">
      <c r="A41" s="692" t="s">
        <v>422</v>
      </c>
      <c r="B41" s="837">
        <f>SUM(B42:B44)</f>
        <v>16.077000000000002</v>
      </c>
      <c r="C41" s="890">
        <f>SUM(C42:C44)</f>
        <v>13.576000000000001</v>
      </c>
      <c r="D41" s="693">
        <f t="shared" ref="D41:D54" si="14">IF(B41=0, "    ---- ", IF(ABS(ROUND(100/B41*C41-100,1))&lt;999,ROUND(100/B41*C41-100,1),IF(ROUND(100/B41*C41-100,1)&gt;999,999,-999)))</f>
        <v>-15.6</v>
      </c>
      <c r="E41" s="837">
        <f>SUM(E42:E44)</f>
        <v>33.4</v>
      </c>
      <c r="F41" s="837"/>
      <c r="G41" s="693">
        <f>IF(E41=0, "    ---- ", IF(ABS(ROUND(100/E41*F41-100,1))&lt;999,ROUND(100/E41*F41-100,1),IF(ROUND(100/E41*F41-100,1)&gt;999,999,-999)))</f>
        <v>-100</v>
      </c>
      <c r="H41" s="837">
        <f>SUM(H42:H44)</f>
        <v>543.79999999999995</v>
      </c>
      <c r="I41" s="837">
        <f>SUM(I42:I44)</f>
        <v>469</v>
      </c>
      <c r="J41" s="694">
        <f t="shared" si="0"/>
        <v>-13.8</v>
      </c>
      <c r="K41" s="599"/>
      <c r="L41" s="599"/>
      <c r="M41" s="520"/>
      <c r="N41" s="837"/>
      <c r="O41" s="837"/>
      <c r="P41" s="520"/>
      <c r="Q41" s="837">
        <f>SUM(Q42:Q44)</f>
        <v>2.7</v>
      </c>
      <c r="R41" s="837">
        <f>SUM(R42:R44)</f>
        <v>3.6</v>
      </c>
      <c r="S41" s="520">
        <f>IF(Q41=0, "    ---- ", IF(ABS(ROUND(100/Q41*R41-100,1))&lt;999,ROUND(100/Q41*R41-100,1),IF(ROUND(100/Q41*R41-100,1)&gt;999,999,-999)))</f>
        <v>33.299999999999997</v>
      </c>
      <c r="T41" s="837"/>
      <c r="U41" s="837"/>
      <c r="V41" s="693"/>
      <c r="W41" s="837">
        <f>SUM(W42:W44)</f>
        <v>38187.132681000003</v>
      </c>
      <c r="X41" s="599">
        <f>SUM(X42:X44)</f>
        <v>40769</v>
      </c>
      <c r="Y41" s="693">
        <f>IF(W41=0, "    ---- ", IF(ABS(ROUND(100/W41*X41-100,1))&lt;999,ROUND(100/W41*X41-100,1),IF(ROUND(100/W41*X41-100,1)&gt;999,999,-999)))</f>
        <v>6.8</v>
      </c>
      <c r="Z41" s="837">
        <f>SUM(Z42:Z44)</f>
        <v>845</v>
      </c>
      <c r="AA41" s="837">
        <f>SUM(AA42:AA44)</f>
        <v>791</v>
      </c>
      <c r="AB41" s="693">
        <f t="shared" si="1"/>
        <v>-6.4</v>
      </c>
      <c r="AC41" s="837">
        <f>SUM(AC42:AC44)</f>
        <v>7077</v>
      </c>
      <c r="AD41" s="837">
        <f>SUM(AD42:AD44)</f>
        <v>9577</v>
      </c>
      <c r="AE41" s="694">
        <f>IF(AC41=0, "    ---- ", IF(ABS(ROUND(100/AC41*AD41-100,1))&lt;999,ROUND(100/AC41*AD41-100,1),IF(ROUND(100/AC41*AD41-100,1)&gt;999,999,-999)))</f>
        <v>35.299999999999997</v>
      </c>
      <c r="AF41" s="837">
        <f>SUM(AF42:AF44)</f>
        <v>264</v>
      </c>
      <c r="AG41" s="837">
        <f>SUM(AG42:AG44)</f>
        <v>450</v>
      </c>
      <c r="AH41" s="693">
        <f t="shared" si="2"/>
        <v>70.5</v>
      </c>
      <c r="AI41" s="837">
        <f>SUM(AI42:AI44)</f>
        <v>2266</v>
      </c>
      <c r="AJ41" s="837">
        <f>SUM(AJ42:AJ44)</f>
        <v>3501.1</v>
      </c>
      <c r="AK41" s="693">
        <f t="shared" si="3"/>
        <v>54.5</v>
      </c>
      <c r="AL41" s="610">
        <f t="shared" si="4"/>
        <v>49235.109681000002</v>
      </c>
      <c r="AM41" s="610">
        <f t="shared" si="5"/>
        <v>55574.275999999998</v>
      </c>
      <c r="AN41" s="693">
        <f t="shared" si="6"/>
        <v>12.9</v>
      </c>
      <c r="AO41" s="695"/>
      <c r="AP41" s="696"/>
    </row>
    <row r="42" spans="1:42" s="528" customFormat="1" ht="18.75" customHeight="1" x14ac:dyDescent="0.35">
      <c r="A42" s="514" t="s">
        <v>413</v>
      </c>
      <c r="B42" s="836"/>
      <c r="C42" s="889"/>
      <c r="D42" s="520"/>
      <c r="E42" s="836"/>
      <c r="F42" s="836"/>
      <c r="G42" s="520"/>
      <c r="H42" s="836">
        <v>42.8</v>
      </c>
      <c r="I42" s="836">
        <v>36</v>
      </c>
      <c r="J42" s="520">
        <f t="shared" si="0"/>
        <v>-15.9</v>
      </c>
      <c r="K42" s="597"/>
      <c r="L42" s="597"/>
      <c r="M42" s="520"/>
      <c r="N42" s="836"/>
      <c r="O42" s="836"/>
      <c r="P42" s="520"/>
      <c r="Q42" s="836"/>
      <c r="R42" s="836"/>
      <c r="S42" s="520"/>
      <c r="T42" s="836"/>
      <c r="U42" s="836"/>
      <c r="V42" s="520"/>
      <c r="W42" s="836"/>
      <c r="X42" s="597"/>
      <c r="Y42" s="520"/>
      <c r="Z42" s="836">
        <v>0</v>
      </c>
      <c r="AA42" s="836">
        <v>0</v>
      </c>
      <c r="AB42" s="520" t="str">
        <f t="shared" si="1"/>
        <v xml:space="preserve">    ---- </v>
      </c>
      <c r="AC42" s="836"/>
      <c r="AD42" s="836"/>
      <c r="AE42" s="520"/>
      <c r="AF42" s="836"/>
      <c r="AG42" s="836"/>
      <c r="AH42" s="520"/>
      <c r="AI42" s="836"/>
      <c r="AJ42" s="836"/>
      <c r="AK42" s="520"/>
      <c r="AL42" s="688">
        <f t="shared" si="4"/>
        <v>42.8</v>
      </c>
      <c r="AM42" s="688">
        <f t="shared" si="5"/>
        <v>36</v>
      </c>
      <c r="AN42" s="520">
        <f t="shared" si="6"/>
        <v>-15.9</v>
      </c>
      <c r="AO42" s="690"/>
      <c r="AP42" s="690"/>
    </row>
    <row r="43" spans="1:42" s="528" customFormat="1" ht="18.75" customHeight="1" x14ac:dyDescent="0.35">
      <c r="A43" s="514" t="s">
        <v>415</v>
      </c>
      <c r="B43" s="836">
        <v>16.077000000000002</v>
      </c>
      <c r="C43" s="889">
        <v>13.576000000000001</v>
      </c>
      <c r="D43" s="520">
        <f t="shared" si="14"/>
        <v>-15.6</v>
      </c>
      <c r="E43" s="836">
        <v>33.4</v>
      </c>
      <c r="F43" s="836"/>
      <c r="G43" s="520">
        <f>IF(E43=0, "    ---- ", IF(ABS(ROUND(100/E43*F43-100,1))&lt;999,ROUND(100/E43*F43-100,1),IF(ROUND(100/E43*F43-100,1)&gt;999,999,-999)))</f>
        <v>-100</v>
      </c>
      <c r="H43" s="836">
        <f>497.4+3.6</f>
        <v>501</v>
      </c>
      <c r="I43" s="836">
        <f>430+3</f>
        <v>433</v>
      </c>
      <c r="J43" s="691">
        <f t="shared" si="0"/>
        <v>-13.6</v>
      </c>
      <c r="K43" s="597"/>
      <c r="L43" s="597"/>
      <c r="M43" s="520"/>
      <c r="N43" s="836"/>
      <c r="O43" s="836"/>
      <c r="P43" s="520"/>
      <c r="Q43" s="836">
        <v>2.7</v>
      </c>
      <c r="R43" s="836">
        <v>3.6</v>
      </c>
      <c r="S43" s="520">
        <f>IF(Q43=0, "    ---- ", IF(ABS(ROUND(100/Q43*R43-100,1))&lt;999,ROUND(100/Q43*R43-100,1),IF(ROUND(100/Q43*R43-100,1)&gt;999,999,-999)))</f>
        <v>33.299999999999997</v>
      </c>
      <c r="T43" s="836"/>
      <c r="U43" s="836"/>
      <c r="V43" s="520"/>
      <c r="W43" s="836"/>
      <c r="X43" s="597"/>
      <c r="Y43" s="520"/>
      <c r="Z43" s="836">
        <v>845</v>
      </c>
      <c r="AA43" s="836">
        <v>791</v>
      </c>
      <c r="AB43" s="520">
        <f t="shared" si="1"/>
        <v>-6.4</v>
      </c>
      <c r="AC43" s="836"/>
      <c r="AD43" s="836"/>
      <c r="AE43" s="691"/>
      <c r="AF43" s="836">
        <v>264</v>
      </c>
      <c r="AG43" s="836">
        <v>450</v>
      </c>
      <c r="AH43" s="520">
        <f t="shared" si="2"/>
        <v>70.5</v>
      </c>
      <c r="AI43" s="836">
        <f>1346+503</f>
        <v>1849</v>
      </c>
      <c r="AJ43" s="836">
        <f>1536+399.1</f>
        <v>1935.1</v>
      </c>
      <c r="AK43" s="520">
        <f t="shared" si="3"/>
        <v>4.7</v>
      </c>
      <c r="AL43" s="688">
        <f t="shared" si="4"/>
        <v>3511.1770000000001</v>
      </c>
      <c r="AM43" s="688">
        <f t="shared" si="5"/>
        <v>3626.2759999999998</v>
      </c>
      <c r="AN43" s="520">
        <f t="shared" si="6"/>
        <v>3.3</v>
      </c>
      <c r="AO43" s="690"/>
      <c r="AP43" s="690"/>
    </row>
    <row r="44" spans="1:42" s="528" customFormat="1" ht="18.75" customHeight="1" x14ac:dyDescent="0.35">
      <c r="A44" s="514" t="s">
        <v>417</v>
      </c>
      <c r="B44" s="836"/>
      <c r="C44" s="836"/>
      <c r="D44" s="520"/>
      <c r="E44" s="836"/>
      <c r="F44" s="836"/>
      <c r="G44" s="520"/>
      <c r="H44" s="836"/>
      <c r="I44" s="836"/>
      <c r="J44" s="691"/>
      <c r="K44" s="597"/>
      <c r="L44" s="597"/>
      <c r="M44" s="520"/>
      <c r="N44" s="836"/>
      <c r="O44" s="836"/>
      <c r="P44" s="520"/>
      <c r="Q44" s="836"/>
      <c r="R44" s="836"/>
      <c r="S44" s="520"/>
      <c r="T44" s="836"/>
      <c r="U44" s="836"/>
      <c r="V44" s="520"/>
      <c r="W44" s="836">
        <v>38187.132681000003</v>
      </c>
      <c r="X44" s="597">
        <v>40769</v>
      </c>
      <c r="Y44" s="520">
        <f>IF(W44=0, "    ---- ", IF(ABS(ROUND(100/W44*X44-100,1))&lt;999,ROUND(100/W44*X44-100,1),IF(ROUND(100/W44*X44-100,1)&gt;999,999,-999)))</f>
        <v>6.8</v>
      </c>
      <c r="Z44" s="836"/>
      <c r="AA44" s="836"/>
      <c r="AB44" s="520"/>
      <c r="AC44" s="836">
        <v>7077</v>
      </c>
      <c r="AD44" s="836">
        <v>9577</v>
      </c>
      <c r="AE44" s="691">
        <f>IF(AC44=0, "    ---- ", IF(ABS(ROUND(100/AC44*AD44-100,1))&lt;999,ROUND(100/AC44*AD44-100,1),IF(ROUND(100/AC44*AD44-100,1)&gt;999,999,-999)))</f>
        <v>35.299999999999997</v>
      </c>
      <c r="AF44" s="836"/>
      <c r="AG44" s="836"/>
      <c r="AH44" s="520"/>
      <c r="AI44" s="836">
        <v>417</v>
      </c>
      <c r="AJ44" s="836">
        <v>1566</v>
      </c>
      <c r="AK44" s="520">
        <f t="shared" si="3"/>
        <v>275.5</v>
      </c>
      <c r="AL44" s="688">
        <f t="shared" si="4"/>
        <v>45681.132681000003</v>
      </c>
      <c r="AM44" s="688">
        <f t="shared" si="5"/>
        <v>51912</v>
      </c>
      <c r="AN44" s="520">
        <f t="shared" si="6"/>
        <v>13.6</v>
      </c>
      <c r="AO44" s="690"/>
      <c r="AP44" s="690"/>
    </row>
    <row r="45" spans="1:42" s="697" customFormat="1" ht="18.75" customHeight="1" x14ac:dyDescent="0.35">
      <c r="A45" s="692" t="s">
        <v>423</v>
      </c>
      <c r="B45" s="837"/>
      <c r="C45" s="837"/>
      <c r="D45" s="693"/>
      <c r="E45" s="837"/>
      <c r="F45" s="837"/>
      <c r="G45" s="693"/>
      <c r="H45" s="837">
        <v>203.7</v>
      </c>
      <c r="I45" s="837">
        <v>2029</v>
      </c>
      <c r="J45" s="694">
        <f t="shared" si="0"/>
        <v>896.1</v>
      </c>
      <c r="K45" s="599"/>
      <c r="L45" s="599"/>
      <c r="M45" s="693"/>
      <c r="N45" s="837">
        <v>28.161000000000001</v>
      </c>
      <c r="O45" s="837">
        <v>37.787999999999997</v>
      </c>
      <c r="P45" s="693">
        <f>IF(N45=0, "    ---- ", IF(ABS(ROUND(100/N45*O45-100,1))&lt;999,ROUND(100/N45*O45-100,1),IF(ROUND(100/N45*O45-100,1)&gt;999,999,-999)))</f>
        <v>34.200000000000003</v>
      </c>
      <c r="Q45" s="837"/>
      <c r="R45" s="837"/>
      <c r="S45" s="693"/>
      <c r="T45" s="837"/>
      <c r="U45" s="837"/>
      <c r="V45" s="693"/>
      <c r="W45" s="837">
        <v>18.235199999999999</v>
      </c>
      <c r="X45" s="599"/>
      <c r="Y45" s="520">
        <f>IF(W45=0, "    ---- ", IF(ABS(ROUND(100/W45*X45-100,1))&lt;999,ROUND(100/W45*X45-100,1),IF(ROUND(100/W45*X45-100,1)&gt;999,999,-999)))</f>
        <v>-100</v>
      </c>
      <c r="Z45" s="837"/>
      <c r="AA45" s="837"/>
      <c r="AB45" s="693"/>
      <c r="AC45" s="837">
        <v>336</v>
      </c>
      <c r="AD45" s="837">
        <v>352</v>
      </c>
      <c r="AE45" s="691">
        <f>IF(AC45=0, "    ---- ", IF(ABS(ROUND(100/AC45*AD45-100,1))&lt;999,ROUND(100/AC45*AD45-100,1),IF(ROUND(100/AC45*AD45-100,1)&gt;999,999,-999)))</f>
        <v>4.8</v>
      </c>
      <c r="AF45" s="837"/>
      <c r="AG45" s="837"/>
      <c r="AH45" s="693"/>
      <c r="AI45" s="837">
        <v>702</v>
      </c>
      <c r="AJ45" s="837">
        <v>661</v>
      </c>
      <c r="AK45" s="693">
        <f t="shared" si="3"/>
        <v>-5.8</v>
      </c>
      <c r="AL45" s="610">
        <f t="shared" si="4"/>
        <v>1288.0962</v>
      </c>
      <c r="AM45" s="610">
        <f t="shared" si="5"/>
        <v>3079.788</v>
      </c>
      <c r="AN45" s="693">
        <f t="shared" si="6"/>
        <v>139.1</v>
      </c>
      <c r="AO45" s="695"/>
      <c r="AP45" s="696"/>
    </row>
    <row r="46" spans="1:42" s="697" customFormat="1" ht="18.75" customHeight="1" x14ac:dyDescent="0.3">
      <c r="A46" s="692"/>
      <c r="B46" s="837"/>
      <c r="C46" s="837"/>
      <c r="D46" s="693"/>
      <c r="E46" s="837"/>
      <c r="F46" s="837"/>
      <c r="G46" s="693"/>
      <c r="H46" s="837"/>
      <c r="I46" s="837"/>
      <c r="J46" s="694"/>
      <c r="K46" s="837"/>
      <c r="L46" s="837"/>
      <c r="M46" s="693"/>
      <c r="N46" s="837"/>
      <c r="O46" s="837"/>
      <c r="P46" s="693"/>
      <c r="Q46" s="837"/>
      <c r="R46" s="837"/>
      <c r="S46" s="693"/>
      <c r="T46" s="837"/>
      <c r="U46" s="837"/>
      <c r="V46" s="693"/>
      <c r="W46" s="837"/>
      <c r="X46" s="599"/>
      <c r="Y46" s="693"/>
      <c r="Z46" s="837"/>
      <c r="AA46" s="837"/>
      <c r="AB46" s="693"/>
      <c r="AC46" s="837"/>
      <c r="AD46" s="837"/>
      <c r="AE46" s="694"/>
      <c r="AF46" s="837"/>
      <c r="AG46" s="837"/>
      <c r="AH46" s="693"/>
      <c r="AI46" s="837"/>
      <c r="AJ46" s="837"/>
      <c r="AK46" s="693"/>
      <c r="AL46" s="610"/>
      <c r="AM46" s="610"/>
      <c r="AN46" s="693"/>
      <c r="AO46" s="696"/>
      <c r="AP46" s="696"/>
    </row>
    <row r="47" spans="1:42" s="697" customFormat="1" ht="18.75" customHeight="1" x14ac:dyDescent="0.3">
      <c r="A47" s="692" t="s">
        <v>424</v>
      </c>
      <c r="B47" s="837">
        <f>SUM(B11+B35+B40+B41+B45)</f>
        <v>1320.1509999999998</v>
      </c>
      <c r="C47" s="837">
        <f>SUM(C11+C35+C40+C41+C45)</f>
        <v>1398.8029999999999</v>
      </c>
      <c r="D47" s="693">
        <f t="shared" si="14"/>
        <v>6</v>
      </c>
      <c r="E47" s="837">
        <f>SUM(E11+E35+E40+E41+E45)</f>
        <v>1802.0000000000002</v>
      </c>
      <c r="F47" s="837"/>
      <c r="G47" s="693">
        <f>IF(E47=0, "    ---- ", IF(ABS(ROUND(100/E47*F47-100,1))&lt;999,ROUND(100/E47*F47-100,1),IF(ROUND(100/E47*F47-100,1)&gt;999,999,-999)))</f>
        <v>-100</v>
      </c>
      <c r="H47" s="837">
        <f>SUM(H11+H35+H40+H41+H45)</f>
        <v>198476.3</v>
      </c>
      <c r="I47" s="837">
        <f>SUM(I11+I35+I40+I41+I45)</f>
        <v>199001.32772345998</v>
      </c>
      <c r="J47" s="694">
        <f t="shared" si="0"/>
        <v>0.3</v>
      </c>
      <c r="K47" s="837">
        <f>SUM(K11+K35+K40+K41+K45)</f>
        <v>6957</v>
      </c>
      <c r="L47" s="837">
        <f>SUM(L11+L35+L40+L41+L45)</f>
        <v>7495.2263417699996</v>
      </c>
      <c r="M47" s="693">
        <f t="shared" ref="M47:M54" si="15">IF(K47=0, "    ---- ", IF(ABS(ROUND(100/K47*L47-100,1))&lt;999,ROUND(100/K47*L47-100,1),IF(ROUND(100/K47*L47-100,1)&gt;999,999,-999)))</f>
        <v>7.7</v>
      </c>
      <c r="N47" s="837">
        <f>SUM(N11+N35+N40+N41+N45)</f>
        <v>1003.924</v>
      </c>
      <c r="O47" s="837">
        <f>SUM(O11+O35+O40+O41+O45)</f>
        <v>1211.8690000000004</v>
      </c>
      <c r="P47" s="693">
        <f t="shared" ref="P47:P54" si="16">IF(N47=0, "    ---- ", IF(ABS(ROUND(100/N47*O47-100,1))&lt;999,ROUND(100/N47*O47-100,1),IF(ROUND(100/N47*O47-100,1)&gt;999,999,-999)))</f>
        <v>20.7</v>
      </c>
      <c r="Q47" s="837">
        <f>SUM(Q11+Q35+Q40+Q41+Q45)</f>
        <v>7664.2</v>
      </c>
      <c r="R47" s="837">
        <f>SUM(R11+R35+R40+R41+R45)</f>
        <v>8242</v>
      </c>
      <c r="S47" s="693">
        <f>IF(Q47=0, "    ---- ", IF(ABS(ROUND(100/Q47*R47-100,1))&lt;999,ROUND(100/Q47*R47-100,1),IF(ROUND(100/Q47*R47-100,1)&gt;999,999,-999)))</f>
        <v>7.5</v>
      </c>
      <c r="T47" s="837">
        <f>SUM(T11+T35+T40+T41+T45)</f>
        <v>47.95949978999996</v>
      </c>
      <c r="U47" s="837">
        <f>SUM(U11+U35+U40+U41+U45)</f>
        <v>38.507252789999995</v>
      </c>
      <c r="V47" s="693">
        <f>IF(T47=0, "    ---- ", IF(ABS(ROUND(100/T47*U47-100,1))&lt;999,ROUND(100/T47*U47-100,1),IF(ROUND(100/T47*U47-100,1)&gt;999,999,-999)))</f>
        <v>-19.7</v>
      </c>
      <c r="W47" s="837">
        <f>SUM(W11+W35+W40+W41+W45)</f>
        <v>592722.79790789005</v>
      </c>
      <c r="X47" s="599">
        <f>SUM(X11+X35+X40+X41+X45)</f>
        <v>651519.76253624004</v>
      </c>
      <c r="Y47" s="693">
        <f>IF(W47=0, "    ---- ", IF(ABS(ROUND(100/W47*X47-100,1))&lt;999,ROUND(100/W47*X47-100,1),IF(ROUND(100/W47*X47-100,1)&gt;999,999,-999)))</f>
        <v>9.9</v>
      </c>
      <c r="Z47" s="837">
        <f>SUM(Z11+Z35+Z40+Z41+Z45)</f>
        <v>53026.459999999992</v>
      </c>
      <c r="AA47" s="837">
        <f>SUM(AA11+AA35+AA40+AA41+AA45)</f>
        <v>55807.94</v>
      </c>
      <c r="AB47" s="693">
        <f t="shared" si="1"/>
        <v>5.2</v>
      </c>
      <c r="AC47" s="837">
        <f>SUM(AC11+AC35+AC40+AC41+AC45)</f>
        <v>99653</v>
      </c>
      <c r="AD47" s="837">
        <f>SUM(AD11+AD35+AD40+AD41+AD45)</f>
        <v>111837</v>
      </c>
      <c r="AE47" s="694">
        <f>IF(AC47=0, "    ---- ", IF(ABS(ROUND(100/AC47*AD47-100,1))&lt;999,ROUND(100/AC47*AD47-100,1),IF(ROUND(100/AC47*AD47-100,1)&gt;999,999,-999)))</f>
        <v>12.2</v>
      </c>
      <c r="AF47" s="837">
        <f>SUM(AF11+AF35+AF40+AF41+AF45)</f>
        <v>22182</v>
      </c>
      <c r="AG47" s="837">
        <f>SUM(AG11+AG35+AG40+AG41+AG45)</f>
        <v>22380</v>
      </c>
      <c r="AH47" s="693">
        <f t="shared" si="2"/>
        <v>0.9</v>
      </c>
      <c r="AI47" s="837">
        <f>SUM(AI11+AI35+AI40+AI41+AI45)</f>
        <v>193607</v>
      </c>
      <c r="AJ47" s="837">
        <f>SUM(AJ11+AJ35+AJ40+AJ41+AJ45)</f>
        <v>204759.1</v>
      </c>
      <c r="AK47" s="693">
        <f>SUM(AK11+AK35+AK40+AK41+AK45)</f>
        <v>61.2</v>
      </c>
      <c r="AL47" s="610">
        <f t="shared" ref="AL47:AM54" si="17">+B47+H47+K47+N47+Q47+T47+W47+E47+Z47+AC47+AF47+AI47</f>
        <v>1178462.7924076801</v>
      </c>
      <c r="AM47" s="610">
        <f t="shared" si="17"/>
        <v>1263691.5358542602</v>
      </c>
      <c r="AN47" s="693">
        <f t="shared" si="6"/>
        <v>7.2</v>
      </c>
      <c r="AO47" s="695"/>
      <c r="AP47" s="696"/>
    </row>
    <row r="48" spans="1:42" s="528" customFormat="1" ht="18.75" customHeight="1" x14ac:dyDescent="0.35">
      <c r="A48" s="514" t="s">
        <v>410</v>
      </c>
      <c r="B48" s="836">
        <f>SUM(B12+B36)</f>
        <v>237.54900000000001</v>
      </c>
      <c r="C48" s="836">
        <f>SUM(C12+C36)</f>
        <v>248.87899999999999</v>
      </c>
      <c r="D48" s="520">
        <f t="shared" si="14"/>
        <v>4.8</v>
      </c>
      <c r="E48" s="836">
        <f>SUM(E12+E36)</f>
        <v>0</v>
      </c>
      <c r="F48" s="836"/>
      <c r="G48" s="520" t="str">
        <f t="shared" ref="G48:G50" si="18">IF(E48=0, "    ---- ", IF(ABS(ROUND(100/E48*F48-100,1))&lt;999,ROUND(100/E48*F48-100,1),IF(ROUND(100/E48*F48-100,1)&gt;999,999,-999)))</f>
        <v xml:space="preserve">    ---- </v>
      </c>
      <c r="H48" s="836">
        <f>SUM(H12+H36)</f>
        <v>11418.1</v>
      </c>
      <c r="I48" s="836">
        <f>SUM(I12+I36)</f>
        <v>10311.551937550001</v>
      </c>
      <c r="J48" s="691">
        <f t="shared" si="0"/>
        <v>-9.6999999999999993</v>
      </c>
      <c r="K48" s="836">
        <f>SUM(K12+K36)</f>
        <v>566</v>
      </c>
      <c r="L48" s="836">
        <f>SUM(L12+L36)</f>
        <v>650.79192044000001</v>
      </c>
      <c r="M48" s="520">
        <f t="shared" si="15"/>
        <v>15</v>
      </c>
      <c r="N48" s="836">
        <f>SUM(N12+N36)</f>
        <v>59.457999999999998</v>
      </c>
      <c r="O48" s="836">
        <f>SUM(O12+O36)</f>
        <v>68.747</v>
      </c>
      <c r="P48" s="520">
        <f t="shared" si="16"/>
        <v>15.6</v>
      </c>
      <c r="Q48" s="836">
        <f>SUM(Q12+Q36)</f>
        <v>0</v>
      </c>
      <c r="R48" s="836">
        <f>SUM(R12+R36)</f>
        <v>0</v>
      </c>
      <c r="S48" s="520" t="str">
        <f>IF(Q48=0, "    ---- ", IF(ABS(ROUND(100/Q48*R48-100,1))&lt;999,ROUND(100/Q48*R48-100,1),IF(ROUND(100/Q48*R48-100,1)&gt;999,999,-999)))</f>
        <v xml:space="preserve">    ---- </v>
      </c>
      <c r="T48" s="836">
        <f>SUM(T12+T36)</f>
        <v>23.770146623515501</v>
      </c>
      <c r="U48" s="836">
        <f>SUM(U12+U36)</f>
        <v>20.282084000000001</v>
      </c>
      <c r="V48" s="520">
        <f>IF(T48=0, "    ---- ", IF(ABS(ROUND(100/T48*U48-100,1))&lt;999,ROUND(100/T48*U48-100,1),IF(ROUND(100/T48*U48-100,1)&gt;999,999,-999)))</f>
        <v>-14.7</v>
      </c>
      <c r="W48" s="836">
        <f>SUM(W12+W36)</f>
        <v>0</v>
      </c>
      <c r="X48" s="597">
        <f>SUM(X12+X36)</f>
        <v>0</v>
      </c>
      <c r="Y48" s="520" t="str">
        <f t="shared" ref="Y48:Y49" si="19">IF(W48=0, "    ---- ", IF(ABS(ROUND(100/W48*X48-100,1))&lt;999,ROUND(100/W48*X48-100,1),IF(ROUND(100/W48*X48-100,1)&gt;999,999,-999)))</f>
        <v xml:space="preserve">    ---- </v>
      </c>
      <c r="Z48" s="836">
        <f>SUM(Z12+Z36)</f>
        <v>703.3</v>
      </c>
      <c r="AA48" s="836">
        <f>SUM(AA12+AA36)</f>
        <v>726.6</v>
      </c>
      <c r="AB48" s="520">
        <f t="shared" si="1"/>
        <v>3.3</v>
      </c>
      <c r="AC48" s="836">
        <f>SUM(AC12+AC36)</f>
        <v>0</v>
      </c>
      <c r="AD48" s="836">
        <f>SUM(AD12+AD36)</f>
        <v>0</v>
      </c>
      <c r="AE48" s="691" t="str">
        <f t="shared" ref="AE48:AE51" si="20">IF(AC48=0, "    ---- ", IF(ABS(ROUND(100/AC48*AD48-100,1))&lt;999,ROUND(100/AC48*AD48-100,1),IF(ROUND(100/AC48*AD48-100,1)&gt;999,999,-999)))</f>
        <v xml:space="preserve">    ---- </v>
      </c>
      <c r="AF48" s="836">
        <f>SUM(AF12+AF36)</f>
        <v>417</v>
      </c>
      <c r="AG48" s="836">
        <f>SUM(AG12+AG36)</f>
        <v>386</v>
      </c>
      <c r="AH48" s="520">
        <f t="shared" si="2"/>
        <v>-7.4</v>
      </c>
      <c r="AI48" s="836">
        <f>SUM(AI12+AI36)</f>
        <v>4126</v>
      </c>
      <c r="AJ48" s="836">
        <f>SUM(AJ12+AJ36)</f>
        <v>4153</v>
      </c>
      <c r="AK48" s="520">
        <f>SUM(AK12+AK36)</f>
        <v>-13.6</v>
      </c>
      <c r="AL48" s="688">
        <f t="shared" si="17"/>
        <v>17551.177146623515</v>
      </c>
      <c r="AM48" s="688">
        <f t="shared" si="17"/>
        <v>16565.851941990004</v>
      </c>
      <c r="AN48" s="520">
        <f t="shared" si="6"/>
        <v>-5.6</v>
      </c>
      <c r="AO48" s="690"/>
      <c r="AP48" s="690"/>
    </row>
    <row r="49" spans="1:42" s="528" customFormat="1" ht="18.75" customHeight="1" x14ac:dyDescent="0.35">
      <c r="A49" s="514" t="s">
        <v>413</v>
      </c>
      <c r="B49" s="836">
        <f>SUM(B15+B37+B42)</f>
        <v>130.46300000000002</v>
      </c>
      <c r="C49" s="836">
        <f>SUM(C15+C37+C42)</f>
        <v>150.35500000000002</v>
      </c>
      <c r="D49" s="520">
        <f t="shared" si="14"/>
        <v>15.2</v>
      </c>
      <c r="E49" s="836">
        <f>SUM(E15+E37+E42)</f>
        <v>0</v>
      </c>
      <c r="F49" s="836"/>
      <c r="G49" s="520" t="str">
        <f t="shared" si="18"/>
        <v xml:space="preserve">    ---- </v>
      </c>
      <c r="H49" s="836">
        <f>SUM(H15+H37+H42)</f>
        <v>23682.499999999996</v>
      </c>
      <c r="I49" s="836">
        <f>SUM(I15+I37+I42)</f>
        <v>22715.337746069996</v>
      </c>
      <c r="J49" s="691">
        <f t="shared" si="0"/>
        <v>-4.0999999999999996</v>
      </c>
      <c r="K49" s="836">
        <f>SUM(K15+K37+K42)</f>
        <v>3313</v>
      </c>
      <c r="L49" s="836">
        <f>SUM(L15+L37+L42)</f>
        <v>3665.6077474800004</v>
      </c>
      <c r="M49" s="520">
        <f t="shared" si="15"/>
        <v>10.6</v>
      </c>
      <c r="N49" s="836">
        <f>SUM(N15+N37+N42)</f>
        <v>726.93100000000004</v>
      </c>
      <c r="O49" s="836">
        <f>SUM(O15+O37+O42)</f>
        <v>966.26400000000001</v>
      </c>
      <c r="P49" s="520">
        <f t="shared" si="16"/>
        <v>32.9</v>
      </c>
      <c r="Q49" s="836">
        <f>SUM(Q15+Q37+Q42)</f>
        <v>2260.5</v>
      </c>
      <c r="R49" s="836">
        <f>SUM(R15+R37+R42)</f>
        <v>2636.1</v>
      </c>
      <c r="S49" s="520">
        <f>IF(Q49=0, "    ---- ", IF(ABS(ROUND(100/Q49*R49-100,1))&lt;999,ROUND(100/Q49*R49-100,1),IF(ROUND(100/Q49*R49-100,1)&gt;999,999,-999)))</f>
        <v>16.600000000000001</v>
      </c>
      <c r="T49" s="836">
        <f>SUM(T15+T37+T42)</f>
        <v>2.2810968220557601</v>
      </c>
      <c r="U49" s="836">
        <f>SUM(U15+U37+U42)</f>
        <v>1.728453</v>
      </c>
      <c r="V49" s="520">
        <f>IF(T49=0, "    ---- ", IF(ABS(ROUND(100/T49*U49-100,1))&lt;999,ROUND(100/T49*U49-100,1),IF(ROUND(100/T49*U49-100,1)&gt;999,999,-999)))</f>
        <v>-24.2</v>
      </c>
      <c r="W49" s="836">
        <f>SUM(W15+W37+W42)</f>
        <v>0</v>
      </c>
      <c r="X49" s="597">
        <f>SUM(X15+X37+X42)</f>
        <v>0</v>
      </c>
      <c r="Y49" s="520" t="str">
        <f t="shared" si="19"/>
        <v xml:space="preserve">    ---- </v>
      </c>
      <c r="Z49" s="836">
        <f>SUM(Z15+Z37+Z42)</f>
        <v>3804.3199999999997</v>
      </c>
      <c r="AA49" s="836">
        <f>SUM(AA15+AA37+AA42)</f>
        <v>3907.82</v>
      </c>
      <c r="AB49" s="520">
        <f t="shared" si="1"/>
        <v>2.7</v>
      </c>
      <c r="AC49" s="836">
        <f>SUM(AC15+AC37+AC42)</f>
        <v>0</v>
      </c>
      <c r="AD49" s="836">
        <f>SUM(AD15+AD37+AD42)</f>
        <v>0</v>
      </c>
      <c r="AE49" s="691" t="str">
        <f t="shared" si="20"/>
        <v xml:space="preserve">    ---- </v>
      </c>
      <c r="AF49" s="836">
        <f>SUM(AF15+AF37+AF42)</f>
        <v>2719</v>
      </c>
      <c r="AG49" s="836">
        <f>SUM(AG15+AG37+AG42)</f>
        <v>2656</v>
      </c>
      <c r="AH49" s="520">
        <f t="shared" si="2"/>
        <v>-2.2999999999999998</v>
      </c>
      <c r="AI49" s="836">
        <f>SUM(AI15+AI37+AI42)</f>
        <v>9032</v>
      </c>
      <c r="AJ49" s="836">
        <f>SUM(AJ15+AJ37+AJ42)</f>
        <v>8383</v>
      </c>
      <c r="AK49" s="520">
        <f>SUM(AK15+AK37+AK42)</f>
        <v>-13.600000000000001</v>
      </c>
      <c r="AL49" s="688">
        <f t="shared" si="17"/>
        <v>45670.995096822051</v>
      </c>
      <c r="AM49" s="688">
        <f t="shared" si="17"/>
        <v>45082.212946549997</v>
      </c>
      <c r="AN49" s="520">
        <f t="shared" si="6"/>
        <v>-1.3</v>
      </c>
      <c r="AO49" s="690"/>
      <c r="AP49" s="690"/>
    </row>
    <row r="50" spans="1:42" s="528" customFormat="1" ht="18.75" customHeight="1" x14ac:dyDescent="0.35">
      <c r="A50" s="514" t="s">
        <v>414</v>
      </c>
      <c r="B50" s="836">
        <f>SUM(B18)</f>
        <v>0.52500000000000002</v>
      </c>
      <c r="C50" s="836">
        <f>SUM(C18)</f>
        <v>1.6990000000000001</v>
      </c>
      <c r="D50" s="520">
        <f t="shared" si="14"/>
        <v>223.6</v>
      </c>
      <c r="E50" s="836">
        <f>SUM(E18)</f>
        <v>0</v>
      </c>
      <c r="F50" s="836"/>
      <c r="G50" s="520" t="str">
        <f t="shared" si="18"/>
        <v xml:space="preserve">    ---- </v>
      </c>
      <c r="H50" s="836">
        <f>SUM(H18)</f>
        <v>290</v>
      </c>
      <c r="I50" s="836">
        <f>SUM(I18)</f>
        <v>241.43803983999999</v>
      </c>
      <c r="J50" s="520">
        <f t="shared" si="0"/>
        <v>-16.7</v>
      </c>
      <c r="K50" s="836">
        <f>SUM(K18)</f>
        <v>2438</v>
      </c>
      <c r="L50" s="836">
        <f>SUM(L18)</f>
        <v>2549.9973124099997</v>
      </c>
      <c r="M50" s="520">
        <f t="shared" si="15"/>
        <v>4.5999999999999996</v>
      </c>
      <c r="N50" s="836">
        <f>SUM(N18)</f>
        <v>38.411000000000001</v>
      </c>
      <c r="O50" s="836">
        <f>SUM(O18)</f>
        <v>37.341999999999999</v>
      </c>
      <c r="P50" s="520">
        <f t="shared" si="16"/>
        <v>-2.8</v>
      </c>
      <c r="Q50" s="836">
        <f>SUM(Q18)</f>
        <v>0</v>
      </c>
      <c r="R50" s="836">
        <f>SUM(R18)</f>
        <v>0</v>
      </c>
      <c r="S50" s="520" t="str">
        <f>IF(Q50=0, "    ---- ", IF(ABS(ROUND(100/Q50*R50-100,1))&lt;999,ROUND(100/Q50*R50-100,1),IF(ROUND(100/Q50*R50-100,1)&gt;999,999,-999)))</f>
        <v xml:space="preserve">    ---- </v>
      </c>
      <c r="T50" s="836">
        <f>SUM(T18)</f>
        <v>21.9082563444287</v>
      </c>
      <c r="U50" s="836">
        <f>SUM(U18)</f>
        <v>16.49671579</v>
      </c>
      <c r="V50" s="520">
        <f>IF(T50=0, "    ---- ", IF(ABS(ROUND(100/T50*U50-100,1))&lt;999,ROUND(100/T50*U50-100,1),IF(ROUND(100/T50*U50-100,1)&gt;999,999,-999)))</f>
        <v>-24.7</v>
      </c>
      <c r="W50" s="836">
        <f>SUM(W18)</f>
        <v>18.486153500000004</v>
      </c>
      <c r="X50" s="597">
        <f>SUM(X18)</f>
        <v>0.93028330000000004</v>
      </c>
      <c r="Y50" s="520">
        <f>IF(W50=0, "    ---- ", IF(ABS(ROUND(100/W50*X50-100,1))&lt;999,ROUND(100/W50*X50-100,1),IF(ROUND(100/W50*X50-100,1)&gt;999,999,-999)))</f>
        <v>-95</v>
      </c>
      <c r="Z50" s="836">
        <f>SUM(Z18)</f>
        <v>0</v>
      </c>
      <c r="AA50" s="836">
        <f>SUM(AA18)</f>
        <v>0</v>
      </c>
      <c r="AB50" s="520" t="str">
        <f>IF(Z50=0, "    ---- ", IF(ABS(ROUND(100/Z50*AA50-100,1))&lt;999,ROUND(100/Z50*AA50-100,1),IF(ROUND(100/Z50*AA50-100,1)&gt;999,999,-999)))</f>
        <v xml:space="preserve">    ---- </v>
      </c>
      <c r="AC50" s="836">
        <f>SUM(AC18)</f>
        <v>0</v>
      </c>
      <c r="AD50" s="836">
        <f>SUM(AD18)</f>
        <v>0</v>
      </c>
      <c r="AE50" s="691" t="str">
        <f t="shared" si="20"/>
        <v xml:space="preserve">    ---- </v>
      </c>
      <c r="AF50" s="836">
        <f>SUM(AF18)</f>
        <v>77</v>
      </c>
      <c r="AG50" s="836">
        <f>SUM(AG18)</f>
        <v>41</v>
      </c>
      <c r="AH50" s="520">
        <f t="shared" si="2"/>
        <v>-46.8</v>
      </c>
      <c r="AI50" s="836">
        <f>SUM(AI18)</f>
        <v>1535</v>
      </c>
      <c r="AJ50" s="836">
        <f>SUM(AJ18)</f>
        <v>1515</v>
      </c>
      <c r="AK50" s="520">
        <f>SUM(AK18)</f>
        <v>-1.3</v>
      </c>
      <c r="AL50" s="688">
        <f t="shared" si="17"/>
        <v>4419.3304098444287</v>
      </c>
      <c r="AM50" s="688">
        <f t="shared" si="17"/>
        <v>4403.90335134</v>
      </c>
      <c r="AN50" s="520">
        <f t="shared" si="6"/>
        <v>-0.3</v>
      </c>
      <c r="AO50" s="690"/>
      <c r="AP50" s="690"/>
    </row>
    <row r="51" spans="1:42" s="528" customFormat="1" ht="18.75" customHeight="1" x14ac:dyDescent="0.35">
      <c r="A51" s="514" t="s">
        <v>415</v>
      </c>
      <c r="B51" s="836">
        <f>SUM(B19+B38+B43)</f>
        <v>828.29099999999994</v>
      </c>
      <c r="C51" s="836">
        <f>SUM(C19+C38+C43)</f>
        <v>898.83499999999992</v>
      </c>
      <c r="D51" s="520">
        <f t="shared" si="14"/>
        <v>8.5</v>
      </c>
      <c r="E51" s="836">
        <f>SUM(E19+E38+E43)</f>
        <v>1802.0000000000002</v>
      </c>
      <c r="F51" s="836"/>
      <c r="G51" s="520">
        <f>IF(E51=0, "    ---- ", IF(ABS(ROUND(100/E51*F51-100,1))&lt;999,ROUND(100/E51*F51-100,1),IF(ROUND(100/E51*F51-100,1)&gt;999,999,-999)))</f>
        <v>-100</v>
      </c>
      <c r="H51" s="836">
        <f>SUM(H19+H38+H43)</f>
        <v>155670.1</v>
      </c>
      <c r="I51" s="836">
        <f>SUM(I19+I38+I43)</f>
        <v>160491</v>
      </c>
      <c r="J51" s="691">
        <f t="shared" si="0"/>
        <v>3.1</v>
      </c>
      <c r="K51" s="836">
        <f>SUM(K19+K38+K43)</f>
        <v>0</v>
      </c>
      <c r="L51" s="836">
        <f>SUM(L19+L38+L43)</f>
        <v>0</v>
      </c>
      <c r="M51" s="520" t="str">
        <f t="shared" si="15"/>
        <v xml:space="preserve">    ---- </v>
      </c>
      <c r="N51" s="836">
        <f>SUM(N19+N38+N43)</f>
        <v>0</v>
      </c>
      <c r="O51" s="836">
        <f>SUM(O19+O38+O43)</f>
        <v>0</v>
      </c>
      <c r="P51" s="520" t="str">
        <f t="shared" si="16"/>
        <v xml:space="preserve">    ---- </v>
      </c>
      <c r="Q51" s="836">
        <f>SUM(Q19+Q38+Q43)</f>
        <v>5402.0999999999995</v>
      </c>
      <c r="R51" s="836">
        <f>SUM(R19+R38+R43)</f>
        <v>5594.1</v>
      </c>
      <c r="S51" s="520">
        <f>IF(Q51=0, "    ---- ", IF(ABS(ROUND(100/Q51*R51-100,1))&lt;999,ROUND(100/Q51*R51-100,1),IF(ROUND(100/Q51*R51-100,1)&gt;999,999,-999)))</f>
        <v>3.6</v>
      </c>
      <c r="T51" s="836">
        <f>SUM(T19+T38+T43)</f>
        <v>0</v>
      </c>
      <c r="U51" s="836">
        <f>SUM(U19+U38+U43)</f>
        <v>0</v>
      </c>
      <c r="V51" s="520" t="str">
        <f>IF(T51=0, "    ---- ", IF(ABS(ROUND(100/T51*U51-100,1))&lt;999,ROUND(100/T51*U51-100,1),IF(ROUND(100/T51*U51-100,1)&gt;999,999,-999)))</f>
        <v xml:space="preserve">    ---- </v>
      </c>
      <c r="W51" s="836">
        <f>SUM(W19+W38+W43)</f>
        <v>0</v>
      </c>
      <c r="X51" s="597">
        <f>SUM(X19+X38+X43)</f>
        <v>0</v>
      </c>
      <c r="Y51" s="520" t="str">
        <f>IF(W51=0, "    ---- ", IF(ABS(ROUND(100/W51*X51-100,1))&lt;999,ROUND(100/W51*X51-100,1),IF(ROUND(100/W51*X51-100,1)&gt;999,999,-999)))</f>
        <v xml:space="preserve">    ---- </v>
      </c>
      <c r="Z51" s="836">
        <f>SUM(Z19+Z38+Z43)</f>
        <v>46125.75</v>
      </c>
      <c r="AA51" s="836">
        <f>SUM(AA19+AA38+AA43)</f>
        <v>47728.72</v>
      </c>
      <c r="AB51" s="520">
        <f t="shared" si="1"/>
        <v>3.5</v>
      </c>
      <c r="AC51" s="836">
        <f>SUM(AC19+AC38+AC43)</f>
        <v>0</v>
      </c>
      <c r="AD51" s="836">
        <f>SUM(AD19+AD38+AD43)</f>
        <v>0</v>
      </c>
      <c r="AE51" s="691" t="str">
        <f t="shared" si="20"/>
        <v xml:space="preserve">    ---- </v>
      </c>
      <c r="AF51" s="836">
        <f>SUM(AF19+AF38+AF43)</f>
        <v>16163</v>
      </c>
      <c r="AG51" s="836">
        <f>SUM(AG19+AG38+AG43)</f>
        <v>16561</v>
      </c>
      <c r="AH51" s="520">
        <f t="shared" si="2"/>
        <v>2.5</v>
      </c>
      <c r="AI51" s="836">
        <f>SUM(AI19+AI38+AI43)</f>
        <v>167675</v>
      </c>
      <c r="AJ51" s="836">
        <f>SUM(AJ19+AJ38+AJ43)</f>
        <v>171899.1</v>
      </c>
      <c r="AK51" s="520">
        <f>SUM(AK19+AK38+AK43)</f>
        <v>21.4</v>
      </c>
      <c r="AL51" s="688">
        <f t="shared" si="17"/>
        <v>393666.24100000004</v>
      </c>
      <c r="AM51" s="688">
        <f t="shared" si="17"/>
        <v>403172.755</v>
      </c>
      <c r="AN51" s="520">
        <f t="shared" si="6"/>
        <v>2.4</v>
      </c>
      <c r="AO51" s="690"/>
      <c r="AP51" s="690"/>
    </row>
    <row r="52" spans="1:42" s="528" customFormat="1" ht="18.75" customHeight="1" x14ac:dyDescent="0.35">
      <c r="A52" s="514" t="s">
        <v>417</v>
      </c>
      <c r="B52" s="836">
        <f>SUM(B21+B39+B44)</f>
        <v>0</v>
      </c>
      <c r="C52" s="836">
        <f>SUM(C21+C39+C44)</f>
        <v>0</v>
      </c>
      <c r="D52" s="520" t="str">
        <f t="shared" si="14"/>
        <v xml:space="preserve">    ---- </v>
      </c>
      <c r="E52" s="836">
        <f>SUM(E21+E39+E44)</f>
        <v>0</v>
      </c>
      <c r="F52" s="836"/>
      <c r="G52" s="520" t="str">
        <f t="shared" ref="G52:G53" si="21">IF(E52=0, "    ---- ", IF(ABS(ROUND(100/E52*F52-100,1))&lt;999,ROUND(100/E52*F52-100,1),IF(ROUND(100/E52*F52-100,1)&gt;999,999,-999)))</f>
        <v xml:space="preserve">    ---- </v>
      </c>
      <c r="H52" s="836">
        <f>SUM(H21+H39+H44)</f>
        <v>0</v>
      </c>
      <c r="I52" s="836">
        <f>SUM(I21+I39+I44)</f>
        <v>0</v>
      </c>
      <c r="J52" s="691" t="str">
        <f t="shared" si="0"/>
        <v xml:space="preserve">    ---- </v>
      </c>
      <c r="K52" s="836">
        <f>SUM(K21+K39+K44)</f>
        <v>0</v>
      </c>
      <c r="L52" s="836">
        <f>SUM(L21+L39+L44)</f>
        <v>0</v>
      </c>
      <c r="M52" s="520" t="str">
        <f t="shared" si="15"/>
        <v xml:space="preserve">    ---- </v>
      </c>
      <c r="N52" s="836">
        <f>SUM(N21+N39+N44)</f>
        <v>0</v>
      </c>
      <c r="O52" s="836">
        <f>SUM(O21+O39+O44)</f>
        <v>0</v>
      </c>
      <c r="P52" s="520" t="str">
        <f t="shared" si="16"/>
        <v xml:space="preserve">    ---- </v>
      </c>
      <c r="Q52" s="836">
        <f>SUM(Q21+Q39+Q44)</f>
        <v>0</v>
      </c>
      <c r="R52" s="836">
        <f>SUM(R21+R39+R44)</f>
        <v>0</v>
      </c>
      <c r="S52" s="520" t="str">
        <f t="shared" ref="S52:S53" si="22">IF(Q52=0, "    ---- ", IF(ABS(ROUND(100/Q52*R52-100,1))&lt;999,ROUND(100/Q52*R52-100,1),IF(ROUND(100/Q52*R52-100,1)&gt;999,999,-999)))</f>
        <v xml:space="preserve">    ---- </v>
      </c>
      <c r="T52" s="836">
        <f>SUM(T21+T39+T44)</f>
        <v>0</v>
      </c>
      <c r="U52" s="836">
        <f>SUM(U21+U39+U44)</f>
        <v>0</v>
      </c>
      <c r="V52" s="520" t="str">
        <f t="shared" ref="V52:V54" si="23">IF(T52=0, "    ---- ", IF(ABS(ROUND(100/T52*U52-100,1))&lt;999,ROUND(100/T52*U52-100,1),IF(ROUND(100/T52*U52-100,1)&gt;999,999,-999)))</f>
        <v xml:space="preserve">    ---- </v>
      </c>
      <c r="W52" s="836">
        <f>SUM(W21+W39+W44)</f>
        <v>537548.58783238998</v>
      </c>
      <c r="X52" s="597">
        <f>SUM(X21+X39+X44)</f>
        <v>574121.95530981</v>
      </c>
      <c r="Y52" s="520">
        <f>IF(W52=0, "    ---- ", IF(ABS(ROUND(100/W52*X52-100,1))&lt;999,ROUND(100/W52*X52-100,1),IF(ROUND(100/W52*X52-100,1)&gt;999,999,-999)))</f>
        <v>6.8</v>
      </c>
      <c r="Z52" s="836">
        <f>SUM(Z21+Z39+Z44)</f>
        <v>0</v>
      </c>
      <c r="AA52" s="836">
        <f>SUM(AA21+AA39+AA44)</f>
        <v>0</v>
      </c>
      <c r="AB52" s="520" t="str">
        <f>IF(Z52=0, "    ---- ", IF(ABS(ROUND(100/Z52*AA52-100,1))&lt;999,ROUND(100/Z52*AA52-100,1),IF(ROUND(100/Z52*AA52-100,1)&gt;999,999,-999)))</f>
        <v xml:space="preserve">    ---- </v>
      </c>
      <c r="AC52" s="836">
        <f>SUM(AC21+AC39+AC44)</f>
        <v>81712</v>
      </c>
      <c r="AD52" s="836">
        <f>SUM(AD21+AD39+AD44)</f>
        <v>90224</v>
      </c>
      <c r="AE52" s="691">
        <f>IF(AC52=0, "    ---- ", IF(ABS(ROUND(100/AC52*AD52-100,1))&lt;999,ROUND(100/AC52*AD52-100,1),IF(ROUND(100/AC52*AD52-100,1)&gt;999,999,-999)))</f>
        <v>10.4</v>
      </c>
      <c r="AF52" s="836">
        <f>SUM(AF21+AF39+AF44)</f>
        <v>0</v>
      </c>
      <c r="AG52" s="836">
        <f>SUM(AG21+AG39+AG44)</f>
        <v>0</v>
      </c>
      <c r="AH52" s="520" t="str">
        <f t="shared" si="2"/>
        <v xml:space="preserve">    ---- </v>
      </c>
      <c r="AI52" s="836">
        <f>SUM(AI21+AI39+AI44)</f>
        <v>3367</v>
      </c>
      <c r="AJ52" s="836">
        <f>SUM(AJ21+AJ39+AJ44)</f>
        <v>11839</v>
      </c>
      <c r="AK52" s="520">
        <f>SUM(AK21+AK39+AK44)</f>
        <v>806.4</v>
      </c>
      <c r="AL52" s="688">
        <f t="shared" si="17"/>
        <v>622627.58783238998</v>
      </c>
      <c r="AM52" s="688">
        <f t="shared" si="17"/>
        <v>676184.95530981</v>
      </c>
      <c r="AN52" s="520">
        <f t="shared" si="6"/>
        <v>8.6</v>
      </c>
      <c r="AO52" s="690"/>
      <c r="AP52" s="690"/>
    </row>
    <row r="53" spans="1:42" s="528" customFormat="1" ht="18.75" customHeight="1" x14ac:dyDescent="0.35">
      <c r="A53" s="514" t="s">
        <v>418</v>
      </c>
      <c r="B53" s="836">
        <f>SUM(B22)</f>
        <v>54.917000000000002</v>
      </c>
      <c r="C53" s="836">
        <f>SUM(C22)</f>
        <v>45.398000000000003</v>
      </c>
      <c r="D53" s="520">
        <f t="shared" si="14"/>
        <v>-17.3</v>
      </c>
      <c r="E53" s="836">
        <f>SUM(E22)</f>
        <v>0</v>
      </c>
      <c r="F53" s="836"/>
      <c r="G53" s="520" t="str">
        <f t="shared" si="21"/>
        <v xml:space="preserve">    ---- </v>
      </c>
      <c r="H53" s="836">
        <f>SUM(H22)</f>
        <v>4585</v>
      </c>
      <c r="I53" s="836">
        <f>SUM(I22)</f>
        <v>9</v>
      </c>
      <c r="J53" s="520">
        <f t="shared" si="0"/>
        <v>-99.8</v>
      </c>
      <c r="K53" s="836">
        <f>SUM(K22)</f>
        <v>594</v>
      </c>
      <c r="L53" s="836">
        <f>SUM(L22)</f>
        <v>622.84977819999995</v>
      </c>
      <c r="M53" s="520">
        <f t="shared" si="15"/>
        <v>4.9000000000000004</v>
      </c>
      <c r="N53" s="836">
        <f>SUM(N22)</f>
        <v>144.06299999999999</v>
      </c>
      <c r="O53" s="836">
        <f>SUM(O22)</f>
        <v>101.72799999999999</v>
      </c>
      <c r="P53" s="520">
        <f t="shared" si="16"/>
        <v>-29.4</v>
      </c>
      <c r="Q53" s="836">
        <f>SUM(Q22)</f>
        <v>0</v>
      </c>
      <c r="R53" s="836">
        <f>SUM(R22)</f>
        <v>0</v>
      </c>
      <c r="S53" s="520" t="str">
        <f t="shared" si="22"/>
        <v xml:space="preserve">    ---- </v>
      </c>
      <c r="T53" s="836">
        <f>SUM(T22)</f>
        <v>0</v>
      </c>
      <c r="U53" s="836">
        <f>SUM(U22)</f>
        <v>0</v>
      </c>
      <c r="V53" s="520" t="str">
        <f t="shared" si="23"/>
        <v xml:space="preserve">    ---- </v>
      </c>
      <c r="W53" s="836">
        <f>SUM(W22)</f>
        <v>0</v>
      </c>
      <c r="X53" s="597">
        <f>SUM(X22)</f>
        <v>0</v>
      </c>
      <c r="Y53" s="520" t="str">
        <f>IF(W53=0, "    ---- ", IF(ABS(ROUND(100/W53*X53-100,1))&lt;999,ROUND(100/W53*X53-100,1),IF(ROUND(100/W53*X53-100,1)&gt;999,999,-999)))</f>
        <v xml:space="preserve">    ---- </v>
      </c>
      <c r="Z53" s="836">
        <f>SUM(Z22)</f>
        <v>53.09</v>
      </c>
      <c r="AA53" s="836">
        <f>SUM(AA22)</f>
        <v>58.8</v>
      </c>
      <c r="AB53" s="520">
        <f t="shared" si="1"/>
        <v>10.8</v>
      </c>
      <c r="AC53" s="836">
        <f>SUM(AC22)</f>
        <v>0</v>
      </c>
      <c r="AD53" s="836">
        <f>SUM(AD22)</f>
        <v>0</v>
      </c>
      <c r="AE53" s="691" t="str">
        <f>IF(AC53=0, "    ---- ", IF(ABS(ROUND(100/AC53*AD53-100,1))&lt;999,ROUND(100/AC53*AD53-100,1),IF(ROUND(100/AC53*AD53-100,1)&gt;999,999,-999)))</f>
        <v xml:space="preserve">    ---- </v>
      </c>
      <c r="AF53" s="836">
        <f>SUM(AF22)</f>
        <v>0</v>
      </c>
      <c r="AG53" s="836">
        <f>SUM(AG22)</f>
        <v>0</v>
      </c>
      <c r="AH53" s="520" t="str">
        <f t="shared" si="2"/>
        <v xml:space="preserve">    ---- </v>
      </c>
      <c r="AI53" s="836">
        <f>SUM(AI22)</f>
        <v>0</v>
      </c>
      <c r="AJ53" s="836">
        <f>SUM(AJ22)</f>
        <v>0</v>
      </c>
      <c r="AK53" s="520">
        <f>SUM(AK22)</f>
        <v>0</v>
      </c>
      <c r="AL53" s="688">
        <f t="shared" si="17"/>
        <v>5431.0700000000006</v>
      </c>
      <c r="AM53" s="688">
        <f t="shared" si="17"/>
        <v>837.77577819999988</v>
      </c>
      <c r="AN53" s="520">
        <f t="shared" si="6"/>
        <v>-84.6</v>
      </c>
      <c r="AO53" s="690"/>
      <c r="AP53" s="690"/>
    </row>
    <row r="54" spans="1:42" s="528" customFormat="1" ht="18.75" customHeight="1" x14ac:dyDescent="0.35">
      <c r="A54" s="698" t="s">
        <v>425</v>
      </c>
      <c r="B54" s="838">
        <f>SUM(B40+B45)</f>
        <v>68.406000000000006</v>
      </c>
      <c r="C54" s="838">
        <f>SUM(C40+C45)</f>
        <v>53.637</v>
      </c>
      <c r="D54" s="699">
        <f t="shared" si="14"/>
        <v>-21.6</v>
      </c>
      <c r="E54" s="838">
        <f>SUM(E40+E45)</f>
        <v>0</v>
      </c>
      <c r="F54" s="838"/>
      <c r="G54" s="699" t="str">
        <f>IF(E54=0, "    ---- ", IF(ABS(ROUND(100/E54*F54-100,1))&lt;999,ROUND(100/E54*F54-100,1),IF(ROUND(100/E54*F54-100,1)&gt;999,999,-999)))</f>
        <v xml:space="preserve">    ---- </v>
      </c>
      <c r="H54" s="838">
        <f>SUM(H40+H45)</f>
        <v>2830.6</v>
      </c>
      <c r="I54" s="838">
        <f>SUM(I40+I45)</f>
        <v>5233</v>
      </c>
      <c r="J54" s="699">
        <f t="shared" si="0"/>
        <v>84.9</v>
      </c>
      <c r="K54" s="838">
        <f>SUM(K40+K45)</f>
        <v>46</v>
      </c>
      <c r="L54" s="838">
        <f>SUM(L40+L45)</f>
        <v>5.9795832399999966</v>
      </c>
      <c r="M54" s="699">
        <f t="shared" si="15"/>
        <v>-87</v>
      </c>
      <c r="N54" s="838">
        <f>SUM(N40+N45)</f>
        <v>35.061</v>
      </c>
      <c r="O54" s="838">
        <f>SUM(O40+O45)</f>
        <v>37.787999999999997</v>
      </c>
      <c r="P54" s="699">
        <f t="shared" si="16"/>
        <v>7.8</v>
      </c>
      <c r="Q54" s="838">
        <f>SUM(Q40+Q45)</f>
        <v>1.6</v>
      </c>
      <c r="R54" s="838">
        <f>SUM(R40+R45)</f>
        <v>11.8</v>
      </c>
      <c r="S54" s="699">
        <f>IF(Q54=0, "    ---- ", IF(ABS(ROUND(100/Q54*R54-100,1))&lt;999,ROUND(100/Q54*R54-100,1),IF(ROUND(100/Q54*R54-100,1)&gt;999,999,-999)))</f>
        <v>637.5</v>
      </c>
      <c r="T54" s="838">
        <f>SUM(T40+T45)</f>
        <v>0</v>
      </c>
      <c r="U54" s="838">
        <f>SUM(U40+U45)</f>
        <v>0</v>
      </c>
      <c r="V54" s="520" t="str">
        <f t="shared" si="23"/>
        <v xml:space="preserve">    ---- </v>
      </c>
      <c r="W54" s="838">
        <f>SUM(W40+W45)</f>
        <v>55155.723922000005</v>
      </c>
      <c r="X54" s="603">
        <f>SUM(X40+X45)</f>
        <v>77396.876943130002</v>
      </c>
      <c r="Y54" s="699">
        <f>IF(W54=0, "    ---- ", IF(ABS(ROUND(100/W54*X54-100,1))&lt;999,ROUND(100/W54*X54-100,1),IF(ROUND(100/W54*X54-100,1)&gt;999,999,-999)))</f>
        <v>40.299999999999997</v>
      </c>
      <c r="Z54" s="838">
        <f>SUM(Z40+Z45)</f>
        <v>2340</v>
      </c>
      <c r="AA54" s="838">
        <f>SUM(AA40+AA45)</f>
        <v>3386</v>
      </c>
      <c r="AB54" s="699">
        <f t="shared" si="1"/>
        <v>44.7</v>
      </c>
      <c r="AC54" s="838">
        <f>SUM(AC40+AC45)</f>
        <v>17941</v>
      </c>
      <c r="AD54" s="838">
        <f>SUM(AD40+AD45)</f>
        <v>21613</v>
      </c>
      <c r="AE54" s="699">
        <f>IF(AC54=0, "    ---- ", IF(ABS(ROUND(100/AC54*AD54-100,1))&lt;999,ROUND(100/AC54*AD54-100,1),IF(ROUND(100/AC54*AD54-100,1)&gt;999,999,-999)))</f>
        <v>20.5</v>
      </c>
      <c r="AF54" s="838">
        <f>SUM(AF40+AF45)</f>
        <v>2806</v>
      </c>
      <c r="AG54" s="838">
        <f>SUM(AG40+AG45)</f>
        <v>2736</v>
      </c>
      <c r="AH54" s="699">
        <f t="shared" si="2"/>
        <v>-2.5</v>
      </c>
      <c r="AI54" s="838">
        <f>SUM(AI40+AI45)</f>
        <v>7872</v>
      </c>
      <c r="AJ54" s="838">
        <f>SUM(AJ40+AJ45)</f>
        <v>6970</v>
      </c>
      <c r="AK54" s="699">
        <f>SUM(AK40+AK45)</f>
        <v>-17.8</v>
      </c>
      <c r="AL54" s="700">
        <f t="shared" si="17"/>
        <v>89096.390922000006</v>
      </c>
      <c r="AM54" s="700">
        <f t="shared" si="17"/>
        <v>117444.08152637001</v>
      </c>
      <c r="AN54" s="699">
        <f t="shared" si="6"/>
        <v>31.8</v>
      </c>
      <c r="AO54" s="690"/>
      <c r="AP54" s="690"/>
    </row>
    <row r="55" spans="1:42" s="528" customFormat="1" ht="18.75" customHeight="1" x14ac:dyDescent="0.35">
      <c r="A55" s="558" t="s">
        <v>252</v>
      </c>
      <c r="B55" s="701"/>
      <c r="C55" s="701"/>
      <c r="D55" s="701"/>
      <c r="E55" s="701"/>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c r="AI55" s="701"/>
      <c r="AJ55" s="701"/>
      <c r="AK55" s="701"/>
      <c r="AL55" s="701"/>
      <c r="AM55" s="701"/>
      <c r="AN55" s="701"/>
      <c r="AO55" s="690"/>
      <c r="AP55" s="690"/>
    </row>
    <row r="56" spans="1:42" s="528" customFormat="1" ht="18.75" customHeight="1" x14ac:dyDescent="0.35">
      <c r="A56" s="558" t="s">
        <v>253</v>
      </c>
      <c r="B56" s="701"/>
      <c r="C56" s="701"/>
      <c r="D56" s="701"/>
      <c r="E56" s="701"/>
      <c r="F56" s="701"/>
      <c r="G56" s="701"/>
      <c r="H56" s="701"/>
      <c r="I56" s="701"/>
      <c r="J56" s="701"/>
      <c r="K56" s="701"/>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690"/>
      <c r="AP56" s="690"/>
    </row>
    <row r="57" spans="1:42" s="528" customFormat="1" ht="18.75" customHeight="1" x14ac:dyDescent="0.35">
      <c r="W57" s="558"/>
      <c r="Z57" s="558"/>
      <c r="AI57" s="558"/>
      <c r="AL57" s="558"/>
      <c r="AP57" s="690"/>
    </row>
    <row r="58" spans="1:42" s="654" customFormat="1" ht="18" x14ac:dyDescent="0.35"/>
    <row r="59" spans="1:42" s="654" customFormat="1" ht="18" x14ac:dyDescent="0.35"/>
    <row r="60" spans="1:42" s="654" customFormat="1" ht="18" x14ac:dyDescent="0.35"/>
    <row r="61" spans="1:42" s="654" customFormat="1" ht="18" x14ac:dyDescent="0.35"/>
    <row r="62" spans="1:42" s="654" customFormat="1" ht="18" x14ac:dyDescent="0.35"/>
    <row r="63" spans="1:42" s="654" customFormat="1" ht="18" x14ac:dyDescent="0.35"/>
    <row r="64" spans="1:42" s="654" customFormat="1" ht="18" x14ac:dyDescent="0.35"/>
    <row r="65" spans="1:40" s="654" customFormat="1" ht="18" x14ac:dyDescent="0.35"/>
    <row r="66" spans="1:40" s="654" customFormat="1" ht="18" x14ac:dyDescent="0.35"/>
    <row r="67" spans="1:40" s="654" customFormat="1" ht="18" x14ac:dyDescent="0.35"/>
    <row r="68" spans="1:40" s="654" customFormat="1" ht="18" x14ac:dyDescent="0.35"/>
    <row r="69" spans="1:40" s="654" customFormat="1" ht="18" x14ac:dyDescent="0.35">
      <c r="A69" s="655"/>
      <c r="B69" s="655"/>
      <c r="C69" s="655"/>
      <c r="D69" s="655"/>
      <c r="E69" s="655"/>
      <c r="F69" s="655"/>
      <c r="G69" s="655"/>
      <c r="H69" s="655"/>
      <c r="I69" s="655"/>
      <c r="J69" s="655"/>
      <c r="K69" s="655"/>
      <c r="L69" s="655"/>
      <c r="M69" s="655"/>
      <c r="N69" s="655"/>
      <c r="O69" s="655"/>
      <c r="P69" s="655"/>
      <c r="Q69" s="655"/>
      <c r="R69" s="655"/>
      <c r="S69" s="655"/>
      <c r="T69" s="655"/>
      <c r="U69" s="655"/>
      <c r="V69" s="655"/>
      <c r="W69" s="655"/>
      <c r="X69" s="655"/>
      <c r="Y69" s="655"/>
      <c r="Z69" s="655"/>
      <c r="AA69" s="655"/>
      <c r="AB69" s="655"/>
      <c r="AC69" s="655"/>
      <c r="AD69" s="655"/>
      <c r="AE69" s="655"/>
      <c r="AF69" s="655"/>
      <c r="AG69" s="655"/>
      <c r="AH69" s="655"/>
      <c r="AI69" s="655"/>
      <c r="AJ69" s="655"/>
      <c r="AK69" s="655"/>
      <c r="AL69" s="655"/>
      <c r="AM69" s="655"/>
      <c r="AN69" s="655"/>
    </row>
    <row r="70" spans="1:40" s="654" customFormat="1" ht="18" x14ac:dyDescent="0.35">
      <c r="A70" s="655"/>
      <c r="B70" s="655"/>
      <c r="C70" s="655"/>
      <c r="D70" s="655"/>
      <c r="E70" s="655"/>
      <c r="F70" s="655"/>
      <c r="G70" s="655"/>
      <c r="H70" s="655"/>
      <c r="I70" s="655"/>
      <c r="J70" s="655"/>
      <c r="K70" s="655"/>
      <c r="L70" s="655"/>
      <c r="M70" s="655"/>
      <c r="N70" s="655"/>
      <c r="O70" s="655"/>
      <c r="P70" s="655"/>
      <c r="Q70" s="655"/>
      <c r="R70" s="655"/>
      <c r="S70" s="655"/>
      <c r="T70" s="655"/>
      <c r="U70" s="655"/>
      <c r="V70" s="655"/>
      <c r="W70" s="655"/>
      <c r="X70" s="655"/>
      <c r="Y70" s="655"/>
      <c r="Z70" s="655"/>
      <c r="AA70" s="655"/>
      <c r="AB70" s="655"/>
      <c r="AC70" s="655"/>
      <c r="AD70" s="655"/>
      <c r="AE70" s="655"/>
      <c r="AF70" s="655"/>
      <c r="AG70" s="655"/>
      <c r="AH70" s="655"/>
      <c r="AI70" s="655"/>
      <c r="AJ70" s="655"/>
      <c r="AK70" s="655"/>
      <c r="AL70" s="655"/>
      <c r="AM70" s="655"/>
      <c r="AN70" s="655"/>
    </row>
    <row r="71" spans="1:40" s="654" customFormat="1" ht="18" x14ac:dyDescent="0.35">
      <c r="A71" s="655"/>
      <c r="B71" s="655"/>
      <c r="C71" s="655"/>
      <c r="D71" s="655"/>
      <c r="E71" s="655"/>
      <c r="F71" s="655"/>
      <c r="G71" s="655"/>
      <c r="H71" s="655"/>
      <c r="I71" s="655"/>
      <c r="J71" s="655"/>
      <c r="K71" s="655"/>
      <c r="L71" s="655"/>
      <c r="M71" s="655"/>
      <c r="N71" s="655"/>
      <c r="O71" s="655"/>
      <c r="P71" s="655"/>
      <c r="Q71" s="655"/>
      <c r="R71" s="655"/>
      <c r="S71" s="655"/>
      <c r="T71" s="655"/>
      <c r="U71" s="655"/>
      <c r="V71" s="655"/>
      <c r="W71" s="655"/>
      <c r="X71" s="655"/>
      <c r="Y71" s="655"/>
      <c r="Z71" s="655"/>
      <c r="AA71" s="655"/>
      <c r="AB71" s="655"/>
      <c r="AC71" s="655"/>
      <c r="AD71" s="655"/>
      <c r="AE71" s="655"/>
      <c r="AF71" s="655"/>
      <c r="AG71" s="655"/>
      <c r="AH71" s="655"/>
      <c r="AI71" s="655"/>
      <c r="AJ71" s="655"/>
      <c r="AK71" s="655"/>
      <c r="AL71" s="655"/>
      <c r="AM71" s="655"/>
      <c r="AN71" s="655"/>
    </row>
    <row r="72" spans="1:40" s="654" customFormat="1" ht="18" x14ac:dyDescent="0.35">
      <c r="A72" s="655"/>
      <c r="B72" s="655"/>
      <c r="C72" s="655"/>
      <c r="D72" s="655"/>
      <c r="E72" s="655"/>
      <c r="F72" s="655"/>
      <c r="G72" s="655"/>
      <c r="H72" s="655"/>
      <c r="I72" s="655"/>
      <c r="J72" s="655"/>
      <c r="K72" s="655"/>
      <c r="L72" s="655"/>
      <c r="M72" s="655"/>
      <c r="N72" s="655"/>
      <c r="O72" s="655"/>
      <c r="P72" s="655"/>
      <c r="Q72" s="655"/>
      <c r="R72" s="655"/>
      <c r="S72" s="655"/>
      <c r="T72" s="655"/>
      <c r="U72" s="655"/>
      <c r="V72" s="655"/>
      <c r="W72" s="655"/>
      <c r="X72" s="655"/>
      <c r="Y72" s="655"/>
      <c r="Z72" s="655"/>
      <c r="AA72" s="655"/>
      <c r="AB72" s="655"/>
      <c r="AC72" s="655"/>
      <c r="AD72" s="655"/>
      <c r="AE72" s="655"/>
      <c r="AF72" s="655"/>
      <c r="AG72" s="655"/>
      <c r="AH72" s="655"/>
      <c r="AI72" s="655"/>
      <c r="AJ72" s="655"/>
      <c r="AK72" s="655"/>
      <c r="AL72" s="655"/>
      <c r="AM72" s="655"/>
      <c r="AN72" s="655"/>
    </row>
    <row r="73" spans="1:40" s="654" customFormat="1" ht="18" x14ac:dyDescent="0.35"/>
    <row r="74" spans="1:40" s="654" customFormat="1" ht="18" x14ac:dyDescent="0.35"/>
    <row r="75" spans="1:40" s="654" customFormat="1" ht="18" x14ac:dyDescent="0.35"/>
    <row r="76" spans="1:40" s="654" customFormat="1" ht="18" x14ac:dyDescent="0.35"/>
    <row r="77" spans="1:40" s="654" customFormat="1" ht="18" x14ac:dyDescent="0.35"/>
    <row r="78" spans="1:40" s="654" customFormat="1" ht="18" x14ac:dyDescent="0.35"/>
    <row r="79" spans="1:40" s="654" customFormat="1" ht="18" x14ac:dyDescent="0.35"/>
    <row r="80" spans="1:40" s="654" customFormat="1" ht="18" x14ac:dyDescent="0.35"/>
    <row r="81" s="654" customFormat="1" ht="18" x14ac:dyDescent="0.35"/>
    <row r="82" s="654" customFormat="1" ht="18" x14ac:dyDescent="0.35"/>
    <row r="83" s="654" customFormat="1" ht="18" x14ac:dyDescent="0.35"/>
    <row r="84" s="654" customFormat="1" ht="18" x14ac:dyDescent="0.35"/>
  </sheetData>
  <mergeCells count="34">
    <mergeCell ref="B5:D5"/>
    <mergeCell ref="H5:J5"/>
    <mergeCell ref="N5:P5"/>
    <mergeCell ref="Q5:S5"/>
    <mergeCell ref="T5:V5"/>
    <mergeCell ref="K5:M5"/>
    <mergeCell ref="AT5:AV5"/>
    <mergeCell ref="AW5:AY5"/>
    <mergeCell ref="AZ5:BB5"/>
    <mergeCell ref="BC5:BE5"/>
    <mergeCell ref="B6:D6"/>
    <mergeCell ref="H6:J6"/>
    <mergeCell ref="N6:P6"/>
    <mergeCell ref="Q6:S6"/>
    <mergeCell ref="T6:V6"/>
    <mergeCell ref="W6:Y6"/>
    <mergeCell ref="AC5:AE5"/>
    <mergeCell ref="AF5:AH5"/>
    <mergeCell ref="AI5:AK5"/>
    <mergeCell ref="AL5:AN5"/>
    <mergeCell ref="AQ5:AS5"/>
    <mergeCell ref="E5:G5"/>
    <mergeCell ref="K6:M6"/>
    <mergeCell ref="BC6:BE6"/>
    <mergeCell ref="E6:G6"/>
    <mergeCell ref="Z6:AB6"/>
    <mergeCell ref="AC6:AE6"/>
    <mergeCell ref="AF6:AH6"/>
    <mergeCell ref="AI6:AK6"/>
    <mergeCell ref="AL6:AN6"/>
    <mergeCell ref="AQ6:AS6"/>
    <mergeCell ref="AT6:AV6"/>
    <mergeCell ref="AW6:AY6"/>
    <mergeCell ref="AZ6:BB6"/>
  </mergeCells>
  <conditionalFormatting sqref="B47">
    <cfRule type="expression" dxfId="133" priority="158">
      <formula>#REF!="54≠55+56+57+58+59+60+61"</formula>
    </cfRule>
  </conditionalFormatting>
  <conditionalFormatting sqref="E11">
    <cfRule type="expression" dxfId="132" priority="152">
      <formula>#REF!="11≠12+15+18+19+21+22"</formula>
    </cfRule>
  </conditionalFormatting>
  <conditionalFormatting sqref="E47">
    <cfRule type="expression" dxfId="131" priority="153">
      <formula>#REF!="54≠55+56+57+58+59+60+61"</formula>
    </cfRule>
  </conditionalFormatting>
  <conditionalFormatting sqref="E23">
    <cfRule type="expression" dxfId="130" priority="154">
      <formula>#REF!="23≠24+27+30+31+33+34"</formula>
    </cfRule>
  </conditionalFormatting>
  <conditionalFormatting sqref="E35">
    <cfRule type="expression" dxfId="129" priority="155">
      <formula>#REF!="35≠36+37+38+39"</formula>
    </cfRule>
  </conditionalFormatting>
  <conditionalFormatting sqref="E41">
    <cfRule type="expression" dxfId="128" priority="156">
      <formula>#REF!="48≠49+50+51"</formula>
    </cfRule>
  </conditionalFormatting>
  <conditionalFormatting sqref="H47">
    <cfRule type="expression" dxfId="127" priority="148">
      <formula>#REF!="54≠55+56+57+58+59+60+61"</formula>
    </cfRule>
  </conditionalFormatting>
  <conditionalFormatting sqref="K47">
    <cfRule type="expression" dxfId="126" priority="143">
      <formula>#REF!="54≠55+56+57+58+59+60+61"</formula>
    </cfRule>
  </conditionalFormatting>
  <conditionalFormatting sqref="N47">
    <cfRule type="expression" dxfId="125" priority="138">
      <formula>#REF!="54≠55+56+57+58+59+60+61"</formula>
    </cfRule>
  </conditionalFormatting>
  <conditionalFormatting sqref="Q47">
    <cfRule type="expression" dxfId="124" priority="133">
      <formula>#REF!="54≠55+56+57+58+59+60+61"</formula>
    </cfRule>
  </conditionalFormatting>
  <conditionalFormatting sqref="T47">
    <cfRule type="expression" dxfId="123" priority="128">
      <formula>#REF!="54≠55+56+57+58+59+60+61"</formula>
    </cfRule>
  </conditionalFormatting>
  <conditionalFormatting sqref="Z47">
    <cfRule type="expression" dxfId="122" priority="118">
      <formula>#REF!="54≠55+56+57+58+59+60+61"</formula>
    </cfRule>
  </conditionalFormatting>
  <conditionalFormatting sqref="AF47">
    <cfRule type="expression" dxfId="121" priority="108">
      <formula>#REF!="54≠55+56+57+58+59+60+61"</formula>
    </cfRule>
  </conditionalFormatting>
  <conditionalFormatting sqref="AI47">
    <cfRule type="expression" dxfId="120" priority="103">
      <formula>#REF!="54≠55+56+57+58+59+60+61"</formula>
    </cfRule>
  </conditionalFormatting>
  <conditionalFormatting sqref="B11">
    <cfRule type="expression" dxfId="119" priority="94">
      <formula>#REF!="11≠12+15+18+19+21+22"</formula>
    </cfRule>
  </conditionalFormatting>
  <conditionalFormatting sqref="B23">
    <cfRule type="expression" dxfId="118" priority="95">
      <formula>#REF!="23≠24+27+30+31+33+34"</formula>
    </cfRule>
  </conditionalFormatting>
  <conditionalFormatting sqref="B35">
    <cfRule type="expression" dxfId="117" priority="96">
      <formula>#REF!="35≠36+37+38+39"</formula>
    </cfRule>
  </conditionalFormatting>
  <conditionalFormatting sqref="B41">
    <cfRule type="expression" dxfId="116" priority="97">
      <formula>#REF!="48≠49+50+51"</formula>
    </cfRule>
  </conditionalFormatting>
  <conditionalFormatting sqref="H11">
    <cfRule type="expression" dxfId="115" priority="86">
      <formula>#REF!="11≠12+15+18+19+21+22"</formula>
    </cfRule>
  </conditionalFormatting>
  <conditionalFormatting sqref="H23">
    <cfRule type="expression" dxfId="114" priority="87">
      <formula>#REF!="23≠24+27+30+31+33+34"</formula>
    </cfRule>
  </conditionalFormatting>
  <conditionalFormatting sqref="H35">
    <cfRule type="expression" dxfId="113" priority="88">
      <formula>#REF!="35≠36+37+38+39"</formula>
    </cfRule>
  </conditionalFormatting>
  <conditionalFormatting sqref="H41">
    <cfRule type="expression" dxfId="112" priority="89">
      <formula>#REF!="48≠49+50+51"</formula>
    </cfRule>
  </conditionalFormatting>
  <conditionalFormatting sqref="K11">
    <cfRule type="expression" dxfId="111" priority="78">
      <formula>#REF!="11≠12+15+18+19+21+22"</formula>
    </cfRule>
  </conditionalFormatting>
  <conditionalFormatting sqref="K23">
    <cfRule type="expression" dxfId="110" priority="79">
      <formula>#REF!="23≠24+27+30+31+33+34"</formula>
    </cfRule>
  </conditionalFormatting>
  <conditionalFormatting sqref="K35">
    <cfRule type="expression" dxfId="109" priority="80">
      <formula>#REF!="35≠36+37+38+39"</formula>
    </cfRule>
  </conditionalFormatting>
  <conditionalFormatting sqref="K41">
    <cfRule type="expression" dxfId="108" priority="81">
      <formula>#REF!="48≠49+50+51"</formula>
    </cfRule>
  </conditionalFormatting>
  <conditionalFormatting sqref="N11">
    <cfRule type="expression" dxfId="107" priority="70">
      <formula>#REF!="11≠12+15+18+19+21+22"</formula>
    </cfRule>
  </conditionalFormatting>
  <conditionalFormatting sqref="N23">
    <cfRule type="expression" dxfId="106" priority="71">
      <formula>#REF!="23≠24+27+30+31+33+34"</formula>
    </cfRule>
  </conditionalFormatting>
  <conditionalFormatting sqref="N35">
    <cfRule type="expression" dxfId="105" priority="72">
      <formula>#REF!="35≠36+37+38+39"</formula>
    </cfRule>
  </conditionalFormatting>
  <conditionalFormatting sqref="N41">
    <cfRule type="expression" dxfId="104" priority="73">
      <formula>#REF!="48≠49+50+51"</formula>
    </cfRule>
  </conditionalFormatting>
  <conditionalFormatting sqref="Q11">
    <cfRule type="expression" dxfId="103" priority="62">
      <formula>#REF!="11≠12+15+18+19+21+22"</formula>
    </cfRule>
  </conditionalFormatting>
  <conditionalFormatting sqref="Q23">
    <cfRule type="expression" dxfId="102" priority="63">
      <formula>#REF!="23≠24+27+30+31+33+34"</formula>
    </cfRule>
  </conditionalFormatting>
  <conditionalFormatting sqref="Q35">
    <cfRule type="expression" dxfId="101" priority="64">
      <formula>#REF!="35≠36+37+38+39"</formula>
    </cfRule>
  </conditionalFormatting>
  <conditionalFormatting sqref="Q41">
    <cfRule type="expression" dxfId="100" priority="65">
      <formula>#REF!="48≠49+50+51"</formula>
    </cfRule>
  </conditionalFormatting>
  <conditionalFormatting sqref="T11">
    <cfRule type="expression" dxfId="99" priority="54">
      <formula>#REF!="11≠12+15+18+19+21+22"</formula>
    </cfRule>
  </conditionalFormatting>
  <conditionalFormatting sqref="T23">
    <cfRule type="expression" dxfId="98" priority="55">
      <formula>#REF!="23≠24+27+30+31+33+34"</formula>
    </cfRule>
  </conditionalFormatting>
  <conditionalFormatting sqref="T35">
    <cfRule type="expression" dxfId="97" priority="56">
      <formula>#REF!="35≠36+37+38+39"</formula>
    </cfRule>
  </conditionalFormatting>
  <conditionalFormatting sqref="T41">
    <cfRule type="expression" dxfId="96" priority="57">
      <formula>#REF!="48≠49+50+51"</formula>
    </cfRule>
  </conditionalFormatting>
  <conditionalFormatting sqref="W11">
    <cfRule type="expression" dxfId="95" priority="37">
      <formula>#REF!="11≠12+15+18+19+21+22"</formula>
    </cfRule>
  </conditionalFormatting>
  <conditionalFormatting sqref="W47">
    <cfRule type="expression" dxfId="94" priority="38">
      <formula>#REF!="54≠55+56+57+58+59+60+61"</formula>
    </cfRule>
  </conditionalFormatting>
  <conditionalFormatting sqref="W23">
    <cfRule type="expression" dxfId="93" priority="39">
      <formula>#REF!="23≠24+27+30+31+33+34"</formula>
    </cfRule>
  </conditionalFormatting>
  <conditionalFormatting sqref="W35">
    <cfRule type="expression" dxfId="92" priority="40">
      <formula>#REF!="35≠36+37+38+39"</formula>
    </cfRule>
  </conditionalFormatting>
  <conditionalFormatting sqref="W41">
    <cfRule type="expression" dxfId="91" priority="41">
      <formula>#REF!="48≠49+50+51"</formula>
    </cfRule>
  </conditionalFormatting>
  <conditionalFormatting sqref="X41">
    <cfRule type="expression" dxfId="90" priority="36">
      <formula>#REF!="48≠49+50+51"</formula>
    </cfRule>
  </conditionalFormatting>
  <conditionalFormatting sqref="X47">
    <cfRule type="expression" dxfId="89" priority="35">
      <formula>#REF!="54≠55+56+57+58+59+60+61"</formula>
    </cfRule>
  </conditionalFormatting>
  <conditionalFormatting sqref="Z11">
    <cfRule type="expression" dxfId="88" priority="27">
      <formula>#REF!="11≠12+15+18+19+21+22"</formula>
    </cfRule>
  </conditionalFormatting>
  <conditionalFormatting sqref="Z23">
    <cfRule type="expression" dxfId="87" priority="28">
      <formula>#REF!="23≠24+27+30+31+33+34"</formula>
    </cfRule>
  </conditionalFormatting>
  <conditionalFormatting sqref="Z35">
    <cfRule type="expression" dxfId="86" priority="29">
      <formula>#REF!="35≠36+37+38+39"</formula>
    </cfRule>
  </conditionalFormatting>
  <conditionalFormatting sqref="Z41">
    <cfRule type="expression" dxfId="85" priority="30">
      <formula>#REF!="48≠49+50+51"</formula>
    </cfRule>
  </conditionalFormatting>
  <conditionalFormatting sqref="AC11">
    <cfRule type="expression" dxfId="84" priority="17">
      <formula>#REF!="11≠12+15+18+19+21+22"</formula>
    </cfRule>
  </conditionalFormatting>
  <conditionalFormatting sqref="AC47">
    <cfRule type="expression" dxfId="83" priority="18">
      <formula>#REF!="54≠55+56+57+58+59+60+61"</formula>
    </cfRule>
  </conditionalFormatting>
  <conditionalFormatting sqref="AC23">
    <cfRule type="expression" dxfId="82" priority="19">
      <formula>#REF!="23≠24+27+30+31+33+34"</formula>
    </cfRule>
  </conditionalFormatting>
  <conditionalFormatting sqref="AC35">
    <cfRule type="expression" dxfId="81" priority="20">
      <formula>#REF!="35≠36+37+38+39"</formula>
    </cfRule>
  </conditionalFormatting>
  <conditionalFormatting sqref="AC41">
    <cfRule type="expression" dxfId="80" priority="21">
      <formula>#REF!="48≠49+50+51"</formula>
    </cfRule>
  </conditionalFormatting>
  <conditionalFormatting sqref="AF11">
    <cfRule type="expression" dxfId="79" priority="9">
      <formula>#REF!="11≠12+15+18+19+21+22"</formula>
    </cfRule>
  </conditionalFormatting>
  <conditionalFormatting sqref="AF23">
    <cfRule type="expression" dxfId="78" priority="10">
      <formula>#REF!="23≠24+27+30+31+33+34"</formula>
    </cfRule>
  </conditionalFormatting>
  <conditionalFormatting sqref="AF35">
    <cfRule type="expression" dxfId="77" priority="11">
      <formula>#REF!="35≠36+37+38+39"</formula>
    </cfRule>
  </conditionalFormatting>
  <conditionalFormatting sqref="AF41">
    <cfRule type="expression" dxfId="76" priority="12">
      <formula>#REF!="48≠49+50+51"</formula>
    </cfRule>
  </conditionalFormatting>
  <conditionalFormatting sqref="AI11">
    <cfRule type="expression" dxfId="75" priority="1">
      <formula>#REF!="11≠12+15+18+19+21+22"</formula>
    </cfRule>
  </conditionalFormatting>
  <conditionalFormatting sqref="AI23">
    <cfRule type="expression" dxfId="74" priority="2">
      <formula>#REF!="23≠24+27+30+31+33+34"</formula>
    </cfRule>
  </conditionalFormatting>
  <conditionalFormatting sqref="AI35">
    <cfRule type="expression" dxfId="73" priority="3">
      <formula>#REF!="35≠36+37+38+39"</formula>
    </cfRule>
  </conditionalFormatting>
  <conditionalFormatting sqref="AI41">
    <cfRule type="expression" dxfId="72" priority="4">
      <formula>#REF!="48≠49+50+51"</formula>
    </cfRule>
  </conditionalFormatting>
  <conditionalFormatting sqref="F11 AL11:AM54 C11 I11 L11 O11 R11 U11 X11 AA11 AD11 AG11 AJ11">
    <cfRule type="expression" dxfId="71" priority="1403">
      <formula>#REF!="11≠12+15+18+19+21+22"</formula>
    </cfRule>
  </conditionalFormatting>
  <conditionalFormatting sqref="F47 C47 I47 L47 O47 R47 U47 AA47 AG47 AJ47:AK47 AD47">
    <cfRule type="expression" dxfId="70" priority="1405">
      <formula>#REF!="54≠55+56+57+58+59+60+61"</formula>
    </cfRule>
  </conditionalFormatting>
  <conditionalFormatting sqref="F23 C23 I23 L23 O23 R23 U23 X23 AA23 AD23 AG23 AJ23">
    <cfRule type="expression" dxfId="69" priority="1417">
      <formula>#REF!="23≠24+27+30+31+33+34"</formula>
    </cfRule>
  </conditionalFormatting>
  <conditionalFormatting sqref="F35 C35 I35 L35 O35 R35 U35 X35 AA35 AD35 AG35 AJ35">
    <cfRule type="expression" dxfId="68" priority="1418">
      <formula>#REF!="35≠36+37+38+39"</formula>
    </cfRule>
  </conditionalFormatting>
  <conditionalFormatting sqref="F41 C41 I41 L41 O41 R41 U41 AA41 AD41 AG41 AJ41">
    <cfRule type="expression" dxfId="67" priority="1419">
      <formula>#REF!="48≠49+50+51"</formula>
    </cfRule>
  </conditionalFormatting>
  <hyperlinks>
    <hyperlink ref="B1" location="Innhold!A1" display="Tilbake" xr:uid="{00000000-0004-0000-23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3" manualBreakCount="3">
    <brk id="16" min="1" max="63" man="1"/>
    <brk id="4" min="1" max="63" man="1"/>
    <brk id="37" min="1"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6"/>
  <sheetViews>
    <sheetView showGridLines="0" showZeros="0" zoomScale="70" zoomScaleNormal="70" workbookViewId="0">
      <pane xSplit="1" ySplit="7" topLeftCell="B47" activePane="bottomRight" state="frozen"/>
      <selection pane="topRight" activeCell="B1" sqref="B1"/>
      <selection pane="bottomLeft" activeCell="A8" sqref="A8"/>
      <selection pane="bottomRight" activeCell="A4" sqref="A4"/>
    </sheetView>
  </sheetViews>
  <sheetFormatPr baseColWidth="10" defaultColWidth="11.44140625" defaultRowHeight="13.2" x14ac:dyDescent="0.25"/>
  <cols>
    <col min="1" max="1" width="49" style="86" customWidth="1"/>
    <col min="2" max="3" width="15.6640625" style="86" customWidth="1"/>
    <col min="4" max="4" width="8.6640625" style="86" customWidth="1"/>
    <col min="5" max="5" width="9" style="86" bestFit="1" customWidth="1"/>
    <col min="6" max="6" width="4.6640625" style="86" customWidth="1"/>
    <col min="7" max="7" width="18.44140625" style="86" customWidth="1"/>
    <col min="8" max="8" width="17.6640625" style="86" customWidth="1"/>
    <col min="9" max="9" width="8.6640625" style="86" customWidth="1"/>
    <col min="10" max="10" width="9" style="86" bestFit="1" customWidth="1"/>
    <col min="11" max="11" width="13.44140625" style="86" hidden="1" customWidth="1"/>
    <col min="12" max="12" width="14.6640625" style="186" hidden="1" customWidth="1"/>
    <col min="13" max="13" width="13.6640625" style="186" hidden="1" customWidth="1"/>
    <col min="14" max="15" width="15.6640625" style="186" hidden="1" customWidth="1"/>
    <col min="16" max="16" width="11.44140625" style="86" hidden="1" customWidth="1"/>
    <col min="17" max="19" width="11.44140625" style="86" customWidth="1"/>
    <col min="20" max="16384" width="11.44140625" style="86"/>
  </cols>
  <sheetData>
    <row r="1" spans="1:16" ht="20.399999999999999" x14ac:dyDescent="0.35">
      <c r="A1" s="79" t="s">
        <v>77</v>
      </c>
      <c r="B1" s="73" t="s">
        <v>52</v>
      </c>
      <c r="C1" s="74"/>
      <c r="D1" s="74"/>
      <c r="E1" s="74"/>
      <c r="F1" s="74"/>
      <c r="G1" s="74"/>
      <c r="H1" s="74"/>
      <c r="I1" s="74"/>
      <c r="J1" s="74"/>
      <c r="K1" s="74"/>
    </row>
    <row r="2" spans="1:16" ht="20.399999999999999" x14ac:dyDescent="0.35">
      <c r="A2" s="79" t="s">
        <v>78</v>
      </c>
      <c r="B2" s="74"/>
      <c r="C2" s="74"/>
      <c r="D2" s="74"/>
      <c r="E2" s="74"/>
      <c r="F2" s="74"/>
      <c r="G2" s="74"/>
      <c r="H2" s="74"/>
      <c r="I2" s="74"/>
      <c r="J2" s="74"/>
      <c r="K2" s="74"/>
    </row>
    <row r="3" spans="1:16" ht="18" x14ac:dyDescent="0.35">
      <c r="A3" s="939" t="s">
        <v>79</v>
      </c>
      <c r="B3" s="939"/>
      <c r="C3" s="74"/>
      <c r="D3" s="74"/>
      <c r="E3" s="74"/>
      <c r="F3" s="74"/>
      <c r="G3" s="74"/>
      <c r="H3" s="74"/>
      <c r="I3" s="74"/>
      <c r="J3" s="74"/>
      <c r="K3" s="74"/>
    </row>
    <row r="4" spans="1:16" ht="18" x14ac:dyDescent="0.35">
      <c r="A4" s="81" t="s">
        <v>360</v>
      </c>
      <c r="B4" s="82"/>
      <c r="C4" s="83"/>
      <c r="D4" s="83"/>
      <c r="E4" s="84"/>
      <c r="F4" s="85"/>
      <c r="G4" s="82"/>
      <c r="H4" s="83"/>
      <c r="I4" s="83"/>
      <c r="J4" s="84"/>
      <c r="K4" s="111"/>
      <c r="L4" s="209"/>
      <c r="M4" s="210"/>
      <c r="N4" s="211"/>
      <c r="O4" s="210"/>
    </row>
    <row r="5" spans="1:16" ht="20.399999999999999" x14ac:dyDescent="0.35">
      <c r="A5" s="87"/>
      <c r="B5" s="940" t="s">
        <v>80</v>
      </c>
      <c r="C5" s="941"/>
      <c r="D5" s="941"/>
      <c r="E5" s="942"/>
      <c r="F5" s="89"/>
      <c r="G5" s="940" t="s">
        <v>472</v>
      </c>
      <c r="H5" s="941"/>
      <c r="I5" s="941"/>
      <c r="J5" s="942"/>
      <c r="K5" s="88"/>
      <c r="L5" s="943" t="s">
        <v>137</v>
      </c>
      <c r="M5" s="938"/>
      <c r="N5" s="937" t="s">
        <v>138</v>
      </c>
      <c r="O5" s="938"/>
    </row>
    <row r="6" spans="1:16" ht="17.399999999999999" x14ac:dyDescent="0.3">
      <c r="A6" s="90"/>
      <c r="B6" s="91"/>
      <c r="C6" s="92"/>
      <c r="D6" s="92" t="s">
        <v>81</v>
      </c>
      <c r="E6" s="93" t="s">
        <v>29</v>
      </c>
      <c r="F6" s="94"/>
      <c r="G6" s="91"/>
      <c r="H6" s="92"/>
      <c r="I6" s="92" t="s">
        <v>81</v>
      </c>
      <c r="J6" s="93" t="s">
        <v>29</v>
      </c>
      <c r="K6" s="99"/>
      <c r="L6" s="212"/>
      <c r="M6" s="213"/>
      <c r="N6" s="214"/>
      <c r="O6" s="213"/>
    </row>
    <row r="7" spans="1:16" ht="16.2" x14ac:dyDescent="0.35">
      <c r="A7" s="95" t="s">
        <v>82</v>
      </c>
      <c r="B7" s="96">
        <v>2020</v>
      </c>
      <c r="C7" s="96">
        <v>2021</v>
      </c>
      <c r="D7" s="97" t="s">
        <v>83</v>
      </c>
      <c r="E7" s="98" t="s">
        <v>30</v>
      </c>
      <c r="F7" s="94"/>
      <c r="G7" s="96">
        <v>2020</v>
      </c>
      <c r="H7" s="96">
        <v>2021</v>
      </c>
      <c r="I7" s="97" t="s">
        <v>83</v>
      </c>
      <c r="J7" s="98" t="s">
        <v>30</v>
      </c>
      <c r="K7" s="99"/>
      <c r="L7" s="215">
        <v>2015</v>
      </c>
      <c r="M7" s="216">
        <v>2016</v>
      </c>
      <c r="N7" s="217">
        <v>2015</v>
      </c>
      <c r="O7" s="216">
        <v>2016</v>
      </c>
      <c r="P7" s="86" t="s">
        <v>141</v>
      </c>
    </row>
    <row r="8" spans="1:16" ht="18" x14ac:dyDescent="0.35">
      <c r="A8" s="100" t="s">
        <v>0</v>
      </c>
      <c r="B8" s="128"/>
      <c r="C8" s="102"/>
      <c r="D8" s="103"/>
      <c r="E8" s="403"/>
      <c r="F8" s="175"/>
      <c r="G8" s="128"/>
      <c r="H8" s="128"/>
      <c r="I8" s="102"/>
      <c r="J8" s="403"/>
      <c r="K8" s="138"/>
      <c r="L8" s="218" t="s">
        <v>0</v>
      </c>
      <c r="M8" s="219"/>
      <c r="N8" s="220"/>
      <c r="O8" s="219"/>
      <c r="P8" s="86" t="s">
        <v>149</v>
      </c>
    </row>
    <row r="9" spans="1:16" ht="18" x14ac:dyDescent="0.35">
      <c r="A9" s="191" t="s">
        <v>493</v>
      </c>
      <c r="B9" s="175">
        <f>'Codan Forsikring'!B7+'Codan Forsikring'!B22+'Codan Forsikring'!B36+'Codan Forsikring'!B47+'Codan Forsikring'!B66+'Codan Forsikring'!B134</f>
        <v>0</v>
      </c>
      <c r="C9" s="175">
        <f>'Codan Forsikring'!C7+'Codan Forsikring'!C22+'Codan Forsikring'!C36+'Codan Forsikring'!C47+'Codan Forsikring'!C66+'Codan Forsikring'!C134</f>
        <v>82704</v>
      </c>
      <c r="D9" s="103" t="str">
        <f>IF(B9=0, "    ---- ", IF(ABS(ROUND(100/B9*C9-100,1))&lt;999,ROUND(100/B9*C9-100,1),IF(ROUND(100/B9*C9-100,1)&gt;999,999,-999)))</f>
        <v xml:space="preserve">    ---- </v>
      </c>
      <c r="E9" s="403">
        <f t="shared" ref="E9:E33" si="0">100/C$34*C9</f>
        <v>0.10614248227693342</v>
      </c>
      <c r="F9" s="102"/>
      <c r="G9" s="175">
        <f>'Codan Forsikring'!B10+'Codan Forsikring'!B29+'Codan Forsikring'!B37+'Codan Forsikring'!B87+'Codan Forsikring'!B135</f>
        <v>0</v>
      </c>
      <c r="H9" s="175">
        <f>'Codan Forsikring'!C10+'Codan Forsikring'!C29+'Codan Forsikring'!C37+'Codan Forsikring'!C87+'Codan Forsikring'!C135</f>
        <v>0</v>
      </c>
      <c r="I9" s="103" t="str">
        <f>IF(G9=0, "    ---- ", IF(ABS(ROUND(100/G9*H9-100,1))&lt;999,ROUND(100/G9*H9-100,1),IF(ROUND(100/G9*H9-100,1)&gt;999,999,-999)))</f>
        <v xml:space="preserve">    ---- </v>
      </c>
      <c r="J9" s="403">
        <f t="shared" ref="J9:J33" si="1">100/H$34*H9</f>
        <v>0</v>
      </c>
      <c r="K9" s="138"/>
      <c r="L9" s="218"/>
      <c r="M9" s="219"/>
      <c r="N9" s="221"/>
      <c r="O9" s="219"/>
    </row>
    <row r="10" spans="1:16" ht="18" x14ac:dyDescent="0.35">
      <c r="A10" s="191" t="s">
        <v>84</v>
      </c>
      <c r="B10" s="175">
        <f>'Danica Pensjonsforsikring'!B7+'Danica Pensjonsforsikring'!B22+'Danica Pensjonsforsikring'!B36+'Danica Pensjonsforsikring'!B47+'Danica Pensjonsforsikring'!B66+'Danica Pensjonsforsikring'!B134</f>
        <v>430556.18900000001</v>
      </c>
      <c r="C10" s="175">
        <f>'Danica Pensjonsforsikring'!C7+'Danica Pensjonsforsikring'!C22+'Danica Pensjonsforsikring'!C36+'Danica Pensjonsforsikring'!C47+'Danica Pensjonsforsikring'!C66+'Danica Pensjonsforsikring'!C134</f>
        <v>434013.95000000007</v>
      </c>
      <c r="D10" s="103">
        <f t="shared" ref="D10:D33" si="2">IF(B10=0, "    ---- ", IF(ABS(ROUND(100/B10*C10-100,1))&lt;999,ROUND(100/B10*C10-100,1),IF(ROUND(100/B10*C10-100,1)&gt;999,999,-999)))</f>
        <v>0.8</v>
      </c>
      <c r="E10" s="403">
        <f t="shared" si="0"/>
        <v>0.55701438861260488</v>
      </c>
      <c r="F10" s="102"/>
      <c r="G10" s="175">
        <f>'Danica Pensjonsforsikring'!B10+'Danica Pensjonsforsikring'!B29+'Danica Pensjonsforsikring'!B37+'Danica Pensjonsforsikring'!B87+'Danica Pensjonsforsikring'!B135</f>
        <v>1320149.652</v>
      </c>
      <c r="H10" s="175">
        <f>'Danica Pensjonsforsikring'!C10+'Danica Pensjonsforsikring'!C29+'Danica Pensjonsforsikring'!C37+'Danica Pensjonsforsikring'!C87+'Danica Pensjonsforsikring'!C135</f>
        <v>1398802.868</v>
      </c>
      <c r="I10" s="103">
        <f t="shared" ref="I10:I31" si="3">IF(G10=0, "    ---- ", IF(ABS(ROUND(100/G10*H10-100,1))&lt;999,ROUND(100/G10*H10-100,1),IF(ROUND(100/G10*H10-100,1)&gt;999,999,-999)))</f>
        <v>6</v>
      </c>
      <c r="J10" s="403">
        <f t="shared" si="1"/>
        <v>0.12058761656269218</v>
      </c>
      <c r="K10" s="205" t="s">
        <v>145</v>
      </c>
      <c r="L10" s="221" t="e">
        <f ca="1">INDIRECT("'" &amp;#REF! &amp; "'!" &amp; $P$7)</f>
        <v>#REF!</v>
      </c>
      <c r="M10" s="219" t="e">
        <f ca="1">INDIRECT("'" &amp;#REF! &amp; "'!" &amp; $P$8)</f>
        <v>#REF!</v>
      </c>
      <c r="N10" s="221" t="e">
        <f ca="1">INDIRECT("'" &amp;#REF! &amp; "'!" &amp; $P$10)</f>
        <v>#REF!</v>
      </c>
      <c r="O10" s="219" t="e">
        <f ca="1">INDIRECT("'" &amp;#REF! &amp; "'!" &amp; $P$12)</f>
        <v>#REF!</v>
      </c>
      <c r="P10" s="86" t="s">
        <v>153</v>
      </c>
    </row>
    <row r="11" spans="1:16" ht="18" x14ac:dyDescent="0.35">
      <c r="A11" s="107" t="s">
        <v>489</v>
      </c>
      <c r="B11" s="175">
        <f>'DNB Bedriftspensjon'!B7+'DNB Bedriftspensjon'!B22+'DNB Bedriftspensjon'!B36+'DNB Bedriftspensjon'!B47+'DNB Bedriftspensjon'!B66+'DNB Bedriftspensjon'!B134</f>
        <v>98726</v>
      </c>
      <c r="C11" s="175">
        <f>'DNB Bedriftspensjon'!C7+'DNB Bedriftspensjon'!C22+'DNB Bedriftspensjon'!C36+'DNB Bedriftspensjon'!C47+'DNB Bedriftspensjon'!C66+'DNB Bedriftspensjon'!C134</f>
        <v>0</v>
      </c>
      <c r="D11" s="103">
        <f>IF(B11=0, "    ---- ", IF(ABS(ROUND(100/B11*C11-100,1))&lt;999,ROUND(100/B11*C11-100,1),IF(ROUND(100/B11*C11-100,1)&gt;999,999,-999)))</f>
        <v>-100</v>
      </c>
      <c r="E11" s="403">
        <f t="shared" si="0"/>
        <v>0</v>
      </c>
      <c r="F11" s="102"/>
      <c r="G11" s="175">
        <f>'DNB Bedriftspensjon'!B10+'DNB Bedriftspensjon'!B29+'DNB Bedriftspensjon'!B37+'DNB Bedriftspensjon'!B87+'DNB Bedriftspensjon'!B135</f>
        <v>1799572</v>
      </c>
      <c r="H11" s="175">
        <f>'DNB Bedriftspensjon'!C10+'DNB Bedriftspensjon'!C29+'DNB Bedriftspensjon'!C37+'DNB Bedriftspensjon'!C87+'DNB Bedriftspensjon'!C135</f>
        <v>0</v>
      </c>
      <c r="I11" s="103">
        <f t="shared" si="3"/>
        <v>-100</v>
      </c>
      <c r="J11" s="403">
        <f t="shared" si="1"/>
        <v>0</v>
      </c>
      <c r="K11" s="138"/>
      <c r="L11" s="221">
        <f ca="1">INDIRECT("'" &amp; $A23 &amp; "'!" &amp; $P$7)</f>
        <v>0</v>
      </c>
      <c r="M11" s="219">
        <f ca="1">INDIRECT("'" &amp; $A23 &amp; "'!" &amp; $P$8)</f>
        <v>0</v>
      </c>
      <c r="N11" s="221">
        <f ca="1">INDIRECT("'" &amp; $A23 &amp; "'!" &amp; $P$10)</f>
        <v>0</v>
      </c>
      <c r="O11" s="219">
        <f ca="1">INDIRECT("'" &amp; $A23 &amp; "'!" &amp; $P$12)</f>
        <v>0</v>
      </c>
    </row>
    <row r="12" spans="1:16" ht="18" x14ac:dyDescent="0.35">
      <c r="A12" s="191" t="s">
        <v>85</v>
      </c>
      <c r="B12" s="175">
        <f>'DNB Livsforsikring'!B7+'DNB Livsforsikring'!B22+'DNB Livsforsikring'!B36+'DNB Livsforsikring'!B47+'DNB Livsforsikring'!B66+'DNB Livsforsikring'!B134</f>
        <v>3463853.92227</v>
      </c>
      <c r="C12" s="175">
        <f>'DNB Livsforsikring'!C7+'DNB Livsforsikring'!C22+'DNB Livsforsikring'!C36+'DNB Livsforsikring'!C47+'DNB Livsforsikring'!C66+'DNB Livsforsikring'!C134</f>
        <v>3182644.2884499999</v>
      </c>
      <c r="D12" s="103">
        <f t="shared" si="2"/>
        <v>-8.1</v>
      </c>
      <c r="E12" s="403">
        <f t="shared" si="0"/>
        <v>4.084612170881547</v>
      </c>
      <c r="F12" s="102"/>
      <c r="G12" s="175">
        <f>'DNB Livsforsikring'!B10+'DNB Livsforsikring'!B29+'DNB Livsforsikring'!B37+'DNB Livsforsikring'!B87+'DNB Livsforsikring'!B135</f>
        <v>193584584.22384</v>
      </c>
      <c r="H12" s="175">
        <f>'DNB Livsforsikring'!C10+'DNB Livsforsikring'!C29+'DNB Livsforsikring'!C37+'DNB Livsforsikring'!C87+'DNB Livsforsikring'!C135</f>
        <v>193517916</v>
      </c>
      <c r="I12" s="103">
        <f t="shared" si="3"/>
        <v>0</v>
      </c>
      <c r="J12" s="403">
        <f t="shared" si="1"/>
        <v>16.68273978161394</v>
      </c>
      <c r="K12" s="206" t="s">
        <v>146</v>
      </c>
      <c r="L12" s="221">
        <f ca="1">INDIRECT("'" &amp; $A10 &amp; "'!" &amp; $P$7)</f>
        <v>0</v>
      </c>
      <c r="M12" s="219">
        <f ca="1">INDIRECT("'" &amp; $A10 &amp; "'!" &amp; $P$8)</f>
        <v>0</v>
      </c>
      <c r="N12" s="221">
        <f ca="1">INDIRECT("'" &amp; $A10 &amp; "'!" &amp; $P$10)</f>
        <v>0</v>
      </c>
      <c r="O12" s="219">
        <f ca="1">INDIRECT("'" &amp; $A10 &amp; "'!" &amp; $P$12)</f>
        <v>0</v>
      </c>
      <c r="P12" s="86" t="s">
        <v>158</v>
      </c>
    </row>
    <row r="13" spans="1:16" ht="18" x14ac:dyDescent="0.35">
      <c r="A13" s="191" t="s">
        <v>86</v>
      </c>
      <c r="B13" s="175">
        <f>'Eika Forsikring AS'!B7+'Eika Forsikring AS'!B22+'Eika Forsikring AS'!B36+'Eika Forsikring AS'!B47+'Eika Forsikring AS'!B66+'Eika Forsikring AS'!B134</f>
        <v>335372</v>
      </c>
      <c r="C13" s="175">
        <f>'Eika Forsikring AS'!C7+'Eika Forsikring AS'!C22+'Eika Forsikring AS'!C36+'Eika Forsikring AS'!C47+'Eika Forsikring AS'!C66+'Eika Forsikring AS'!C134</f>
        <v>375779</v>
      </c>
      <c r="D13" s="103">
        <f t="shared" si="2"/>
        <v>12</v>
      </c>
      <c r="E13" s="403">
        <f t="shared" si="0"/>
        <v>0.48227553501092768</v>
      </c>
      <c r="F13" s="102"/>
      <c r="G13" s="175">
        <f>'Eika Forsikring AS'!B10+'Eika Forsikring AS'!B29+'Eika Forsikring AS'!B37+'Eika Forsikring AS'!B87+'Eika Forsikring AS'!B135</f>
        <v>543598</v>
      </c>
      <c r="H13" s="175">
        <f>'Eika Forsikring AS'!C10+'Eika Forsikring AS'!C29+'Eika Forsikring AS'!C37+'Eika Forsikring AS'!C87+'Eika Forsikring AS'!C135</f>
        <v>572507</v>
      </c>
      <c r="I13" s="103">
        <f t="shared" si="3"/>
        <v>5.3</v>
      </c>
      <c r="J13" s="403">
        <f t="shared" si="1"/>
        <v>4.9354527485467814E-2</v>
      </c>
      <c r="K13" s="86" t="s">
        <v>139</v>
      </c>
      <c r="L13" s="221">
        <f ca="1">INDIRECT("'" &amp; $A12 &amp; "'!" &amp; $P$7)</f>
        <v>0</v>
      </c>
      <c r="M13" s="219">
        <f ca="1">INDIRECT("'" &amp; $A12 &amp; "'!" &amp; $P$8)</f>
        <v>0</v>
      </c>
      <c r="N13" s="221">
        <f ca="1">INDIRECT("'" &amp; $A12 &amp; "'!" &amp; $P$10)</f>
        <v>0</v>
      </c>
      <c r="O13" s="219">
        <f ca="1">INDIRECT("'" &amp; $A12 &amp; "'!" &amp; $P$12)</f>
        <v>0</v>
      </c>
    </row>
    <row r="14" spans="1:16" ht="18" x14ac:dyDescent="0.35">
      <c r="A14" s="191" t="s">
        <v>494</v>
      </c>
      <c r="B14" s="175">
        <f>'Euro Accident'!B7+'Euro Accident'!B22+'Euro Accident'!B36+'Euro Accident'!B47+'Euro Accident'!B66+'Euro Accident'!B134</f>
        <v>0</v>
      </c>
      <c r="C14" s="175">
        <f>'Euro Accident'!C7+'Euro Accident'!C22+'Euro Accident'!C36+'Euro Accident'!C47+'Euro Accident'!C66+'Euro Accident'!C134</f>
        <v>10960</v>
      </c>
      <c r="D14" s="103" t="str">
        <f>IF(B14=0, "    ---- ", IF(ABS(ROUND(100/B14*C14-100,1))&lt;999,ROUND(100/B14*C14-100,1),IF(ROUND(100/B14*C14-100,1)&gt;999,999,-999)))</f>
        <v xml:space="preserve">    ---- </v>
      </c>
      <c r="E14" s="403">
        <f t="shared" si="0"/>
        <v>1.4066086353201663E-2</v>
      </c>
      <c r="F14" s="102"/>
      <c r="G14" s="175">
        <f>'Euro Accident'!B10+'Euro Accident'!B29+'Euro Accident'!B37+'Euro Accident'!B87+'Euro Accident'!B135</f>
        <v>0</v>
      </c>
      <c r="H14" s="175">
        <f>'Euro Accident'!C10+'Euro Accident'!C29+'Euro Accident'!C37+'Euro Accident'!C87+'Euro Accident'!C135</f>
        <v>0</v>
      </c>
      <c r="I14" s="103" t="str">
        <f>IF(G14=0, "    ---- ", IF(ABS(ROUND(100/G14*H14-100,1))&lt;999,ROUND(100/G14*H14-100,1),IF(ROUND(100/G14*H14-100,1)&gt;999,999,-999)))</f>
        <v xml:space="preserve">    ---- </v>
      </c>
      <c r="J14" s="403">
        <f t="shared" si="1"/>
        <v>0</v>
      </c>
      <c r="L14" s="221"/>
      <c r="M14" s="219"/>
      <c r="N14" s="221"/>
      <c r="O14" s="219"/>
    </row>
    <row r="15" spans="1:16" ht="18" x14ac:dyDescent="0.35">
      <c r="A15" s="107" t="s">
        <v>479</v>
      </c>
      <c r="B15" s="175">
        <f>'Fremtind Livsforsikring'!B7+'Fremtind Livsforsikring'!B22+'Fremtind Livsforsikring'!B36+'Fremtind Livsforsikring'!B47+'Fremtind Livsforsikring'!B66+'Fremtind Livsforsikring'!B134</f>
        <v>2912282.94184</v>
      </c>
      <c r="C15" s="175">
        <f>'Fremtind Livsforsikring'!C7+'Fremtind Livsforsikring'!C22+'Fremtind Livsforsikring'!C36+'Fremtind Livsforsikring'!C47+'Fremtind Livsforsikring'!C66+'Fremtind Livsforsikring'!C134</f>
        <v>3074791.8314700001</v>
      </c>
      <c r="D15" s="103">
        <f t="shared" si="2"/>
        <v>5.6</v>
      </c>
      <c r="E15" s="403">
        <f t="shared" si="0"/>
        <v>3.9461941076255576</v>
      </c>
      <c r="F15" s="102"/>
      <c r="G15" s="175">
        <f>'Fremtind Livsforsikring'!B10+'Fremtind Livsforsikring'!B29+'Fremtind Livsforsikring'!B37+'Fremtind Livsforsikring'!B87+'Fremtind Livsforsikring'!B135</f>
        <v>3822716.1325900001</v>
      </c>
      <c r="H15" s="175">
        <f>'Fremtind Livsforsikring'!C10+'Fremtind Livsforsikring'!C29+'Fremtind Livsforsikring'!C37+'Fremtind Livsforsikring'!C87+'Fremtind Livsforsikring'!C135</f>
        <v>4274504.1585400002</v>
      </c>
      <c r="I15" s="103">
        <f t="shared" si="3"/>
        <v>11.8</v>
      </c>
      <c r="J15" s="403">
        <f t="shared" si="1"/>
        <v>0.36849528997795472</v>
      </c>
      <c r="K15" s="86" t="s">
        <v>147</v>
      </c>
      <c r="L15" s="221">
        <f ca="1">INDIRECT("'" &amp; $A13 &amp; "'!" &amp; $P$7)</f>
        <v>0</v>
      </c>
      <c r="M15" s="219">
        <f ca="1">INDIRECT("'" &amp; $A13 &amp; "'!" &amp; $P$8)</f>
        <v>0</v>
      </c>
      <c r="N15" s="221">
        <f ca="1">INDIRECT("'" &amp; $A13 &amp; "'!" &amp; $P$10)</f>
        <v>0</v>
      </c>
      <c r="O15" s="219">
        <f ca="1">INDIRECT("'" &amp; $A13 &amp; "'!" &amp; $P$12)</f>
        <v>0</v>
      </c>
    </row>
    <row r="16" spans="1:16" ht="18" x14ac:dyDescent="0.35">
      <c r="A16" s="191" t="s">
        <v>87</v>
      </c>
      <c r="B16" s="176">
        <f>'Frende Livsforsikring'!B7+'Frende Livsforsikring'!B22+'Frende Livsforsikring'!B36+'Frende Livsforsikring'!B47+'Frende Livsforsikring'!B66+'Frende Livsforsikring'!B134</f>
        <v>496774</v>
      </c>
      <c r="C16" s="176">
        <f>'Frende Livsforsikring'!C7+'Frende Livsforsikring'!C22+'Frende Livsforsikring'!C36+'Frende Livsforsikring'!C47+'Frende Livsforsikring'!C66+'Frende Livsforsikring'!C134</f>
        <v>458515</v>
      </c>
      <c r="D16" s="103">
        <f t="shared" si="2"/>
        <v>-7.7</v>
      </c>
      <c r="E16" s="403">
        <f t="shared" si="0"/>
        <v>0.58845908615312592</v>
      </c>
      <c r="F16" s="102"/>
      <c r="G16" s="175">
        <f>'Frende Livsforsikring'!B10+'Frende Livsforsikring'!B29+'Frende Livsforsikring'!B37+'Frende Livsforsikring'!B87+'Frende Livsforsikring'!B135</f>
        <v>790605</v>
      </c>
      <c r="H16" s="175">
        <f>'Frende Livsforsikring'!C10+'Frende Livsforsikring'!C29+'Frende Livsforsikring'!C37+'Frende Livsforsikring'!C87+'Frende Livsforsikring'!C135</f>
        <v>1050219</v>
      </c>
      <c r="I16" s="103">
        <f t="shared" si="3"/>
        <v>32.799999999999997</v>
      </c>
      <c r="J16" s="403">
        <f t="shared" si="1"/>
        <v>9.053699343634318E-2</v>
      </c>
      <c r="L16" s="221"/>
      <c r="M16" s="219"/>
      <c r="N16" s="221"/>
      <c r="O16" s="219"/>
    </row>
    <row r="17" spans="1:18" ht="18" x14ac:dyDescent="0.35">
      <c r="A17" s="191" t="s">
        <v>88</v>
      </c>
      <c r="B17" s="175">
        <f>'Frende Skadeforsikring'!B7+'Frende Skadeforsikring'!B22+'Frende Skadeforsikring'!B36+'Frende Skadeforsikring'!B47+'Frende Skadeforsikring'!B66+'Frende Skadeforsikring'!B134</f>
        <v>6351.5640000000003</v>
      </c>
      <c r="C17" s="175">
        <f>'Frende Skadeforsikring'!C7+'Frende Skadeforsikring'!C22+'Frende Skadeforsikring'!C36+'Frende Skadeforsikring'!C47+'Frende Skadeforsikring'!C66+'Frende Skadeforsikring'!C134</f>
        <v>7999.02</v>
      </c>
      <c r="D17" s="103">
        <f t="shared" si="2"/>
        <v>25.9</v>
      </c>
      <c r="E17" s="403">
        <f t="shared" si="0"/>
        <v>1.0265958582206858E-2</v>
      </c>
      <c r="F17" s="102"/>
      <c r="G17" s="175">
        <f>'Frende Skadeforsikring'!B10+'Frende Skadeforsikring'!B29+'Frende Skadeforsikring'!B37+'Frende Skadeforsikring'!B87+'Frende Skadeforsikring'!B135</f>
        <v>0</v>
      </c>
      <c r="H17" s="175">
        <f>'Frende Skadeforsikring'!C10+'Frende Skadeforsikring'!C29+'Frende Skadeforsikring'!C37+'Frende Skadeforsikring'!C87+'Frende Skadeforsikring'!C135</f>
        <v>0</v>
      </c>
      <c r="I17" s="103" t="str">
        <f t="shared" si="3"/>
        <v xml:space="preserve">    ---- </v>
      </c>
      <c r="J17" s="403">
        <f t="shared" si="1"/>
        <v>0</v>
      </c>
      <c r="K17" s="86" t="s">
        <v>140</v>
      </c>
      <c r="L17" s="221">
        <f t="shared" ref="L17:L33" ca="1" si="4">INDIRECT("'" &amp; $A16 &amp; "'!" &amp; $P$7)</f>
        <v>0</v>
      </c>
      <c r="M17" s="219">
        <f t="shared" ref="M17:M33" ca="1" si="5">INDIRECT("'" &amp; $A16 &amp; "'!" &amp; $P$8)</f>
        <v>0</v>
      </c>
      <c r="N17" s="221">
        <f t="shared" ref="N17:N33" ca="1" si="6">INDIRECT("'" &amp; $A16 &amp; "'!" &amp; $P$10)</f>
        <v>0</v>
      </c>
      <c r="O17" s="219">
        <f t="shared" ref="O17:O33" ca="1" si="7">INDIRECT("'" &amp; $A16 &amp; "'!" &amp; $P$12)</f>
        <v>0</v>
      </c>
    </row>
    <row r="18" spans="1:18" ht="18" x14ac:dyDescent="0.35">
      <c r="A18" s="191" t="s">
        <v>89</v>
      </c>
      <c r="B18" s="175">
        <f>'Gjensidige Forsikring'!B7+'Gjensidige Forsikring'!B22+'Gjensidige Forsikring'!B36+'Gjensidige Forsikring'!B47+'Gjensidige Forsikring'!B66+'Gjensidige Forsikring'!B134</f>
        <v>1666418</v>
      </c>
      <c r="C18" s="175">
        <f>'Gjensidige Forsikring'!C7+'Gjensidige Forsikring'!C22+'Gjensidige Forsikring'!C36+'Gjensidige Forsikring'!C47+'Gjensidige Forsikring'!C66+'Gjensidige Forsikring'!C134</f>
        <v>1910669.1639999999</v>
      </c>
      <c r="D18" s="103">
        <f t="shared" si="2"/>
        <v>14.7</v>
      </c>
      <c r="E18" s="403">
        <f t="shared" si="0"/>
        <v>2.4521567019364623</v>
      </c>
      <c r="F18" s="102"/>
      <c r="G18" s="175">
        <f>'Gjensidige Forsikring'!B10+'Gjensidige Forsikring'!B29+'Gjensidige Forsikring'!B37+'Gjensidige Forsikring'!B87+'Gjensidige Forsikring'!B135</f>
        <v>1127127</v>
      </c>
      <c r="H18" s="175">
        <f>'Gjensidige Forsikring'!C10+'Gjensidige Forsikring'!C29+'Gjensidige Forsikring'!C37+'Gjensidige Forsikring'!C87+'Gjensidige Forsikring'!C135</f>
        <v>1138879</v>
      </c>
      <c r="I18" s="103">
        <f t="shared" si="3"/>
        <v>1</v>
      </c>
      <c r="J18" s="403">
        <f t="shared" si="1"/>
        <v>9.8180170562319938E-2</v>
      </c>
      <c r="K18" s="86" t="s">
        <v>148</v>
      </c>
      <c r="L18" s="221">
        <f t="shared" ca="1" si="4"/>
        <v>0</v>
      </c>
      <c r="M18" s="219">
        <f t="shared" ca="1" si="5"/>
        <v>0</v>
      </c>
      <c r="N18" s="221">
        <f t="shared" ca="1" si="6"/>
        <v>0</v>
      </c>
      <c r="O18" s="219">
        <f t="shared" ca="1" si="7"/>
        <v>0</v>
      </c>
    </row>
    <row r="19" spans="1:18" ht="18" x14ac:dyDescent="0.35">
      <c r="A19" s="191" t="s">
        <v>90</v>
      </c>
      <c r="B19" s="175">
        <f>'Gjensidige Pensjon'!B7+'Gjensidige Pensjon'!B22+'Gjensidige Pensjon'!B36+'Gjensidige Pensjon'!B47+'Gjensidige Pensjon'!B66+'Gjensidige Pensjon'!B134</f>
        <v>662338</v>
      </c>
      <c r="C19" s="175">
        <f>'Gjensidige Pensjon'!C7+'Gjensidige Pensjon'!C22+'Gjensidige Pensjon'!C36+'Gjensidige Pensjon'!C47+'Gjensidige Pensjon'!C66+'Gjensidige Pensjon'!C134</f>
        <v>726294</v>
      </c>
      <c r="D19" s="103">
        <f t="shared" si="2"/>
        <v>9.6999999999999993</v>
      </c>
      <c r="E19" s="403">
        <f t="shared" si="0"/>
        <v>0.93212720089527812</v>
      </c>
      <c r="F19" s="102"/>
      <c r="G19" s="175">
        <f>'Gjensidige Pensjon'!B10+'Gjensidige Pensjon'!B29+'Gjensidige Pensjon'!B37+'Gjensidige Pensjon'!B87+'Gjensidige Pensjon'!B135</f>
        <v>7662525</v>
      </c>
      <c r="H19" s="175">
        <f>'Gjensidige Pensjon'!C10+'Gjensidige Pensjon'!C29+'Gjensidige Pensjon'!C37+'Gjensidige Pensjon'!C87+'Gjensidige Pensjon'!C135</f>
        <v>8230173</v>
      </c>
      <c r="I19" s="103">
        <f t="shared" si="3"/>
        <v>7.4</v>
      </c>
      <c r="J19" s="403">
        <f t="shared" si="1"/>
        <v>0.70950451180274665</v>
      </c>
      <c r="K19" s="86" t="s">
        <v>141</v>
      </c>
      <c r="L19" s="221">
        <f t="shared" ca="1" si="4"/>
        <v>0</v>
      </c>
      <c r="M19" s="219">
        <f t="shared" ca="1" si="5"/>
        <v>0</v>
      </c>
      <c r="N19" s="221">
        <f t="shared" ca="1" si="6"/>
        <v>0</v>
      </c>
      <c r="O19" s="219">
        <f t="shared" ca="1" si="7"/>
        <v>0</v>
      </c>
    </row>
    <row r="20" spans="1:18" ht="18" x14ac:dyDescent="0.35">
      <c r="A20" s="191" t="s">
        <v>91</v>
      </c>
      <c r="B20" s="175">
        <f>'Handelsbanken Liv'!B7+'Handelsbanken Liv'!B22+'Handelsbanken Liv'!B36+'Handelsbanken Liv'!B47+'Handelsbanken Liv'!B66+'Handelsbanken Liv'!B134</f>
        <v>34452.757850000002</v>
      </c>
      <c r="C20" s="175">
        <f>'Handelsbanken Liv'!C7+'Handelsbanken Liv'!C22+'Handelsbanken Liv'!C36+'Handelsbanken Liv'!C47+'Handelsbanken Liv'!C66+'Handelsbanken Liv'!C134</f>
        <v>34165.241999999998</v>
      </c>
      <c r="D20" s="103">
        <f t="shared" si="2"/>
        <v>-0.8</v>
      </c>
      <c r="E20" s="403">
        <f t="shared" si="0"/>
        <v>4.3847741263689073E-2</v>
      </c>
      <c r="F20" s="102"/>
      <c r="G20" s="175">
        <f>'Handelsbanken Liv'!B10+'Handelsbanken Liv'!B29+'Handelsbanken Liv'!B37+'Handelsbanken Liv'!B87+'Handelsbanken Liv'!B135</f>
        <v>22414.323470655629</v>
      </c>
      <c r="H20" s="175">
        <f>'Handelsbanken Liv'!C10+'Handelsbanken Liv'!C29+'Handelsbanken Liv'!C37+'Handelsbanken Liv'!C87+'Handelsbanken Liv'!C135</f>
        <v>22010.537</v>
      </c>
      <c r="I20" s="103">
        <f t="shared" si="3"/>
        <v>-1.8</v>
      </c>
      <c r="J20" s="403">
        <f t="shared" si="1"/>
        <v>1.897478377271206E-3</v>
      </c>
      <c r="K20" s="86" t="s">
        <v>149</v>
      </c>
      <c r="L20" s="221">
        <f t="shared" ca="1" si="4"/>
        <v>0</v>
      </c>
      <c r="M20" s="219">
        <f t="shared" ca="1" si="5"/>
        <v>0</v>
      </c>
      <c r="N20" s="221">
        <f t="shared" ca="1" si="6"/>
        <v>0</v>
      </c>
      <c r="O20" s="219">
        <f t="shared" ca="1" si="7"/>
        <v>0</v>
      </c>
    </row>
    <row r="21" spans="1:18" ht="18" x14ac:dyDescent="0.35">
      <c r="A21" s="191" t="s">
        <v>92</v>
      </c>
      <c r="B21" s="175">
        <f>'If Skadeforsikring NUF'!B7+'If Skadeforsikring NUF'!B22+'If Skadeforsikring NUF'!B36+'If Skadeforsikring NUF'!B47+'If Skadeforsikring NUF'!B66+'If Skadeforsikring NUF'!B134</f>
        <v>508488.73802438495</v>
      </c>
      <c r="C21" s="175">
        <f>'If Skadeforsikring NUF'!C7+'If Skadeforsikring NUF'!C22+'If Skadeforsikring NUF'!C36+'If Skadeforsikring NUF'!C47+'If Skadeforsikring NUF'!C66+'If Skadeforsikring NUF'!C134</f>
        <v>535456.72047683294</v>
      </c>
      <c r="D21" s="103">
        <f t="shared" si="2"/>
        <v>5.3</v>
      </c>
      <c r="E21" s="403">
        <f t="shared" si="0"/>
        <v>0.6872062471377095</v>
      </c>
      <c r="F21" s="102"/>
      <c r="G21" s="175">
        <f>'If Skadeforsikring NUF'!B10+'If Skadeforsikring NUF'!B29+'If Skadeforsikring NUF'!B37+'If Skadeforsikring NUF'!B87+'If Skadeforsikring NUF'!B135</f>
        <v>513146.81849719601</v>
      </c>
      <c r="H21" s="175">
        <f>'If Skadeforsikring NUF'!C10+'If Skadeforsikring NUF'!C29+'If Skadeforsikring NUF'!C37+'If Skadeforsikring NUF'!C87+'If Skadeforsikring NUF'!C135</f>
        <v>556565.27800000005</v>
      </c>
      <c r="I21" s="103">
        <f t="shared" si="3"/>
        <v>8.5</v>
      </c>
      <c r="J21" s="403">
        <f t="shared" si="1"/>
        <v>4.7980227858363374E-2</v>
      </c>
      <c r="K21" s="138"/>
      <c r="L21" s="221">
        <f t="shared" ca="1" si="4"/>
        <v>0</v>
      </c>
      <c r="M21" s="219">
        <f t="shared" ca="1" si="5"/>
        <v>0</v>
      </c>
      <c r="N21" s="221">
        <f t="shared" ca="1" si="6"/>
        <v>0</v>
      </c>
      <c r="O21" s="219">
        <f t="shared" ca="1" si="7"/>
        <v>0</v>
      </c>
    </row>
    <row r="22" spans="1:18" ht="18" x14ac:dyDescent="0.35">
      <c r="A22" s="191" t="s">
        <v>484</v>
      </c>
      <c r="B22" s="175">
        <f>Insr!B7+Insr!B22+Insr!B36+Insr!B47+Insr!B66+Insr!B134</f>
        <v>14663</v>
      </c>
      <c r="C22" s="175">
        <f>Insr!C7+Insr!C22+Insr!C36+Insr!C47+Insr!C66+Insr!C134</f>
        <v>0</v>
      </c>
      <c r="D22" s="103">
        <f t="shared" si="2"/>
        <v>-100</v>
      </c>
      <c r="E22" s="403">
        <f t="shared" si="0"/>
        <v>0</v>
      </c>
      <c r="F22" s="102"/>
      <c r="G22" s="175">
        <f>Insr!B10+Insr!B29+Insr!B37+Insr!B87+Insr!B135</f>
        <v>2056</v>
      </c>
      <c r="H22" s="175">
        <f>Insr!C10+Insr!C29+Insr!C37+Insr!C87+Insr!C135</f>
        <v>0</v>
      </c>
      <c r="I22" s="103">
        <f t="shared" si="3"/>
        <v>-100</v>
      </c>
      <c r="J22" s="403">
        <f t="shared" si="1"/>
        <v>0</v>
      </c>
      <c r="K22" s="138"/>
      <c r="L22" s="221">
        <f t="shared" ca="1" si="4"/>
        <v>0</v>
      </c>
      <c r="M22" s="219">
        <f t="shared" ca="1" si="5"/>
        <v>0</v>
      </c>
      <c r="N22" s="221">
        <f t="shared" ca="1" si="6"/>
        <v>0</v>
      </c>
      <c r="O22" s="219">
        <f t="shared" ca="1" si="7"/>
        <v>0</v>
      </c>
    </row>
    <row r="23" spans="1:18" ht="18" x14ac:dyDescent="0.35">
      <c r="A23" s="191" t="s">
        <v>63</v>
      </c>
      <c r="B23" s="175">
        <f>KLP!B7+KLP!B22+KLP!B36+KLP!B47+KLP!B66+KLP!B134</f>
        <v>34177241.879859999</v>
      </c>
      <c r="C23" s="175">
        <f>KLP!C7+KLP!C22+KLP!C36+KLP!C47+KLP!C66+KLP!C134</f>
        <v>50026045.50818</v>
      </c>
      <c r="D23" s="103">
        <f t="shared" si="2"/>
        <v>46.4</v>
      </c>
      <c r="E23" s="403">
        <f t="shared" si="0"/>
        <v>64.203528834603645</v>
      </c>
      <c r="F23" s="102"/>
      <c r="G23" s="175">
        <f>KLP!B10+KLP!B29+KLP!B37+KLP!B87+KLP!B135</f>
        <v>537548840.24074996</v>
      </c>
      <c r="H23" s="175">
        <f>KLP!C10+KLP!C29+KLP!C37+KLP!C87+KLP!C135</f>
        <v>574122994.44806004</v>
      </c>
      <c r="I23" s="103">
        <f t="shared" si="3"/>
        <v>6.8</v>
      </c>
      <c r="J23" s="403">
        <f t="shared" si="1"/>
        <v>49.49383869459389</v>
      </c>
      <c r="K23" s="138"/>
      <c r="L23" s="221">
        <f t="shared" ca="1" si="4"/>
        <v>0</v>
      </c>
      <c r="M23" s="219">
        <f t="shared" ca="1" si="5"/>
        <v>0</v>
      </c>
      <c r="N23" s="221">
        <f t="shared" ca="1" si="6"/>
        <v>0</v>
      </c>
      <c r="O23" s="219">
        <f t="shared" ca="1" si="7"/>
        <v>0</v>
      </c>
    </row>
    <row r="24" spans="1:18" ht="18" x14ac:dyDescent="0.35">
      <c r="A24" s="107" t="s">
        <v>93</v>
      </c>
      <c r="B24" s="175">
        <f>'KLP Skadeforsikring AS'!B7+'KLP Skadeforsikring AS'!B22+'KLP Skadeforsikring AS'!B36+'KLP Skadeforsikring AS'!B47+'KLP Skadeforsikring AS'!B66+'KLP Skadeforsikring AS'!B134</f>
        <v>194718</v>
      </c>
      <c r="C24" s="175">
        <f>'KLP Skadeforsikring AS'!C7+'KLP Skadeforsikring AS'!C22+'KLP Skadeforsikring AS'!C36+'KLP Skadeforsikring AS'!C47+'KLP Skadeforsikring AS'!C66+'KLP Skadeforsikring AS'!C134</f>
        <v>253776.878</v>
      </c>
      <c r="D24" s="103">
        <f t="shared" si="2"/>
        <v>30.3</v>
      </c>
      <c r="E24" s="403">
        <f t="shared" si="0"/>
        <v>0.3256977628096645</v>
      </c>
      <c r="F24" s="102"/>
      <c r="G24" s="175">
        <f>'KLP Skadeforsikring AS'!B10+'KLP Skadeforsikring AS'!B29+'KLP Skadeforsikring AS'!B37+'KLP Skadeforsikring AS'!B87+'KLP Skadeforsikring AS'!B135</f>
        <v>52996</v>
      </c>
      <c r="H24" s="175">
        <f>'KLP Skadeforsikring AS'!C10+'KLP Skadeforsikring AS'!C29+'KLP Skadeforsikring AS'!C37+'KLP Skadeforsikring AS'!C87+'KLP Skadeforsikring AS'!C135</f>
        <v>72087.316999999995</v>
      </c>
      <c r="I24" s="103">
        <f t="shared" si="3"/>
        <v>36</v>
      </c>
      <c r="J24" s="403">
        <f t="shared" si="1"/>
        <v>6.2144837848797149E-3</v>
      </c>
      <c r="K24" s="138"/>
      <c r="L24" s="221">
        <f ca="1">INDIRECT("'" &amp; $A11 &amp; "'!" &amp; $P$7)</f>
        <v>0</v>
      </c>
      <c r="M24" s="219">
        <f ca="1">INDIRECT("'" &amp; $A11 &amp; "'!" &amp; $P$8)</f>
        <v>0</v>
      </c>
      <c r="N24" s="221">
        <f ca="1">INDIRECT("'" &amp; $A11 &amp; "'!" &amp; $P$10)</f>
        <v>0</v>
      </c>
      <c r="O24" s="219">
        <f ca="1">INDIRECT("'" &amp; $A11 &amp; "'!" &amp; $P$12)</f>
        <v>0</v>
      </c>
    </row>
    <row r="25" spans="1:18" ht="18" x14ac:dyDescent="0.35">
      <c r="A25" s="107" t="s">
        <v>486</v>
      </c>
      <c r="B25" s="175">
        <f>'Landkreditt Forsikring'!B7+'Landkreditt Forsikring'!B22+'Landkreditt Forsikring'!B36+'Landkreditt Forsikring'!B47+'Landkreditt Forsikring'!B66+'Landkreditt Forsikring'!B134</f>
        <v>98068</v>
      </c>
      <c r="C25" s="175">
        <f>'Landkreditt Forsikring'!C7+'Landkreditt Forsikring'!C22+'Landkreditt Forsikring'!C36+'Landkreditt Forsikring'!C47+'Landkreditt Forsikring'!C66+'Landkreditt Forsikring'!C134</f>
        <v>112320</v>
      </c>
      <c r="D25" s="103">
        <f t="shared" si="2"/>
        <v>14.5</v>
      </c>
      <c r="E25" s="403">
        <f t="shared" si="0"/>
        <v>0.14415171707952651</v>
      </c>
      <c r="F25" s="102"/>
      <c r="G25" s="175">
        <f>'Landkreditt Forsikring'!B10+'Landkreditt Forsikring'!B29+'Landkreditt Forsikring'!B37+'Landkreditt Forsikring'!B87+'Landkreditt Forsikring'!B135</f>
        <v>0</v>
      </c>
      <c r="H25" s="175">
        <f>'Landkreditt Forsikring'!C10+'Landkreditt Forsikring'!C29+'Landkreditt Forsikring'!C37+'Landkreditt Forsikring'!C87+'Landkreditt Forsikring'!C135</f>
        <v>0</v>
      </c>
      <c r="I25" s="103" t="str">
        <f t="shared" si="3"/>
        <v xml:space="preserve">    ---- </v>
      </c>
      <c r="J25" s="403">
        <f t="shared" si="1"/>
        <v>0</v>
      </c>
      <c r="K25" s="138"/>
      <c r="L25" s="221">
        <f t="shared" ca="1" si="4"/>
        <v>0</v>
      </c>
      <c r="M25" s="219">
        <f t="shared" ca="1" si="5"/>
        <v>0</v>
      </c>
      <c r="N25" s="221">
        <f t="shared" ca="1" si="6"/>
        <v>0</v>
      </c>
      <c r="O25" s="219">
        <f t="shared" ca="1" si="7"/>
        <v>0</v>
      </c>
    </row>
    <row r="26" spans="1:18" ht="18" x14ac:dyDescent="0.35">
      <c r="A26" s="107" t="s">
        <v>94</v>
      </c>
      <c r="B26" s="175">
        <f>'Nordea Liv '!B7+'Nordea Liv '!B22+'Nordea Liv '!B36+'Nordea Liv '!B47+'Nordea Liv '!B66+'Nordea Liv '!B134</f>
        <v>1464010.08</v>
      </c>
      <c r="C26" s="175">
        <f>'Nordea Liv '!C7+'Nordea Liv '!C22+'Nordea Liv '!C36+'Nordea Liv '!C47+'Nordea Liv '!C66+'Nordea Liv '!C134</f>
        <v>1552615</v>
      </c>
      <c r="D26" s="103">
        <f t="shared" si="2"/>
        <v>6.1</v>
      </c>
      <c r="E26" s="403">
        <f t="shared" si="0"/>
        <v>1.9926292575981932</v>
      </c>
      <c r="F26" s="102"/>
      <c r="G26" s="176">
        <f>'Nordea Liv '!B10+'Nordea Liv '!B29+'Nordea Liv '!B37+'Nordea Liv '!B87+'Nordea Liv '!B135</f>
        <v>53026780</v>
      </c>
      <c r="H26" s="176">
        <f>'Nordea Liv '!C10+'Nordea Liv '!C29+'Nordea Liv '!C37+'Nordea Liv '!C87+'Nordea Liv '!C135</f>
        <v>55808862</v>
      </c>
      <c r="I26" s="103">
        <f t="shared" si="3"/>
        <v>5.2</v>
      </c>
      <c r="J26" s="403">
        <f t="shared" si="1"/>
        <v>4.8111551710488785</v>
      </c>
      <c r="K26" s="138"/>
      <c r="L26" s="221">
        <f ca="1">INDIRECT("'" &amp; $A25 &amp; "'!" &amp; $P$7)</f>
        <v>0</v>
      </c>
      <c r="M26" s="219">
        <f ca="1">INDIRECT("'" &amp; $A25 &amp; "'!" &amp; $P$8)</f>
        <v>0</v>
      </c>
      <c r="N26" s="221">
        <f ca="1">INDIRECT("'" &amp; $A25 &amp; "'!" &amp; $P$10)</f>
        <v>0</v>
      </c>
      <c r="O26" s="219">
        <f ca="1">INDIRECT("'" &amp; $A25 &amp; "'!" &amp; $P$12)</f>
        <v>0</v>
      </c>
    </row>
    <row r="27" spans="1:18" ht="18" x14ac:dyDescent="0.35">
      <c r="A27" s="107" t="s">
        <v>95</v>
      </c>
      <c r="B27" s="175">
        <f>'Oslo Pensjonsforsikring'!B7+'Oslo Pensjonsforsikring'!B22+'Oslo Pensjonsforsikring'!B36+'Oslo Pensjonsforsikring'!B47+'Oslo Pensjonsforsikring'!B66+'Oslo Pensjonsforsikring'!B134</f>
        <v>4017000</v>
      </c>
      <c r="C27" s="175">
        <f>'Oslo Pensjonsforsikring'!C7+'Oslo Pensjonsforsikring'!C22+'Oslo Pensjonsforsikring'!C36+'Oslo Pensjonsforsikring'!C47+'Oslo Pensjonsforsikring'!C66+'Oslo Pensjonsforsikring'!C134</f>
        <v>7476722</v>
      </c>
      <c r="D27" s="103">
        <f t="shared" si="2"/>
        <v>86.1</v>
      </c>
      <c r="E27" s="403">
        <f t="shared" si="0"/>
        <v>9.5956402637666631</v>
      </c>
      <c r="F27" s="102"/>
      <c r="G27" s="175">
        <f>'Oslo Pensjonsforsikring'!B10+'Oslo Pensjonsforsikring'!B29+'Oslo Pensjonsforsikring'!B37+'Oslo Pensjonsforsikring'!B87+'Oslo Pensjonsforsikring'!B135</f>
        <v>82047000</v>
      </c>
      <c r="H27" s="175">
        <f>'Oslo Pensjonsforsikring'!C10+'Oslo Pensjonsforsikring'!C29+'Oslo Pensjonsforsikring'!C37+'Oslo Pensjonsforsikring'!C87+'Oslo Pensjonsforsikring'!C135</f>
        <v>102259830</v>
      </c>
      <c r="I27" s="103">
        <f t="shared" si="3"/>
        <v>24.6</v>
      </c>
      <c r="J27" s="403">
        <f t="shared" si="1"/>
        <v>8.8155875655568696</v>
      </c>
      <c r="K27" s="138"/>
      <c r="L27" s="221">
        <f t="shared" ca="1" si="4"/>
        <v>0</v>
      </c>
      <c r="M27" s="219">
        <f t="shared" ca="1" si="5"/>
        <v>0</v>
      </c>
      <c r="N27" s="221">
        <f t="shared" ca="1" si="6"/>
        <v>0</v>
      </c>
      <c r="O27" s="219">
        <f t="shared" ca="1" si="7"/>
        <v>0</v>
      </c>
    </row>
    <row r="28" spans="1:18" ht="18" x14ac:dyDescent="0.35">
      <c r="A28" s="107" t="s">
        <v>443</v>
      </c>
      <c r="B28" s="175">
        <f>'Protector Forsikring'!B7+'Protector Forsikring'!B22+'Protector Forsikring'!B36+'Protector Forsikring'!B47+'Protector Forsikring'!B66+'Protector Forsikring'!B134</f>
        <v>307752.03923018795</v>
      </c>
      <c r="C28" s="175">
        <f>'Protector Forsikring'!C7+'Protector Forsikring'!C22+'Protector Forsikring'!C36+'Protector Forsikring'!C47+'Protector Forsikring'!C66+'Protector Forsikring'!C134</f>
        <v>331132.55263506202</v>
      </c>
      <c r="D28" s="103">
        <f t="shared" si="2"/>
        <v>7.6</v>
      </c>
      <c r="E28" s="403">
        <f t="shared" si="0"/>
        <v>0.4249761934051895</v>
      </c>
      <c r="F28" s="102"/>
      <c r="G28" s="175">
        <f>'Protector Forsikring'!B10+'Protector Forsikring'!B29+'Protector Forsikring'!B37+'Protector Forsikring'!B87+'Protector Forsikring'!B135</f>
        <v>4585.8069906000001</v>
      </c>
      <c r="H28" s="175">
        <f>'Protector Forsikring'!C10+'Protector Forsikring'!C29+'Protector Forsikring'!C37+'Protector Forsikring'!C87+'Protector Forsikring'!C135</f>
        <v>0</v>
      </c>
      <c r="I28" s="103">
        <f t="shared" si="3"/>
        <v>-100</v>
      </c>
      <c r="J28" s="403">
        <f t="shared" si="1"/>
        <v>0</v>
      </c>
      <c r="K28" s="138"/>
      <c r="L28" s="221">
        <f t="shared" ca="1" si="4"/>
        <v>0</v>
      </c>
      <c r="M28" s="219">
        <f t="shared" ca="1" si="5"/>
        <v>0</v>
      </c>
      <c r="N28" s="221">
        <f t="shared" ca="1" si="6"/>
        <v>0</v>
      </c>
      <c r="O28" s="219">
        <f t="shared" ca="1" si="7"/>
        <v>0</v>
      </c>
    </row>
    <row r="29" spans="1:18" ht="18" x14ac:dyDescent="0.35">
      <c r="A29" s="191" t="s">
        <v>498</v>
      </c>
      <c r="B29" s="175">
        <f>'Sparebank 1'!B7+'Sparebank 1'!B22+'Sparebank 1'!B36+'Sparebank 1'!B47+'Sparebank 1'!B66+'Sparebank 1'!B134</f>
        <v>735170.28865</v>
      </c>
      <c r="C29" s="175">
        <f>'Sparebank 1'!C7+'Sparebank 1'!C22+'Sparebank 1'!C36+'Sparebank 1'!C47+'Sparebank 1'!C66+'Sparebank 1'!C134</f>
        <v>799976.18833000003</v>
      </c>
      <c r="D29" s="103">
        <f t="shared" si="2"/>
        <v>8.8000000000000007</v>
      </c>
      <c r="E29" s="403">
        <f t="shared" si="0"/>
        <v>1.0266910716747168</v>
      </c>
      <c r="F29" s="102"/>
      <c r="G29" s="175">
        <f>'Sparebank 1'!B10+'Sparebank 1'!B29+'Sparebank 1'!B37+'Sparebank 1'!B87+'Sparebank 1'!B135</f>
        <v>19298850.99636</v>
      </c>
      <c r="H29" s="175">
        <f>'Sparebank 1'!C10+'Sparebank 1'!C29+'Sparebank 1'!C37+'Sparebank 1'!C87+'Sparebank 1'!C135</f>
        <v>20710069.296859998</v>
      </c>
      <c r="I29" s="103">
        <f t="shared" si="3"/>
        <v>7.3</v>
      </c>
      <c r="J29" s="403">
        <f t="shared" si="1"/>
        <v>1.7853680118108948</v>
      </c>
      <c r="K29" s="138"/>
      <c r="L29" s="221">
        <f t="shared" ca="1" si="4"/>
        <v>0</v>
      </c>
      <c r="M29" s="219">
        <f t="shared" ca="1" si="5"/>
        <v>0</v>
      </c>
      <c r="N29" s="221">
        <f t="shared" ca="1" si="6"/>
        <v>0</v>
      </c>
      <c r="O29" s="219">
        <f t="shared" ca="1" si="7"/>
        <v>0</v>
      </c>
    </row>
    <row r="30" spans="1:18" ht="18" x14ac:dyDescent="0.35">
      <c r="A30" s="107" t="s">
        <v>96</v>
      </c>
      <c r="B30" s="175">
        <f>'Storebrand Livsforsikring'!B7+'Storebrand Livsforsikring'!B22+'Storebrand Livsforsikring'!B36+'Storebrand Livsforsikring'!B47+'Storebrand Livsforsikring'!B66+'Storebrand Livsforsikring'!B134</f>
        <v>4956525.3760000002</v>
      </c>
      <c r="C30" s="175">
        <f>'Storebrand Livsforsikring'!C7+'Storebrand Livsforsikring'!C22+'Storebrand Livsforsikring'!C36+'Storebrand Livsforsikring'!C47+'Storebrand Livsforsikring'!C66+'Storebrand Livsforsikring'!C134</f>
        <v>5938754.0609999998</v>
      </c>
      <c r="D30" s="103">
        <f t="shared" si="2"/>
        <v>19.8</v>
      </c>
      <c r="E30" s="403">
        <f t="shared" si="0"/>
        <v>7.6218090741289277</v>
      </c>
      <c r="F30" s="102"/>
      <c r="G30" s="175">
        <f>'Storebrand Livsforsikring'!B10+'Storebrand Livsforsikring'!B29+'Storebrand Livsforsikring'!B37+'Storebrand Livsforsikring'!B87+'Storebrand Livsforsikring'!B135</f>
        <v>183812146.52500001</v>
      </c>
      <c r="H30" s="175">
        <f>'Storebrand Livsforsikring'!C10+'Storebrand Livsforsikring'!C29+'Storebrand Livsforsikring'!C37+'Storebrand Livsforsikring'!C87+'Storebrand Livsforsikring'!C135</f>
        <v>196253398.08000004</v>
      </c>
      <c r="I30" s="103">
        <f t="shared" si="3"/>
        <v>6.8</v>
      </c>
      <c r="J30" s="403">
        <f t="shared" si="1"/>
        <v>16.918559475527495</v>
      </c>
      <c r="K30" s="138"/>
      <c r="L30" s="221" t="e">
        <f t="shared" ca="1" si="4"/>
        <v>#REF!</v>
      </c>
      <c r="M30" s="219" t="e">
        <f t="shared" ca="1" si="5"/>
        <v>#REF!</v>
      </c>
      <c r="N30" s="221" t="e">
        <f t="shared" ca="1" si="6"/>
        <v>#REF!</v>
      </c>
      <c r="O30" s="219" t="e">
        <f t="shared" ca="1" si="7"/>
        <v>#REF!</v>
      </c>
    </row>
    <row r="31" spans="1:18" ht="18" x14ac:dyDescent="0.35">
      <c r="A31" s="107" t="s">
        <v>97</v>
      </c>
      <c r="B31" s="175">
        <f>'Telenor Forsikring'!B7+'Telenor Forsikring'!B22+'Telenor Forsikring'!B36+'Telenor Forsikring'!B47+'Telenor Forsikring'!B66+'Telenor Forsikring'!B134</f>
        <v>1726</v>
      </c>
      <c r="C31" s="175">
        <f>'Telenor Forsikring'!C7+'Telenor Forsikring'!C22+'Telenor Forsikring'!C36+'Telenor Forsikring'!C47+'Telenor Forsikring'!C66+'Telenor Forsikring'!C134</f>
        <v>1344</v>
      </c>
      <c r="D31" s="103">
        <f t="shared" si="2"/>
        <v>-22.1</v>
      </c>
      <c r="E31" s="403">
        <f t="shared" si="0"/>
        <v>1.7248923411225395E-3</v>
      </c>
      <c r="F31" s="102"/>
      <c r="G31" s="175">
        <f>'Telenor Forsikring'!B10+'Telenor Forsikring'!B29+'Telenor Forsikring'!B37+'Telenor Forsikring'!B87+'Telenor Forsikring'!B135</f>
        <v>0</v>
      </c>
      <c r="H31" s="175">
        <f>'Telenor Forsikring'!C10+'Telenor Forsikring'!C29+'Telenor Forsikring'!C37+'Telenor Forsikring'!C87+'Telenor Forsikring'!C135</f>
        <v>0</v>
      </c>
      <c r="I31" s="103" t="str">
        <f t="shared" si="3"/>
        <v xml:space="preserve">    ---- </v>
      </c>
      <c r="J31" s="403">
        <f t="shared" si="1"/>
        <v>0</v>
      </c>
      <c r="K31" s="138"/>
      <c r="L31" s="221">
        <f t="shared" ca="1" si="4"/>
        <v>0</v>
      </c>
      <c r="M31" s="219">
        <f t="shared" ca="1" si="5"/>
        <v>0</v>
      </c>
      <c r="N31" s="221">
        <f t="shared" ca="1" si="6"/>
        <v>0</v>
      </c>
      <c r="O31" s="219">
        <f t="shared" ca="1" si="7"/>
        <v>0</v>
      </c>
      <c r="R31" s="816"/>
    </row>
    <row r="32" spans="1:18" ht="18" x14ac:dyDescent="0.35">
      <c r="A32" s="107" t="s">
        <v>98</v>
      </c>
      <c r="B32" s="175">
        <f>'Tryg Forsikring'!B7+'Tryg Forsikring'!B22+'Tryg Forsikring'!B36+'Tryg Forsikring'!B47+'Tryg Forsikring'!B66+'Tryg Forsikring'!B134</f>
        <v>598971.11495999992</v>
      </c>
      <c r="C32" s="175">
        <f>'Tryg Forsikring'!C7+'Tryg Forsikring'!C22+'Tryg Forsikring'!C36+'Tryg Forsikring'!C47+'Tryg Forsikring'!C66+'Tryg Forsikring'!C134</f>
        <v>589319.00377000007</v>
      </c>
      <c r="D32" s="103">
        <f t="shared" si="2"/>
        <v>-1.6</v>
      </c>
      <c r="E32" s="403">
        <f t="shared" si="0"/>
        <v>0.75633321136967124</v>
      </c>
      <c r="F32" s="102"/>
      <c r="I32" s="103" t="str">
        <f>IF(G32=0, "    ---- ", IF(ABS(ROUND(100/G32*H32-100,1))&lt;999,ROUND(100/G32*H32-100,1),IF(ROUND(100/G32*H32-100,1)&gt;999,999,-999)))</f>
        <v xml:space="preserve">    ---- </v>
      </c>
      <c r="J32" s="403">
        <f t="shared" si="1"/>
        <v>0</v>
      </c>
      <c r="K32" s="205"/>
      <c r="L32" s="221">
        <f t="shared" ca="1" si="4"/>
        <v>0</v>
      </c>
      <c r="M32" s="219">
        <f t="shared" ca="1" si="5"/>
        <v>0</v>
      </c>
      <c r="N32" s="221">
        <f t="shared" ca="1" si="6"/>
        <v>0</v>
      </c>
      <c r="O32" s="219">
        <f t="shared" ca="1" si="7"/>
        <v>0</v>
      </c>
    </row>
    <row r="33" spans="1:21" ht="18" x14ac:dyDescent="0.35">
      <c r="A33" s="191" t="s">
        <v>490</v>
      </c>
      <c r="B33" s="175">
        <f>'WaterCircles F'!B7+'WaterCircles F'!B22+'WaterCircles F'!B36+'WaterCircles F'!B47+'WaterCircles F'!B66+'WaterCircles F'!B136</f>
        <v>1278</v>
      </c>
      <c r="C33" s="175">
        <f>'WaterCircles F'!C7+'WaterCircles F'!C22+'WaterCircles F'!C36+'WaterCircles F'!C47+'WaterCircles F'!C66+'WaterCircles F'!C136</f>
        <v>1909</v>
      </c>
      <c r="D33" s="103">
        <f t="shared" si="2"/>
        <v>49.4</v>
      </c>
      <c r="E33" s="403">
        <f t="shared" si="0"/>
        <v>2.4500144934545597E-3</v>
      </c>
      <c r="F33" s="191"/>
      <c r="G33" s="102">
        <f>'WaterCircles F'!B10+'WaterCircles F'!B29+'WaterCircles F'!B37+'WaterCircles F'!B87+'WaterCircles F'!B135</f>
        <v>0</v>
      </c>
      <c r="H33" s="102">
        <f>'WaterCircles F'!C10+'WaterCircles F'!C29+'WaterCircles F'!C37+'WaterCircles F'!C87+'WaterCircles F'!C135</f>
        <v>0</v>
      </c>
      <c r="I33" s="103" t="str">
        <f>IF(G33=0, "    ---- ", IF(ABS(ROUND(100/G33*H33-100,1))&lt;999,ROUND(100/G33*H33-100,1),IF(ROUND(100/G33*H33-100,1)&gt;999,999,-999)))</f>
        <v xml:space="preserve">    ---- </v>
      </c>
      <c r="J33" s="403">
        <f t="shared" si="1"/>
        <v>0</v>
      </c>
      <c r="K33" s="205"/>
      <c r="L33" s="221">
        <f t="shared" ca="1" si="4"/>
        <v>0</v>
      </c>
      <c r="M33" s="219">
        <f t="shared" ca="1" si="5"/>
        <v>0</v>
      </c>
      <c r="N33" s="221">
        <f t="shared" ca="1" si="6"/>
        <v>0</v>
      </c>
      <c r="O33" s="219">
        <f t="shared" ca="1" si="7"/>
        <v>0</v>
      </c>
    </row>
    <row r="34" spans="1:21" s="110" customFormat="1" ht="17.399999999999999" x14ac:dyDescent="0.3">
      <c r="A34" s="136" t="s">
        <v>99</v>
      </c>
      <c r="B34" s="177">
        <f>SUM(B9:B33)</f>
        <v>57182737.891684577</v>
      </c>
      <c r="C34" s="240">
        <f>SUM(C9:C33)</f>
        <v>77917906.408311874</v>
      </c>
      <c r="D34" s="109">
        <f>IF(B34=0, "    ---- ", IF(ABS(ROUND(100/B34*C34-100,1))&lt;999,ROUND(100/B34*C34-100,1),IF(ROUND(100/B34*C34-100,1)&gt;999,999,-999)))</f>
        <v>36.299999999999997</v>
      </c>
      <c r="E34" s="404">
        <f>SUM(E9:E33)</f>
        <v>100.00000000000001</v>
      </c>
      <c r="F34" s="108"/>
      <c r="G34" s="177">
        <f>SUM(G9:G33)</f>
        <v>1086979693.7194984</v>
      </c>
      <c r="H34" s="177">
        <f>SUM(H9:H33)</f>
        <v>1159988817.9834599</v>
      </c>
      <c r="I34" s="109">
        <f>IF(G34=0, "    ---- ", IF(ABS(ROUND(100/G34*H34-100,1))&lt;999,ROUND(100/G34*H34-100,1),IF(ROUND(100/G34*H34-100,1)&gt;999,999,-999)))</f>
        <v>6.7</v>
      </c>
      <c r="J34" s="404">
        <f>SUM(J9:J33)</f>
        <v>100</v>
      </c>
      <c r="K34" s="207"/>
      <c r="L34" s="221" t="e">
        <f ca="1">SUM(L10:L33)</f>
        <v>#REF!</v>
      </c>
      <c r="M34" s="219" t="e">
        <f ca="1">SUM(M10:M33)</f>
        <v>#REF!</v>
      </c>
      <c r="N34" s="221" t="e">
        <f ca="1">SUM(N10:N33)</f>
        <v>#REF!</v>
      </c>
      <c r="O34" s="219" t="e">
        <f ca="1">SUM(O10:O33)</f>
        <v>#REF!</v>
      </c>
      <c r="U34" s="203"/>
    </row>
    <row r="35" spans="1:21" ht="18" x14ac:dyDescent="0.35">
      <c r="A35" s="85"/>
      <c r="B35" s="175"/>
      <c r="C35" s="138"/>
      <c r="D35" s="103"/>
      <c r="E35" s="403"/>
      <c r="F35" s="102"/>
      <c r="G35" s="175"/>
      <c r="H35" s="102"/>
      <c r="I35" s="103"/>
      <c r="J35" s="403"/>
      <c r="K35" s="205"/>
      <c r="L35" s="218" t="s">
        <v>1</v>
      </c>
      <c r="M35" s="219"/>
      <c r="N35" s="221"/>
      <c r="O35" s="219"/>
    </row>
    <row r="36" spans="1:21" ht="18" x14ac:dyDescent="0.35">
      <c r="A36" s="100" t="s">
        <v>1</v>
      </c>
      <c r="B36" s="175"/>
      <c r="C36" s="138"/>
      <c r="D36" s="103"/>
      <c r="E36" s="403"/>
      <c r="F36" s="102"/>
      <c r="G36" s="175"/>
      <c r="H36" s="102"/>
      <c r="I36" s="103"/>
      <c r="J36" s="403"/>
      <c r="K36" s="205"/>
      <c r="L36" s="222">
        <v>2015</v>
      </c>
      <c r="M36" s="223">
        <v>2016</v>
      </c>
      <c r="N36" s="222">
        <v>2015</v>
      </c>
      <c r="O36" s="223">
        <v>2016</v>
      </c>
      <c r="P36" s="86" t="s">
        <v>154</v>
      </c>
    </row>
    <row r="37" spans="1:21" ht="18" x14ac:dyDescent="0.35">
      <c r="A37" s="106" t="s">
        <v>84</v>
      </c>
      <c r="B37" s="129">
        <f>'Danica Pensjonsforsikring'!F7+'Danica Pensjonsforsikring'!F22+'Danica Pensjonsforsikring'!F66+'Danica Pensjonsforsikring'!F134</f>
        <v>2098292.548</v>
      </c>
      <c r="C37" s="129">
        <f>'Danica Pensjonsforsikring'!G7+'Danica Pensjonsforsikring'!G22+'Danica Pensjonsforsikring'!G66+'Danica Pensjonsforsikring'!G134</f>
        <v>2301876.503</v>
      </c>
      <c r="D37" s="103">
        <f t="shared" ref="D37:D47" si="8">IF(B37=0, "    ---- ", IF(ABS(ROUND(100/B37*C37-100,1))&lt;999,ROUND(100/B37*C37-100,1),IF(ROUND(100/B37*C37-100,1)&gt;999,999,-999)))</f>
        <v>9.6999999999999993</v>
      </c>
      <c r="E37" s="403">
        <f t="shared" ref="E37:E46" si="9">100/C$47*C37</f>
        <v>4.2030622432523188</v>
      </c>
      <c r="F37" s="102"/>
      <c r="G37" s="175">
        <f>'Danica Pensjonsforsikring'!F10+'Danica Pensjonsforsikring'!F29+'Danica Pensjonsforsikring'!F87+'Danica Pensjonsforsikring'!F135</f>
        <v>24084123.675000001</v>
      </c>
      <c r="H37" s="175">
        <f>'Danica Pensjonsforsikring'!G10+'Danica Pensjonsforsikring'!G29+'Danica Pensjonsforsikring'!G87+'Danica Pensjonsforsikring'!G135</f>
        <v>29361437.739999998</v>
      </c>
      <c r="I37" s="103">
        <f t="shared" ref="I37:I47" si="10">IF(G37=0, "    ---- ", IF(ABS(ROUND(100/G37*H37-100,1))&lt;999,ROUND(100/G37*H37-100,1),IF(ROUND(100/G37*H37-100,1)&gt;999,999,-999)))</f>
        <v>21.9</v>
      </c>
      <c r="J37" s="403">
        <f t="shared" ref="J37:J46" si="11">100/H$47*H37</f>
        <v>5.2791562575102473</v>
      </c>
      <c r="K37" s="205" t="s">
        <v>142</v>
      </c>
      <c r="L37" s="221">
        <f t="shared" ref="L37:L46" ca="1" si="12">INDIRECT("'" &amp; $A37 &amp; "'!" &amp; $P$36)</f>
        <v>0</v>
      </c>
      <c r="M37" s="219">
        <f t="shared" ref="M37:M46" ca="1" si="13">INDIRECT("'" &amp; $A37 &amp; "'!" &amp; $P$37)</f>
        <v>0</v>
      </c>
      <c r="N37" s="221">
        <f t="shared" ref="N37:N46" ca="1" si="14">INDIRECT("'" &amp; $A37 &amp; "'!" &amp; $P$39)</f>
        <v>0</v>
      </c>
      <c r="O37" s="219">
        <f ca="1">INDIRECT("'"&amp;$A37&amp;"'!"&amp;$P$40)</f>
        <v>0</v>
      </c>
      <c r="P37" s="86" t="s">
        <v>156</v>
      </c>
    </row>
    <row r="38" spans="1:21" ht="18" x14ac:dyDescent="0.35">
      <c r="A38" s="106" t="s">
        <v>489</v>
      </c>
      <c r="B38" s="129">
        <f>'DNB Bedriftspensjon'!F7+'DNB Bedriftspensjon'!F22+'DNB Bedriftspensjon'!F66+'DNB Bedriftspensjon'!F134</f>
        <v>601762</v>
      </c>
      <c r="C38" s="129">
        <f>'DNB Bedriftspensjon'!G7+'DNB Bedriftspensjon'!G22+'DNB Bedriftspensjon'!G66+'DNB Bedriftspensjon'!G134</f>
        <v>0</v>
      </c>
      <c r="D38" s="103">
        <f>IF(B38=0, "    ---- ", IF(ABS(ROUND(100/B38*C38-100,1))&lt;999,ROUND(100/B38*C38-100,1),IF(ROUND(100/B38*C38-100,1)&gt;999,999,-999)))</f>
        <v>-100</v>
      </c>
      <c r="E38" s="403">
        <f t="shared" si="9"/>
        <v>0</v>
      </c>
      <c r="F38" s="102"/>
      <c r="G38" s="175">
        <f>'DNB Bedriftspensjon'!F10+'DNB Bedriftspensjon'!F29+'DNB Bedriftspensjon'!F87+'DNB Bedriftspensjon'!F135</f>
        <v>5959168</v>
      </c>
      <c r="H38" s="175">
        <f>'DNB Bedriftspensjon'!G10+'DNB Bedriftspensjon'!G29+'DNB Bedriftspensjon'!G87+'DNB Bedriftspensjon'!G135</f>
        <v>0</v>
      </c>
      <c r="I38" s="103">
        <f>IF(G38=0, "    ---- ", IF(ABS(ROUND(100/G38*H38-100,1))&lt;999,ROUND(100/G38*H38-100,1),IF(ROUND(100/G38*H38-100,1)&gt;999,999,-999)))</f>
        <v>-100</v>
      </c>
      <c r="J38" s="403">
        <f t="shared" si="11"/>
        <v>0</v>
      </c>
      <c r="K38" s="86" t="s">
        <v>152</v>
      </c>
      <c r="L38" s="221">
        <f ca="1">INDIRECT("'" &amp; $A38 &amp; "'!" &amp; $P$36)</f>
        <v>0</v>
      </c>
      <c r="M38" s="219">
        <f ca="1">INDIRECT("'" &amp; $A38 &amp; "'!" &amp; $P$37)</f>
        <v>0</v>
      </c>
      <c r="N38" s="221">
        <f t="shared" ca="1" si="14"/>
        <v>0</v>
      </c>
      <c r="O38" s="219">
        <f ca="1">INDIRECT("'"&amp;$A38&amp;"'!"&amp;$P$40)</f>
        <v>0</v>
      </c>
    </row>
    <row r="39" spans="1:21" ht="18" x14ac:dyDescent="0.35">
      <c r="A39" s="85" t="s">
        <v>85</v>
      </c>
      <c r="B39" s="129">
        <f>'DNB Livsforsikring'!F7+'DNB Livsforsikring'!F22+'DNB Livsforsikring'!F66+'DNB Livsforsikring'!F134</f>
        <v>10110496</v>
      </c>
      <c r="C39" s="129">
        <f>'DNB Livsforsikring'!G7+'DNB Livsforsikring'!G22+'DNB Livsforsikring'!G66+'DNB Livsforsikring'!G134</f>
        <v>11851242.041999999</v>
      </c>
      <c r="D39" s="103">
        <f t="shared" si="8"/>
        <v>17.2</v>
      </c>
      <c r="E39" s="403">
        <f t="shared" si="9"/>
        <v>21.639522319054105</v>
      </c>
      <c r="F39" s="102"/>
      <c r="G39" s="175">
        <f>'DNB Livsforsikring'!F10+'DNB Livsforsikring'!F29+'DNB Livsforsikring'!F87+'DNB Livsforsikring'!F135</f>
        <v>110860381.59099999</v>
      </c>
      <c r="H39" s="175">
        <f>'DNB Livsforsikring'!G10+'DNB Livsforsikring'!G29+'DNB Livsforsikring'!G87+'DNB Livsforsikring'!G135</f>
        <v>138747409.08115</v>
      </c>
      <c r="I39" s="103">
        <f t="shared" si="10"/>
        <v>25.2</v>
      </c>
      <c r="J39" s="403">
        <f t="shared" si="11"/>
        <v>24.946641215263838</v>
      </c>
      <c r="K39" s="86" t="s">
        <v>150</v>
      </c>
      <c r="L39" s="221">
        <f t="shared" ca="1" si="12"/>
        <v>0</v>
      </c>
      <c r="M39" s="219">
        <f t="shared" ca="1" si="13"/>
        <v>0</v>
      </c>
      <c r="N39" s="221">
        <f t="shared" ca="1" si="14"/>
        <v>0</v>
      </c>
      <c r="O39" s="219">
        <f ca="1">INDIRECT("'"&amp;$A39&amp;"'!"&amp;$P$40)</f>
        <v>0</v>
      </c>
      <c r="P39" s="86" t="s">
        <v>155</v>
      </c>
    </row>
    <row r="40" spans="1:21" ht="18" x14ac:dyDescent="0.35">
      <c r="A40" s="106" t="s">
        <v>87</v>
      </c>
      <c r="B40" s="129">
        <f>'Frende Livsforsikring'!F7+'Frende Livsforsikring'!F22+'Frende Livsforsikring'!F66+'Frende Livsforsikring'!F134</f>
        <v>366321.7</v>
      </c>
      <c r="C40" s="129">
        <f>'Frende Livsforsikring'!G7+'Frende Livsforsikring'!G22+'Frende Livsforsikring'!G66+'Frende Livsforsikring'!G134</f>
        <v>0</v>
      </c>
      <c r="D40" s="103">
        <f t="shared" si="8"/>
        <v>-100</v>
      </c>
      <c r="E40" s="403">
        <f t="shared" si="9"/>
        <v>0</v>
      </c>
      <c r="F40" s="102"/>
      <c r="G40" s="175">
        <f>'Frende Livsforsikring'!F10+'Frende Livsforsikring'!F29+'Frende Livsforsikring'!F87+'Frende Livsforsikring'!F135</f>
        <v>0</v>
      </c>
      <c r="H40" s="175">
        <f>'Frende Livsforsikring'!G10+'Frende Livsforsikring'!G29+'Frende Livsforsikring'!G87+'Frende Livsforsikring'!G135</f>
        <v>0</v>
      </c>
      <c r="I40" s="103" t="str">
        <f t="shared" si="10"/>
        <v xml:space="preserve">    ---- </v>
      </c>
      <c r="J40" s="403">
        <f t="shared" si="11"/>
        <v>0</v>
      </c>
      <c r="K40" s="86" t="s">
        <v>143</v>
      </c>
      <c r="L40" s="221">
        <f t="shared" ca="1" si="12"/>
        <v>0</v>
      </c>
      <c r="M40" s="219">
        <f t="shared" ca="1" si="13"/>
        <v>0</v>
      </c>
      <c r="N40" s="221">
        <f t="shared" ca="1" si="14"/>
        <v>0</v>
      </c>
      <c r="O40" s="219">
        <f t="shared" ref="O40:O46" ca="1" si="15">INDIRECT("'"&amp;$A40&amp;"'!"&amp;$P$40)</f>
        <v>0</v>
      </c>
      <c r="P40" s="86" t="s">
        <v>157</v>
      </c>
    </row>
    <row r="41" spans="1:21" ht="18" x14ac:dyDescent="0.35">
      <c r="A41" s="106" t="s">
        <v>90</v>
      </c>
      <c r="B41" s="129">
        <f>'Gjensidige Pensjon'!F7+'Gjensidige Pensjon'!F22+'Gjensidige Pensjon'!F66+'Gjensidige Pensjon'!F134</f>
        <v>3251091</v>
      </c>
      <c r="C41" s="129">
        <f>'Gjensidige Pensjon'!G7+'Gjensidige Pensjon'!G22+'Gjensidige Pensjon'!G66+'Gjensidige Pensjon'!G134</f>
        <v>3714294</v>
      </c>
      <c r="D41" s="103">
        <f t="shared" si="8"/>
        <v>14.2</v>
      </c>
      <c r="E41" s="403">
        <f t="shared" si="9"/>
        <v>6.7820358092158815</v>
      </c>
      <c r="F41" s="102"/>
      <c r="G41" s="175">
        <f>'Gjensidige Pensjon'!F10+'Gjensidige Pensjon'!F29+'Gjensidige Pensjon'!F87+'Gjensidige Pensjon'!F135</f>
        <v>34697528</v>
      </c>
      <c r="H41" s="175">
        <f>'Gjensidige Pensjon'!G10+'Gjensidige Pensjon'!G29+'Gjensidige Pensjon'!G87+'Gjensidige Pensjon'!G135</f>
        <v>43184431</v>
      </c>
      <c r="I41" s="103">
        <f t="shared" si="10"/>
        <v>24.5</v>
      </c>
      <c r="J41" s="403">
        <f t="shared" si="11"/>
        <v>7.7645162052159611</v>
      </c>
      <c r="K41" s="86" t="s">
        <v>151</v>
      </c>
      <c r="L41" s="221">
        <f t="shared" ca="1" si="12"/>
        <v>0</v>
      </c>
      <c r="M41" s="219">
        <f t="shared" ca="1" si="13"/>
        <v>0</v>
      </c>
      <c r="N41" s="221">
        <f t="shared" ca="1" si="14"/>
        <v>0</v>
      </c>
      <c r="O41" s="219">
        <f t="shared" ca="1" si="15"/>
        <v>0</v>
      </c>
    </row>
    <row r="42" spans="1:21" ht="18" x14ac:dyDescent="0.35">
      <c r="A42" s="106" t="s">
        <v>63</v>
      </c>
      <c r="B42" s="129">
        <f>KLP!F7+KLP!F22+KLP!F66+KLP!F134</f>
        <v>74308.707999999999</v>
      </c>
      <c r="C42" s="129">
        <f>KLP!G7+KLP!G22+KLP!G66+KLP!G134</f>
        <v>135009.071</v>
      </c>
      <c r="D42" s="103">
        <f t="shared" si="8"/>
        <v>81.7</v>
      </c>
      <c r="E42" s="403">
        <f t="shared" si="9"/>
        <v>0.24651693002518632</v>
      </c>
      <c r="F42" s="102"/>
      <c r="G42" s="175">
        <f>KLP!F10+KLP!F29+KLP!F87+KLP!F135</f>
        <v>2013752.24184</v>
      </c>
      <c r="H42" s="175">
        <f>KLP!G10+KLP!G29+KLP!G87+KLP!G135</f>
        <v>2234333.4679299998</v>
      </c>
      <c r="I42" s="103">
        <f t="shared" si="10"/>
        <v>11</v>
      </c>
      <c r="J42" s="403">
        <f t="shared" si="11"/>
        <v>0.40173085572434336</v>
      </c>
      <c r="K42" s="86" t="s">
        <v>144</v>
      </c>
      <c r="L42" s="221">
        <f t="shared" ca="1" si="12"/>
        <v>0</v>
      </c>
      <c r="M42" s="219">
        <f t="shared" ca="1" si="13"/>
        <v>0</v>
      </c>
      <c r="N42" s="221">
        <f t="shared" ca="1" si="14"/>
        <v>0</v>
      </c>
      <c r="O42" s="219">
        <f t="shared" ca="1" si="15"/>
        <v>0</v>
      </c>
    </row>
    <row r="43" spans="1:21" ht="18" x14ac:dyDescent="0.35">
      <c r="A43" s="106" t="s">
        <v>94</v>
      </c>
      <c r="B43" s="129">
        <f>'Nordea Liv '!F7+'Nordea Liv '!F22+'Nordea Liv '!F66+'Nordea Liv '!F134</f>
        <v>12668233</v>
      </c>
      <c r="C43" s="129">
        <f>'Nordea Liv '!G7+'Nordea Liv '!G22+'Nordea Liv '!G66+'Nordea Liv '!G134</f>
        <v>17865814</v>
      </c>
      <c r="D43" s="103">
        <f t="shared" si="8"/>
        <v>41</v>
      </c>
      <c r="E43" s="403">
        <f t="shared" si="9"/>
        <v>32.621701542417057</v>
      </c>
      <c r="F43" s="102"/>
      <c r="G43" s="175">
        <f>'Nordea Liv '!F10+'Nordea Liv '!F29+'Nordea Liv '!F87+'Nordea Liv '!F135</f>
        <v>98862690</v>
      </c>
      <c r="H43" s="175">
        <f>'Nordea Liv '!G10+'Nordea Liv '!G29+'Nordea Liv '!G87+'Nordea Liv '!G135</f>
        <v>125405208.52</v>
      </c>
      <c r="I43" s="103">
        <f t="shared" si="10"/>
        <v>26.8</v>
      </c>
      <c r="J43" s="403">
        <f t="shared" si="11"/>
        <v>22.547727299498902</v>
      </c>
      <c r="K43" s="205"/>
      <c r="L43" s="221">
        <f t="shared" ca="1" si="12"/>
        <v>0</v>
      </c>
      <c r="M43" s="219">
        <f t="shared" ca="1" si="13"/>
        <v>0</v>
      </c>
      <c r="N43" s="221">
        <f t="shared" ca="1" si="14"/>
        <v>0</v>
      </c>
      <c r="O43" s="219">
        <f t="shared" ca="1" si="15"/>
        <v>0</v>
      </c>
    </row>
    <row r="44" spans="1:21" ht="18" x14ac:dyDescent="0.35">
      <c r="A44" s="106" t="s">
        <v>72</v>
      </c>
      <c r="B44" s="129">
        <f>'SHB Liv'!F7+'SHB Liv'!F22+'SHB Liv'!F66+'SHB Liv'!F134</f>
        <v>146915.30192</v>
      </c>
      <c r="C44" s="129">
        <f>'SHB Liv'!G7+'SHB Liv'!G22+'SHB Liv'!G66+'SHB Liv'!G134</f>
        <v>178297.44472</v>
      </c>
      <c r="D44" s="103">
        <f t="shared" si="8"/>
        <v>21.4</v>
      </c>
      <c r="E44" s="403">
        <f t="shared" si="9"/>
        <v>0.32555841158043203</v>
      </c>
      <c r="F44" s="102"/>
      <c r="G44" s="175">
        <f>'SHB Liv'!F10+'SHB Liv'!F29+'SHB Liv'!F87+'SHB Liv'!F135</f>
        <v>2931716.44123</v>
      </c>
      <c r="H44" s="175">
        <f>'SHB Liv'!G10+'SHB Liv'!G29+'SHB Liv'!G87+'SHB Liv'!G135</f>
        <v>3211246.3059999999</v>
      </c>
      <c r="I44" s="103">
        <f t="shared" si="10"/>
        <v>9.5</v>
      </c>
      <c r="J44" s="403">
        <f t="shared" si="11"/>
        <v>0.57737877759410317</v>
      </c>
      <c r="K44" s="205"/>
      <c r="L44" s="221">
        <f t="shared" ca="1" si="12"/>
        <v>0</v>
      </c>
      <c r="M44" s="219">
        <f t="shared" ca="1" si="13"/>
        <v>0</v>
      </c>
      <c r="N44" s="221">
        <f t="shared" ca="1" si="14"/>
        <v>0</v>
      </c>
      <c r="O44" s="219">
        <f t="shared" ca="1" si="15"/>
        <v>0</v>
      </c>
    </row>
    <row r="45" spans="1:21" ht="18" x14ac:dyDescent="0.35">
      <c r="A45" s="85" t="s">
        <v>498</v>
      </c>
      <c r="B45" s="129">
        <f>'Sparebank 1'!F7+'Sparebank 1'!F22+'Sparebank 1'!F66+'Sparebank 1'!F134</f>
        <v>4778935.5708499998</v>
      </c>
      <c r="C45" s="129">
        <f>'Sparebank 1'!G7+'Sparebank 1'!G22+'Sparebank 1'!G66+'Sparebank 1'!G134</f>
        <v>5555744.3693300001</v>
      </c>
      <c r="D45" s="103">
        <f t="shared" si="8"/>
        <v>16.3</v>
      </c>
      <c r="E45" s="403">
        <f t="shared" si="9"/>
        <v>10.144392786259129</v>
      </c>
      <c r="F45" s="102"/>
      <c r="G45" s="175">
        <f>'Sparebank 1'!F10+'Sparebank 1'!F29+'Sparebank 1'!F87+'Sparebank 1'!F135</f>
        <v>43584932.280090004</v>
      </c>
      <c r="H45" s="175">
        <f>'Sparebank 1'!G10+'Sparebank 1'!G29+'Sparebank 1'!G87+'Sparebank 1'!G135</f>
        <v>56140255.507399999</v>
      </c>
      <c r="I45" s="103">
        <f t="shared" si="10"/>
        <v>28.8</v>
      </c>
      <c r="J45" s="403">
        <f t="shared" si="11"/>
        <v>10.093960104561107</v>
      </c>
      <c r="K45" s="138"/>
      <c r="L45" s="221" t="e">
        <f t="shared" ca="1" si="12"/>
        <v>#REF!</v>
      </c>
      <c r="M45" s="219" t="e">
        <f t="shared" ca="1" si="13"/>
        <v>#REF!</v>
      </c>
      <c r="N45" s="221" t="e">
        <f t="shared" ca="1" si="14"/>
        <v>#REF!</v>
      </c>
      <c r="O45" s="219" t="e">
        <f t="shared" ca="1" si="15"/>
        <v>#REF!</v>
      </c>
    </row>
    <row r="46" spans="1:21" ht="18" x14ac:dyDescent="0.35">
      <c r="A46" s="85" t="s">
        <v>96</v>
      </c>
      <c r="B46" s="129">
        <f>'Storebrand Livsforsikring'!F7+'Storebrand Livsforsikring'!F22+'Storebrand Livsforsikring'!F66+'Storebrand Livsforsikring'!F134</f>
        <v>12778507.596999999</v>
      </c>
      <c r="C46" s="129">
        <f>'Storebrand Livsforsikring'!G7+'Storebrand Livsforsikring'!G22+'Storebrand Livsforsikring'!G66+'Storebrand Livsforsikring'!G134</f>
        <v>13164375.305</v>
      </c>
      <c r="D46" s="103">
        <f t="shared" si="8"/>
        <v>3</v>
      </c>
      <c r="E46" s="403">
        <f t="shared" si="9"/>
        <v>24.037209958195891</v>
      </c>
      <c r="F46" s="102"/>
      <c r="G46" s="175">
        <f>'Storebrand Livsforsikring'!F10+'Storebrand Livsforsikring'!F29+'Storebrand Livsforsikring'!F87+'Storebrand Livsforsikring'!F135</f>
        <v>137052793.507</v>
      </c>
      <c r="H46" s="175">
        <f>'Storebrand Livsforsikring'!G10+'Storebrand Livsforsikring'!G29+'Storebrand Livsforsikring'!G87+'Storebrand Livsforsikring'!G135</f>
        <v>157892391.24199998</v>
      </c>
      <c r="I46" s="103">
        <f t="shared" si="10"/>
        <v>15.2</v>
      </c>
      <c r="J46" s="403">
        <f t="shared" si="11"/>
        <v>28.388889284631482</v>
      </c>
      <c r="K46" s="138"/>
      <c r="L46" s="221">
        <f t="shared" ca="1" si="12"/>
        <v>0</v>
      </c>
      <c r="M46" s="219">
        <f t="shared" ca="1" si="13"/>
        <v>0</v>
      </c>
      <c r="N46" s="221">
        <f t="shared" ca="1" si="14"/>
        <v>0</v>
      </c>
      <c r="O46" s="219">
        <f t="shared" ca="1" si="15"/>
        <v>0</v>
      </c>
    </row>
    <row r="47" spans="1:21" s="110" customFormat="1" ht="18" x14ac:dyDescent="0.35">
      <c r="A47" s="100" t="s">
        <v>100</v>
      </c>
      <c r="B47" s="240">
        <f>SUM(B37:B46)</f>
        <v>46874863.42577</v>
      </c>
      <c r="C47" s="240">
        <f>SUM(C37:C46)</f>
        <v>54766652.73505</v>
      </c>
      <c r="D47" s="103">
        <f t="shared" si="8"/>
        <v>16.8</v>
      </c>
      <c r="E47" s="404">
        <f>SUM(E37:E46)</f>
        <v>100</v>
      </c>
      <c r="F47" s="108"/>
      <c r="G47" s="177">
        <f>SUM(G37:G46)</f>
        <v>460047085.73616004</v>
      </c>
      <c r="H47" s="177">
        <f>SUM(H37:H46)</f>
        <v>556176712.86448002</v>
      </c>
      <c r="I47" s="103">
        <f t="shared" si="10"/>
        <v>20.9</v>
      </c>
      <c r="J47" s="404">
        <f>SUM(J37:J46)</f>
        <v>100</v>
      </c>
      <c r="K47" s="138"/>
      <c r="L47" s="221" t="e">
        <f ca="1">SUM(L37:L46)</f>
        <v>#REF!</v>
      </c>
      <c r="M47" s="219" t="e">
        <f ca="1">SUM(M37:M46)</f>
        <v>#REF!</v>
      </c>
      <c r="N47" s="221" t="e">
        <f ca="1">SUM(N37:N46)</f>
        <v>#REF!</v>
      </c>
      <c r="O47" s="219" t="e">
        <f ca="1">SUM(O37:O46)</f>
        <v>#REF!</v>
      </c>
    </row>
    <row r="48" spans="1:21" ht="18" x14ac:dyDescent="0.35">
      <c r="A48" s="100"/>
      <c r="B48" s="129"/>
      <c r="C48" s="108"/>
      <c r="D48" s="109"/>
      <c r="E48" s="403"/>
      <c r="F48" s="108"/>
      <c r="G48" s="177"/>
      <c r="H48" s="108"/>
      <c r="I48" s="109"/>
      <c r="J48" s="404"/>
      <c r="K48" s="138"/>
      <c r="L48" s="218" t="s">
        <v>101</v>
      </c>
      <c r="M48" s="224"/>
      <c r="N48" s="225"/>
      <c r="O48" s="224"/>
    </row>
    <row r="49" spans="1:20" ht="18" x14ac:dyDescent="0.35">
      <c r="A49" s="85"/>
      <c r="B49" s="129"/>
      <c r="C49" s="102"/>
      <c r="D49" s="103"/>
      <c r="E49" s="403"/>
      <c r="F49" s="102"/>
      <c r="G49" s="175"/>
      <c r="H49" s="102"/>
      <c r="I49" s="103"/>
      <c r="J49" s="403"/>
      <c r="K49" s="138"/>
      <c r="L49" s="222">
        <v>2015</v>
      </c>
      <c r="M49" s="223">
        <v>2016</v>
      </c>
      <c r="N49" s="222">
        <v>2015</v>
      </c>
      <c r="O49" s="223">
        <v>2016</v>
      </c>
    </row>
    <row r="50" spans="1:20" ht="18" x14ac:dyDescent="0.35">
      <c r="A50" s="100" t="s">
        <v>101</v>
      </c>
      <c r="B50" s="129"/>
      <c r="C50" s="102"/>
      <c r="D50" s="103"/>
      <c r="E50" s="403"/>
      <c r="F50" s="102"/>
      <c r="G50" s="175"/>
      <c r="H50" s="102"/>
      <c r="I50" s="103"/>
      <c r="J50" s="403"/>
      <c r="K50" s="138"/>
      <c r="L50" s="221"/>
      <c r="M50" s="219"/>
      <c r="N50" s="221"/>
      <c r="O50" s="219"/>
      <c r="P50" s="205"/>
      <c r="Q50" s="205"/>
      <c r="R50" s="205"/>
      <c r="S50" s="180"/>
      <c r="T50" s="138"/>
    </row>
    <row r="51" spans="1:20" ht="18" x14ac:dyDescent="0.35">
      <c r="A51" s="85" t="s">
        <v>493</v>
      </c>
      <c r="B51" s="129">
        <f>B9</f>
        <v>0</v>
      </c>
      <c r="C51" s="129">
        <f>C9</f>
        <v>82704</v>
      </c>
      <c r="D51" s="103" t="str">
        <f>IF(B51=0, "    ---- ", IF(ABS(ROUND(100/B51*C51-100,1))&lt;999,ROUND(100/B51*C51-100,1),IF(ROUND(100/B51*C51-100,1)&gt;999,999,-999)))</f>
        <v xml:space="preserve">    ---- </v>
      </c>
      <c r="E51" s="403">
        <f t="shared" ref="E51:E75" si="16">100/C$77*C51</f>
        <v>6.2331292001084081E-2</v>
      </c>
      <c r="F51" s="102"/>
      <c r="G51" s="175">
        <f>G9</f>
        <v>0</v>
      </c>
      <c r="H51" s="175">
        <f>H9</f>
        <v>0</v>
      </c>
      <c r="I51" s="103" t="str">
        <f>IF(G51=0, "    ---- ", IF(ABS(ROUND(100/G51*H51-100,1))&lt;999,ROUND(100/G51*H51-100,1),IF(ROUND(100/G51*H51-100,1)&gt;999,999,-999)))</f>
        <v xml:space="preserve">    ---- </v>
      </c>
      <c r="J51" s="403">
        <f t="shared" ref="J51:J75" si="17">100/H$77*H51</f>
        <v>0</v>
      </c>
      <c r="K51" s="138"/>
      <c r="L51" s="221" t="e">
        <f ca="1">L10</f>
        <v>#REF!</v>
      </c>
      <c r="M51" s="226" t="e">
        <f ca="1">M10</f>
        <v>#REF!</v>
      </c>
      <c r="N51" s="221" t="e">
        <f ca="1">N10</f>
        <v>#REF!</v>
      </c>
      <c r="O51" s="226" t="e">
        <f ca="1">O10</f>
        <v>#REF!</v>
      </c>
      <c r="P51" s="205"/>
      <c r="Q51" s="205"/>
      <c r="R51" s="205"/>
      <c r="S51" s="180"/>
      <c r="T51" s="138"/>
    </row>
    <row r="52" spans="1:20" ht="18" x14ac:dyDescent="0.35">
      <c r="A52" s="106" t="s">
        <v>84</v>
      </c>
      <c r="B52" s="129">
        <f>B10+B37</f>
        <v>2528848.7369999997</v>
      </c>
      <c r="C52" s="102">
        <f>C10+C37</f>
        <v>2735890.4530000002</v>
      </c>
      <c r="D52" s="103">
        <f t="shared" ref="D52:D76" si="18">IF(B52=0, "    ---- ", IF(ABS(ROUND(100/B52*C52-100,1))&lt;999,ROUND(100/B52*C52-100,1),IF(ROUND(100/B52*C52-100,1)&gt;999,999,-999)))</f>
        <v>8.1999999999999993</v>
      </c>
      <c r="E52" s="403">
        <f t="shared" si="16"/>
        <v>2.0619508936559443</v>
      </c>
      <c r="F52" s="102"/>
      <c r="G52" s="175">
        <f>G10+G37</f>
        <v>25404273.327</v>
      </c>
      <c r="H52" s="175">
        <f>H10+H37</f>
        <v>30760240.607999999</v>
      </c>
      <c r="I52" s="103">
        <f t="shared" ref="I52:I75" si="19">IF(G52=0, "    ---- ", IF(ABS(ROUND(100/G52*H52-100,1))&lt;999,ROUND(100/G52*H52-100,1),IF(ROUND(100/G52*H52-100,1)&gt;999,999,-999)))</f>
        <v>21.1</v>
      </c>
      <c r="J52" s="403">
        <f t="shared" si="17"/>
        <v>1.792381915094267</v>
      </c>
      <c r="K52" s="138"/>
      <c r="L52" s="221">
        <f ca="1">L12+L37</f>
        <v>0</v>
      </c>
      <c r="M52" s="219">
        <f ca="1">M12+M37</f>
        <v>0</v>
      </c>
      <c r="N52" s="221">
        <f ca="1">N12+N37</f>
        <v>0</v>
      </c>
      <c r="O52" s="219">
        <f ca="1">O12+O37</f>
        <v>0</v>
      </c>
      <c r="P52" s="205"/>
      <c r="Q52" s="205"/>
      <c r="R52" s="205"/>
      <c r="S52" s="180"/>
      <c r="T52" s="138"/>
    </row>
    <row r="53" spans="1:20" ht="18" x14ac:dyDescent="0.35">
      <c r="A53" s="85" t="s">
        <v>489</v>
      </c>
      <c r="B53" s="102">
        <f>B11+B38</f>
        <v>700488</v>
      </c>
      <c r="C53" s="102">
        <f>+C11+C38</f>
        <v>0</v>
      </c>
      <c r="D53" s="103">
        <f>IF(B53=0, "    ---- ", IF(ABS(ROUND(100/B53*C53-100,1))&lt;999,ROUND(100/B53*C53-100,1),IF(ROUND(100/B53*C53-100,1)&gt;999,999,-999)))</f>
        <v>-100</v>
      </c>
      <c r="E53" s="403">
        <f t="shared" si="16"/>
        <v>0</v>
      </c>
      <c r="F53" s="102"/>
      <c r="G53" s="175">
        <f>G11+G38</f>
        <v>7758740</v>
      </c>
      <c r="H53" s="175">
        <f>H11+H38</f>
        <v>0</v>
      </c>
      <c r="I53" s="103">
        <f>IF(G53=0, "    ---- ", IF(ABS(ROUND(100/G53*H53-100,1))&lt;999,ROUND(100/G53*H53-100,1),IF(ROUND(100/G53*H53-100,1)&gt;999,999,-999)))</f>
        <v>-100</v>
      </c>
      <c r="J53" s="403">
        <f t="shared" si="17"/>
        <v>0</v>
      </c>
      <c r="K53" s="138"/>
      <c r="L53" s="221">
        <f ca="1">L24+L38</f>
        <v>0</v>
      </c>
      <c r="M53" s="219">
        <f ca="1">+M24+M38</f>
        <v>0</v>
      </c>
      <c r="N53" s="221">
        <f ca="1">N24+N38</f>
        <v>0</v>
      </c>
      <c r="O53" s="219">
        <f ca="1">O24+O38</f>
        <v>0</v>
      </c>
      <c r="P53" s="205"/>
      <c r="Q53" s="205"/>
      <c r="R53" s="205"/>
      <c r="S53" s="180"/>
      <c r="T53" s="138"/>
    </row>
    <row r="54" spans="1:20" ht="18" x14ac:dyDescent="0.35">
      <c r="A54" s="85" t="s">
        <v>85</v>
      </c>
      <c r="B54" s="129">
        <f>B12+B39</f>
        <v>13574349.92227</v>
      </c>
      <c r="C54" s="102">
        <f>+C12+C39</f>
        <v>15033886.330449998</v>
      </c>
      <c r="D54" s="103">
        <f t="shared" si="18"/>
        <v>10.8</v>
      </c>
      <c r="E54" s="403">
        <f t="shared" si="16"/>
        <v>11.330546996207985</v>
      </c>
      <c r="F54" s="102"/>
      <c r="G54" s="175">
        <f>+G12+G39</f>
        <v>304444965.81483996</v>
      </c>
      <c r="H54" s="175">
        <f>+H12+H39</f>
        <v>332265325.08115</v>
      </c>
      <c r="I54" s="103">
        <f t="shared" si="19"/>
        <v>9.1</v>
      </c>
      <c r="J54" s="403">
        <f t="shared" si="17"/>
        <v>19.360913566244456</v>
      </c>
      <c r="K54" s="138"/>
      <c r="L54" s="221">
        <f ca="1">L13+L39</f>
        <v>0</v>
      </c>
      <c r="M54" s="219">
        <f ca="1">+M13+M39</f>
        <v>0</v>
      </c>
      <c r="N54" s="221">
        <f ca="1">+N13+N39</f>
        <v>0</v>
      </c>
      <c r="O54" s="219">
        <f ca="1">+O13+O39</f>
        <v>0</v>
      </c>
      <c r="P54" s="205"/>
      <c r="Q54" s="205"/>
      <c r="R54" s="205"/>
      <c r="S54" s="180"/>
      <c r="T54" s="138"/>
    </row>
    <row r="55" spans="1:20" ht="18" x14ac:dyDescent="0.35">
      <c r="A55" s="85" t="s">
        <v>86</v>
      </c>
      <c r="B55" s="129">
        <f t="shared" ref="B55:C57" si="20">B13</f>
        <v>335372</v>
      </c>
      <c r="C55" s="102">
        <f t="shared" si="20"/>
        <v>375779</v>
      </c>
      <c r="D55" s="103">
        <f t="shared" si="18"/>
        <v>12</v>
      </c>
      <c r="E55" s="403">
        <f t="shared" si="16"/>
        <v>0.28321230625937527</v>
      </c>
      <c r="F55" s="102"/>
      <c r="G55" s="175">
        <f t="shared" ref="G55:H57" si="21">G13</f>
        <v>543598</v>
      </c>
      <c r="H55" s="175">
        <f t="shared" si="21"/>
        <v>572507</v>
      </c>
      <c r="I55" s="103">
        <f t="shared" si="19"/>
        <v>5.3</v>
      </c>
      <c r="J55" s="403">
        <f t="shared" si="17"/>
        <v>3.3359660808309682E-2</v>
      </c>
      <c r="K55" s="138"/>
      <c r="L55" s="221">
        <f ca="1">L15</f>
        <v>0</v>
      </c>
      <c r="M55" s="219">
        <f ca="1">M15</f>
        <v>0</v>
      </c>
      <c r="N55" s="221">
        <f ca="1">N15</f>
        <v>0</v>
      </c>
      <c r="O55" s="219">
        <f ca="1">+O15+O40</f>
        <v>0</v>
      </c>
      <c r="P55" s="205"/>
      <c r="Q55" s="205"/>
      <c r="R55" s="205"/>
      <c r="S55" s="180"/>
      <c r="T55" s="138"/>
    </row>
    <row r="56" spans="1:20" ht="18" x14ac:dyDescent="0.35">
      <c r="A56" s="85" t="s">
        <v>494</v>
      </c>
      <c r="B56" s="129">
        <f t="shared" si="20"/>
        <v>0</v>
      </c>
      <c r="C56" s="129">
        <f t="shared" si="20"/>
        <v>10960</v>
      </c>
      <c r="D56" s="103" t="str">
        <f>IF(B56=0, "    ---- ", IF(ABS(ROUND(100/B56*C56-100,1))&lt;999,ROUND(100/B56*C56-100,1),IF(ROUND(100/B56*C56-100,1)&gt;999,999,-999)))</f>
        <v xml:space="preserve">    ---- </v>
      </c>
      <c r="E56" s="403">
        <f t="shared" si="16"/>
        <v>8.2601924977254004E-3</v>
      </c>
      <c r="F56" s="102"/>
      <c r="G56" s="175">
        <f t="shared" si="21"/>
        <v>0</v>
      </c>
      <c r="H56" s="175">
        <f t="shared" si="21"/>
        <v>0</v>
      </c>
      <c r="I56" s="103" t="str">
        <f>IF(G56=0, "    ---- ", IF(ABS(ROUND(100/G56*H56-100,1))&lt;999,ROUND(100/G56*H56-100,1),IF(ROUND(100/G56*H56-100,1)&gt;999,999,-999)))</f>
        <v xml:space="preserve">    ---- </v>
      </c>
      <c r="J56" s="403">
        <f t="shared" si="17"/>
        <v>0</v>
      </c>
      <c r="K56" s="138"/>
      <c r="L56" s="221"/>
      <c r="M56" s="219"/>
      <c r="N56" s="221"/>
      <c r="O56" s="219"/>
      <c r="P56" s="205"/>
      <c r="Q56" s="205"/>
      <c r="R56" s="205"/>
      <c r="S56" s="180"/>
      <c r="T56" s="138"/>
    </row>
    <row r="57" spans="1:20" ht="18" x14ac:dyDescent="0.35">
      <c r="A57" s="106" t="s">
        <v>479</v>
      </c>
      <c r="B57" s="129">
        <f t="shared" si="20"/>
        <v>2912282.94184</v>
      </c>
      <c r="C57" s="129">
        <f t="shared" si="20"/>
        <v>3074791.8314700001</v>
      </c>
      <c r="D57" s="103">
        <f>IF(B57=0, "    ---- ", IF(ABS(ROUND(100/B57*C57-100,1))&lt;999,ROUND(100/B57*C57-100,1),IF(ROUND(100/B57*C57-100,1)&gt;999,999,-999)))</f>
        <v>5.6</v>
      </c>
      <c r="E57" s="403">
        <f t="shared" si="16"/>
        <v>2.317369746202175</v>
      </c>
      <c r="F57" s="102"/>
      <c r="G57" s="175">
        <f t="shared" si="21"/>
        <v>3822716.1325900001</v>
      </c>
      <c r="H57" s="175">
        <f t="shared" si="21"/>
        <v>4274504.1585400002</v>
      </c>
      <c r="I57" s="103">
        <f>IF(G57=0, "    ---- ", IF(ABS(ROUND(100/G57*H57-100,1))&lt;999,ROUND(100/G57*H57-100,1),IF(ROUND(100/G57*H57-100,1)&gt;999,999,-999)))</f>
        <v>11.8</v>
      </c>
      <c r="J57" s="403">
        <f t="shared" si="17"/>
        <v>0.24907295256233303</v>
      </c>
      <c r="K57" s="138"/>
      <c r="L57" s="221"/>
      <c r="M57" s="219"/>
      <c r="N57" s="221"/>
      <c r="O57" s="219"/>
      <c r="P57" s="205"/>
      <c r="Q57" s="205"/>
      <c r="R57" s="205"/>
      <c r="S57" s="180"/>
      <c r="T57" s="138"/>
    </row>
    <row r="58" spans="1:20" ht="18" x14ac:dyDescent="0.35">
      <c r="A58" s="106" t="s">
        <v>87</v>
      </c>
      <c r="B58" s="129">
        <f>B16+B40</f>
        <v>863095.7</v>
      </c>
      <c r="C58" s="104">
        <f>C16+C40</f>
        <v>458515</v>
      </c>
      <c r="D58" s="105">
        <f t="shared" si="18"/>
        <v>-46.9</v>
      </c>
      <c r="E58" s="405">
        <f t="shared" si="16"/>
        <v>0.34556771561081767</v>
      </c>
      <c r="F58" s="104"/>
      <c r="G58" s="176">
        <f>G16+G40</f>
        <v>790605</v>
      </c>
      <c r="H58" s="176">
        <f>H16+H40</f>
        <v>1050219</v>
      </c>
      <c r="I58" s="103">
        <f t="shared" si="19"/>
        <v>32.799999999999997</v>
      </c>
      <c r="J58" s="403">
        <f t="shared" si="17"/>
        <v>6.1195670296506743E-2</v>
      </c>
      <c r="K58" s="138"/>
      <c r="L58" s="221">
        <f ca="1">L17+L40</f>
        <v>0</v>
      </c>
      <c r="M58" s="219">
        <f ca="1">M17+M40</f>
        <v>0</v>
      </c>
      <c r="N58" s="221">
        <f ca="1">N17+N40</f>
        <v>0</v>
      </c>
      <c r="O58" s="219">
        <f ca="1">O17+O40</f>
        <v>0</v>
      </c>
      <c r="P58" s="208"/>
      <c r="Q58" s="208"/>
      <c r="R58" s="208"/>
      <c r="S58" s="180"/>
      <c r="T58" s="138"/>
    </row>
    <row r="59" spans="1:20" ht="18" x14ac:dyDescent="0.35">
      <c r="A59" s="106" t="s">
        <v>88</v>
      </c>
      <c r="B59" s="129">
        <f>B17</f>
        <v>6351.5640000000003</v>
      </c>
      <c r="C59" s="104">
        <f>C17</f>
        <v>7999.02</v>
      </c>
      <c r="D59" s="105">
        <f t="shared" si="18"/>
        <v>25.9</v>
      </c>
      <c r="E59" s="405">
        <f t="shared" si="16"/>
        <v>6.0285989957258607E-3</v>
      </c>
      <c r="F59" s="104"/>
      <c r="G59" s="176">
        <f>G17</f>
        <v>0</v>
      </c>
      <c r="H59" s="176">
        <f>H17</f>
        <v>0</v>
      </c>
      <c r="I59" s="103" t="str">
        <f t="shared" si="19"/>
        <v xml:space="preserve">    ---- </v>
      </c>
      <c r="J59" s="403">
        <f t="shared" si="17"/>
        <v>0</v>
      </c>
      <c r="K59" s="138"/>
      <c r="L59" s="221">
        <f ca="1">L18</f>
        <v>0</v>
      </c>
      <c r="M59" s="219">
        <f ca="1">M18</f>
        <v>0</v>
      </c>
      <c r="N59" s="221">
        <f ca="1">N18</f>
        <v>0</v>
      </c>
      <c r="O59" s="219">
        <f ca="1">O18</f>
        <v>0</v>
      </c>
      <c r="P59" s="208"/>
      <c r="Q59" s="208"/>
      <c r="R59" s="208"/>
      <c r="S59" s="180"/>
      <c r="T59" s="138"/>
    </row>
    <row r="60" spans="1:20" ht="18" x14ac:dyDescent="0.35">
      <c r="A60" s="85" t="s">
        <v>89</v>
      </c>
      <c r="B60" s="102">
        <f>B18</f>
        <v>1666418</v>
      </c>
      <c r="C60" s="102">
        <f>+C18</f>
        <v>1910669.1639999999</v>
      </c>
      <c r="D60" s="103">
        <f t="shared" si="18"/>
        <v>14.7</v>
      </c>
      <c r="E60" s="403">
        <f t="shared" si="16"/>
        <v>1.4400086764697138</v>
      </c>
      <c r="F60" s="102"/>
      <c r="G60" s="175">
        <f>+G18</f>
        <v>1127127</v>
      </c>
      <c r="H60" s="175">
        <f>+H18</f>
        <v>1138879</v>
      </c>
      <c r="I60" s="103">
        <f t="shared" si="19"/>
        <v>1</v>
      </c>
      <c r="J60" s="403">
        <f t="shared" si="17"/>
        <v>6.6361838618055183E-2</v>
      </c>
      <c r="K60" s="138"/>
      <c r="L60" s="221">
        <f ca="1">L19</f>
        <v>0</v>
      </c>
      <c r="M60" s="219">
        <f ca="1">+M19</f>
        <v>0</v>
      </c>
      <c r="N60" s="221">
        <f ca="1">+N19</f>
        <v>0</v>
      </c>
      <c r="O60" s="219">
        <f ca="1">+O19</f>
        <v>0</v>
      </c>
      <c r="P60" s="205"/>
      <c r="Q60" s="205"/>
      <c r="R60" s="205"/>
      <c r="S60" s="180"/>
      <c r="T60" s="138"/>
    </row>
    <row r="61" spans="1:20" ht="18" x14ac:dyDescent="0.35">
      <c r="A61" s="85" t="s">
        <v>90</v>
      </c>
      <c r="B61" s="102">
        <f>B19+B41</f>
        <v>3913429</v>
      </c>
      <c r="C61" s="102">
        <f>C19+C41</f>
        <v>4440588</v>
      </c>
      <c r="D61" s="103">
        <f t="shared" si="18"/>
        <v>13.5</v>
      </c>
      <c r="E61" s="403">
        <f t="shared" si="16"/>
        <v>3.3467255185300586</v>
      </c>
      <c r="F61" s="102"/>
      <c r="G61" s="175">
        <f>G19+G41</f>
        <v>42360053</v>
      </c>
      <c r="H61" s="175">
        <f>H19+H41</f>
        <v>51414604</v>
      </c>
      <c r="I61" s="103">
        <f t="shared" si="19"/>
        <v>21.4</v>
      </c>
      <c r="J61" s="403">
        <f t="shared" si="17"/>
        <v>2.9959000501890145</v>
      </c>
      <c r="K61" s="138"/>
      <c r="L61" s="221">
        <f ca="1">L20+L41</f>
        <v>0</v>
      </c>
      <c r="M61" s="219">
        <f ca="1">M20+M41</f>
        <v>0</v>
      </c>
      <c r="N61" s="221">
        <f ca="1">N20+N41</f>
        <v>0</v>
      </c>
      <c r="O61" s="219">
        <f ca="1">O20+O41</f>
        <v>0</v>
      </c>
      <c r="P61" s="205"/>
      <c r="Q61" s="205"/>
      <c r="R61" s="205"/>
      <c r="S61" s="180"/>
      <c r="T61" s="138"/>
    </row>
    <row r="62" spans="1:20" ht="18" x14ac:dyDescent="0.35">
      <c r="A62" s="85" t="s">
        <v>91</v>
      </c>
      <c r="B62" s="102">
        <f>B20</f>
        <v>34452.757850000002</v>
      </c>
      <c r="C62" s="102">
        <f>+C20</f>
        <v>34165.241999999998</v>
      </c>
      <c r="D62" s="103">
        <f t="shared" si="18"/>
        <v>-0.8</v>
      </c>
      <c r="E62" s="403">
        <f t="shared" si="16"/>
        <v>2.5749222230964666E-2</v>
      </c>
      <c r="F62" s="102"/>
      <c r="G62" s="175">
        <f>+G20</f>
        <v>22414.323470655629</v>
      </c>
      <c r="H62" s="175">
        <f>+H20</f>
        <v>22010.537</v>
      </c>
      <c r="I62" s="103">
        <f t="shared" si="19"/>
        <v>-1.8</v>
      </c>
      <c r="J62" s="403">
        <f t="shared" si="17"/>
        <v>1.2825416082750955E-3</v>
      </c>
      <c r="K62" s="138"/>
      <c r="L62" s="221">
        <f ca="1">L21</f>
        <v>0</v>
      </c>
      <c r="M62" s="219">
        <f t="shared" ref="M62:O63" ca="1" si="22">+M21</f>
        <v>0</v>
      </c>
      <c r="N62" s="221">
        <f t="shared" ca="1" si="22"/>
        <v>0</v>
      </c>
      <c r="O62" s="219">
        <f t="shared" ca="1" si="22"/>
        <v>0</v>
      </c>
      <c r="P62" s="205"/>
      <c r="Q62" s="205"/>
      <c r="R62" s="205"/>
      <c r="S62" s="180"/>
      <c r="T62" s="138"/>
    </row>
    <row r="63" spans="1:20" ht="18" x14ac:dyDescent="0.35">
      <c r="A63" s="85" t="s">
        <v>92</v>
      </c>
      <c r="B63" s="102">
        <f>B21</f>
        <v>508488.73802438495</v>
      </c>
      <c r="C63" s="102">
        <f>+C21</f>
        <v>535456.72047683294</v>
      </c>
      <c r="D63" s="103">
        <f t="shared" si="18"/>
        <v>5.3</v>
      </c>
      <c r="E63" s="403">
        <f t="shared" si="16"/>
        <v>0.40355616654556409</v>
      </c>
      <c r="F63" s="102"/>
      <c r="G63" s="175">
        <f>+G21</f>
        <v>513146.81849719601</v>
      </c>
      <c r="H63" s="175">
        <f>+H21</f>
        <v>556565.27800000005</v>
      </c>
      <c r="I63" s="103">
        <f t="shared" si="19"/>
        <v>8.5</v>
      </c>
      <c r="J63" s="403">
        <f t="shared" si="17"/>
        <v>3.2430745635883204E-2</v>
      </c>
      <c r="K63" s="138"/>
      <c r="L63" s="221">
        <f ca="1">L22</f>
        <v>0</v>
      </c>
      <c r="M63" s="219">
        <f t="shared" ca="1" si="22"/>
        <v>0</v>
      </c>
      <c r="N63" s="221">
        <f t="shared" ca="1" si="22"/>
        <v>0</v>
      </c>
      <c r="O63" s="219">
        <f t="shared" ca="1" si="22"/>
        <v>0</v>
      </c>
      <c r="P63" s="205"/>
      <c r="Q63" s="205"/>
      <c r="R63" s="205"/>
      <c r="S63" s="180"/>
      <c r="T63" s="138"/>
    </row>
    <row r="64" spans="1:20" ht="18" x14ac:dyDescent="0.35">
      <c r="A64" s="85" t="s">
        <v>484</v>
      </c>
      <c r="B64" s="102">
        <f>B22</f>
        <v>14663</v>
      </c>
      <c r="C64" s="102">
        <f>C22</f>
        <v>0</v>
      </c>
      <c r="D64" s="103">
        <f>IF(B64=0, "    ---- ", IF(ABS(ROUND(100/B64*C64-100,1))&lt;999,ROUND(100/B64*C64-100,1),IF(ROUND(100/B64*C64-100,1)&gt;999,999,-999)))</f>
        <v>-100</v>
      </c>
      <c r="E64" s="403">
        <f t="shared" si="16"/>
        <v>0</v>
      </c>
      <c r="F64" s="102"/>
      <c r="G64" s="175">
        <f>G22</f>
        <v>2056</v>
      </c>
      <c r="H64" s="175">
        <f>H22</f>
        <v>0</v>
      </c>
      <c r="I64" s="103">
        <f>IF(G64=0, "    ---- ", IF(ABS(ROUND(100/G64*H64-100,1))&lt;999,ROUND(100/G64*H64-100,1),IF(ROUND(100/G64*H64-100,1)&gt;999,999,-999)))</f>
        <v>-100</v>
      </c>
      <c r="J64" s="403">
        <f t="shared" si="17"/>
        <v>0</v>
      </c>
      <c r="K64" s="138"/>
      <c r="L64" s="221">
        <f ca="1">L23</f>
        <v>0</v>
      </c>
      <c r="M64" s="219">
        <f ca="1">M23</f>
        <v>0</v>
      </c>
      <c r="N64" s="221">
        <f ca="1">N23</f>
        <v>0</v>
      </c>
      <c r="O64" s="219">
        <f ca="1">O23</f>
        <v>0</v>
      </c>
      <c r="P64" s="205"/>
      <c r="Q64" s="205"/>
      <c r="R64" s="205"/>
      <c r="S64" s="180"/>
      <c r="T64" s="138"/>
    </row>
    <row r="65" spans="1:240" ht="18" x14ac:dyDescent="0.35">
      <c r="A65" s="85" t="s">
        <v>63</v>
      </c>
      <c r="B65" s="104">
        <f>B23+B42</f>
        <v>34251550.587859996</v>
      </c>
      <c r="C65" s="104">
        <f>C23+C42</f>
        <v>50161054.579180002</v>
      </c>
      <c r="D65" s="105">
        <f t="shared" si="18"/>
        <v>46.4</v>
      </c>
      <c r="E65" s="405">
        <f t="shared" si="16"/>
        <v>37.804741488406663</v>
      </c>
      <c r="F65" s="104"/>
      <c r="G65" s="176">
        <f>G23+G42</f>
        <v>539562592.48258996</v>
      </c>
      <c r="H65" s="176">
        <f>H23+H42</f>
        <v>576357327.91599</v>
      </c>
      <c r="I65" s="103">
        <f t="shared" si="19"/>
        <v>6.8</v>
      </c>
      <c r="J65" s="403">
        <f t="shared" si="17"/>
        <v>33.584017249852216</v>
      </c>
      <c r="K65" s="138"/>
      <c r="L65" s="221">
        <f ca="1">L11+L42</f>
        <v>0</v>
      </c>
      <c r="M65" s="219">
        <f ca="1">M11+M42</f>
        <v>0</v>
      </c>
      <c r="N65" s="221">
        <f ca="1">N11+N42</f>
        <v>0</v>
      </c>
      <c r="O65" s="219">
        <f ca="1">O11+O42</f>
        <v>0</v>
      </c>
      <c r="P65" s="208"/>
      <c r="Q65" s="208"/>
      <c r="R65" s="208"/>
      <c r="S65" s="180"/>
      <c r="T65" s="138"/>
    </row>
    <row r="66" spans="1:240" ht="18" x14ac:dyDescent="0.35">
      <c r="A66" s="85" t="s">
        <v>93</v>
      </c>
      <c r="B66" s="102">
        <f>B24</f>
        <v>194718</v>
      </c>
      <c r="C66" s="102">
        <f>C24</f>
        <v>253776.878</v>
      </c>
      <c r="D66" s="103">
        <f t="shared" si="18"/>
        <v>30.3</v>
      </c>
      <c r="E66" s="403">
        <f t="shared" si="16"/>
        <v>0.19126330873647573</v>
      </c>
      <c r="F66" s="102"/>
      <c r="G66" s="175">
        <f>G24</f>
        <v>52996</v>
      </c>
      <c r="H66" s="175">
        <f>H24</f>
        <v>72087.316999999995</v>
      </c>
      <c r="I66" s="103">
        <f t="shared" si="19"/>
        <v>36</v>
      </c>
      <c r="J66" s="403">
        <f t="shared" si="17"/>
        <v>4.200487406618777E-3</v>
      </c>
      <c r="K66" s="138"/>
      <c r="L66" s="221">
        <f t="shared" ref="L66:O67" ca="1" si="23">L25</f>
        <v>0</v>
      </c>
      <c r="M66" s="219">
        <f t="shared" ca="1" si="23"/>
        <v>0</v>
      </c>
      <c r="N66" s="221">
        <f t="shared" ca="1" si="23"/>
        <v>0</v>
      </c>
      <c r="O66" s="219">
        <f t="shared" ca="1" si="23"/>
        <v>0</v>
      </c>
      <c r="P66" s="205"/>
      <c r="Q66" s="205"/>
      <c r="R66" s="205"/>
      <c r="S66" s="180"/>
      <c r="T66" s="138"/>
    </row>
    <row r="67" spans="1:240" ht="18" x14ac:dyDescent="0.35">
      <c r="A67" s="107" t="s">
        <v>486</v>
      </c>
      <c r="B67" s="102">
        <f>B25</f>
        <v>98068</v>
      </c>
      <c r="C67" s="102">
        <f>C25</f>
        <v>112320</v>
      </c>
      <c r="D67" s="103">
        <f t="shared" si="18"/>
        <v>14.5</v>
      </c>
      <c r="E67" s="403">
        <f t="shared" si="16"/>
        <v>8.4651899757711396E-2</v>
      </c>
      <c r="F67" s="102"/>
      <c r="G67" s="175">
        <f>G25</f>
        <v>0</v>
      </c>
      <c r="H67" s="175">
        <f>H25</f>
        <v>0</v>
      </c>
      <c r="I67" s="103" t="str">
        <f t="shared" si="19"/>
        <v xml:space="preserve">    ---- </v>
      </c>
      <c r="J67" s="403">
        <f t="shared" si="17"/>
        <v>0</v>
      </c>
      <c r="K67" s="138"/>
      <c r="L67" s="221">
        <f t="shared" ca="1" si="23"/>
        <v>0</v>
      </c>
      <c r="M67" s="219">
        <f t="shared" ca="1" si="23"/>
        <v>0</v>
      </c>
      <c r="N67" s="221">
        <f t="shared" ca="1" si="23"/>
        <v>0</v>
      </c>
      <c r="O67" s="219">
        <f t="shared" ca="1" si="23"/>
        <v>0</v>
      </c>
      <c r="P67" s="205"/>
      <c r="Q67" s="205"/>
      <c r="R67" s="205"/>
      <c r="S67" s="180"/>
      <c r="T67" s="138"/>
    </row>
    <row r="68" spans="1:240" ht="18" x14ac:dyDescent="0.35">
      <c r="A68" s="106" t="s">
        <v>66</v>
      </c>
      <c r="B68" s="102">
        <f>B26+B43</f>
        <v>14132243.08</v>
      </c>
      <c r="C68" s="102">
        <f>+C26+C43</f>
        <v>19418429</v>
      </c>
      <c r="D68" s="103">
        <f t="shared" si="18"/>
        <v>37.4</v>
      </c>
      <c r="E68" s="403">
        <f t="shared" si="16"/>
        <v>14.635032987537715</v>
      </c>
      <c r="F68" s="102"/>
      <c r="G68" s="175">
        <f>+G26+G43</f>
        <v>151889470</v>
      </c>
      <c r="H68" s="175">
        <f>+H26+H43</f>
        <v>181214070.51999998</v>
      </c>
      <c r="I68" s="103">
        <f t="shared" si="19"/>
        <v>19.3</v>
      </c>
      <c r="J68" s="403">
        <f t="shared" si="17"/>
        <v>10.559241941566322</v>
      </c>
      <c r="K68" s="138"/>
      <c r="L68" s="221">
        <f ca="1">L27+L43</f>
        <v>0</v>
      </c>
      <c r="M68" s="219">
        <f ca="1">+M27+M43</f>
        <v>0</v>
      </c>
      <c r="N68" s="221">
        <f ca="1">+N27+N43</f>
        <v>0</v>
      </c>
      <c r="O68" s="219">
        <f ca="1">+O27+O43</f>
        <v>0</v>
      </c>
      <c r="P68" s="205"/>
      <c r="Q68" s="205"/>
      <c r="R68" s="205"/>
      <c r="S68" s="180"/>
      <c r="T68" s="138"/>
    </row>
    <row r="69" spans="1:240" ht="18.75" customHeight="1" x14ac:dyDescent="0.35">
      <c r="A69" s="106" t="s">
        <v>95</v>
      </c>
      <c r="B69" s="102">
        <f>B27</f>
        <v>4017000</v>
      </c>
      <c r="C69" s="102">
        <f>C27</f>
        <v>7476722</v>
      </c>
      <c r="D69" s="103">
        <f t="shared" si="18"/>
        <v>86.1</v>
      </c>
      <c r="E69" s="403">
        <f t="shared" si="16"/>
        <v>5.6349601251805153</v>
      </c>
      <c r="F69" s="102"/>
      <c r="G69" s="175">
        <f>G27</f>
        <v>82047000</v>
      </c>
      <c r="H69" s="175">
        <f>H27</f>
        <v>102259830</v>
      </c>
      <c r="I69" s="103">
        <f t="shared" si="19"/>
        <v>24.6</v>
      </c>
      <c r="J69" s="403">
        <f t="shared" si="17"/>
        <v>5.9586227646394025</v>
      </c>
      <c r="K69" s="138"/>
      <c r="L69" s="221">
        <f ca="1">L28</f>
        <v>0</v>
      </c>
      <c r="M69" s="219">
        <f ca="1">M28</f>
        <v>0</v>
      </c>
      <c r="N69" s="221">
        <f ca="1">N28</f>
        <v>0</v>
      </c>
      <c r="O69" s="219">
        <f ca="1">O28</f>
        <v>0</v>
      </c>
      <c r="P69" s="205"/>
      <c r="Q69" s="205"/>
      <c r="R69" s="205"/>
      <c r="S69" s="180"/>
      <c r="T69" s="138"/>
    </row>
    <row r="70" spans="1:240" ht="18.75" customHeight="1" x14ac:dyDescent="0.35">
      <c r="A70" s="106" t="s">
        <v>443</v>
      </c>
      <c r="B70" s="102">
        <f>B28</f>
        <v>307752.03923018795</v>
      </c>
      <c r="C70" s="102">
        <f>C28</f>
        <v>331132.55263506202</v>
      </c>
      <c r="D70" s="103">
        <f>IF(B70=0, "    ---- ", IF(ABS(ROUND(100/B70*C70-100,1))&lt;999,ROUND(100/B70*C70-100,1),IF(ROUND(100/B70*C70-100,1)&gt;999,999,-999)))</f>
        <v>7.6</v>
      </c>
      <c r="E70" s="403">
        <f t="shared" si="16"/>
        <v>0.24956374334204384</v>
      </c>
      <c r="F70" s="102"/>
      <c r="G70" s="175">
        <f>G28</f>
        <v>4585.8069906000001</v>
      </c>
      <c r="H70" s="175">
        <f>H28</f>
        <v>0</v>
      </c>
      <c r="I70" s="103">
        <f>IF(G70=0, "    ---- ", IF(ABS(ROUND(100/G70*H70-100,1))&lt;999,ROUND(100/G70*H70-100,1),IF(ROUND(100/G70*H70-100,1)&gt;999,999,-999)))</f>
        <v>-100</v>
      </c>
      <c r="J70" s="403">
        <f t="shared" si="17"/>
        <v>0</v>
      </c>
      <c r="K70" s="138"/>
      <c r="L70" s="221"/>
      <c r="M70" s="219"/>
      <c r="N70" s="221"/>
      <c r="O70" s="219"/>
      <c r="P70" s="205"/>
      <c r="Q70" s="205"/>
      <c r="R70" s="205"/>
      <c r="S70" s="180"/>
      <c r="T70" s="138"/>
    </row>
    <row r="71" spans="1:240" ht="18.75" customHeight="1" x14ac:dyDescent="0.35">
      <c r="A71" s="106" t="s">
        <v>72</v>
      </c>
      <c r="B71" s="102">
        <f>B44</f>
        <v>146915.30192</v>
      </c>
      <c r="C71" s="102">
        <f>C44</f>
        <v>178297.44472</v>
      </c>
      <c r="D71" s="103">
        <f t="shared" si="18"/>
        <v>21.4</v>
      </c>
      <c r="E71" s="403">
        <f t="shared" si="16"/>
        <v>0.13437693569705778</v>
      </c>
      <c r="F71" s="102"/>
      <c r="G71" s="175">
        <f>G44</f>
        <v>2931716.44123</v>
      </c>
      <c r="H71" s="175">
        <f>H44</f>
        <v>3211246.3059999999</v>
      </c>
      <c r="I71" s="103">
        <f t="shared" si="19"/>
        <v>9.5</v>
      </c>
      <c r="J71" s="403">
        <f t="shared" si="17"/>
        <v>0.18711751566373414</v>
      </c>
      <c r="K71" s="138"/>
      <c r="L71" s="221">
        <f ca="1">L44</f>
        <v>0</v>
      </c>
      <c r="M71" s="219">
        <f ca="1">M44</f>
        <v>0</v>
      </c>
      <c r="N71" s="221">
        <f ca="1">N44</f>
        <v>0</v>
      </c>
      <c r="O71" s="219">
        <f ca="1">O44</f>
        <v>0</v>
      </c>
      <c r="P71" s="205"/>
      <c r="Q71" s="205"/>
      <c r="R71" s="205"/>
      <c r="S71" s="180"/>
      <c r="T71" s="138"/>
    </row>
    <row r="72" spans="1:240" ht="18.75" customHeight="1" x14ac:dyDescent="0.35">
      <c r="A72" s="85" t="s">
        <v>498</v>
      </c>
      <c r="B72" s="102">
        <f>B29+B45</f>
        <v>5514105.8595000003</v>
      </c>
      <c r="C72" s="102">
        <f>+C29+C45</f>
        <v>6355720.5576600004</v>
      </c>
      <c r="D72" s="103">
        <f t="shared" si="18"/>
        <v>15.3</v>
      </c>
      <c r="E72" s="403">
        <f t="shared" si="16"/>
        <v>4.7900981083961893</v>
      </c>
      <c r="F72" s="102"/>
      <c r="G72" s="175">
        <f>+G29+G45</f>
        <v>62883783.276450008</v>
      </c>
      <c r="H72" s="175">
        <f>+H29+H45</f>
        <v>76850324.804260001</v>
      </c>
      <c r="I72" s="103">
        <f t="shared" si="19"/>
        <v>22.2</v>
      </c>
      <c r="J72" s="403">
        <f t="shared" si="17"/>
        <v>4.4780251917942344</v>
      </c>
      <c r="K72" s="138"/>
      <c r="L72" s="221" t="e">
        <f ca="1">L30+L45</f>
        <v>#REF!</v>
      </c>
      <c r="M72" s="219" t="e">
        <f t="shared" ref="M72:O73" ca="1" si="24">+M30+M45</f>
        <v>#REF!</v>
      </c>
      <c r="N72" s="221" t="e">
        <f t="shared" ca="1" si="24"/>
        <v>#REF!</v>
      </c>
      <c r="O72" s="219" t="e">
        <f t="shared" ca="1" si="24"/>
        <v>#REF!</v>
      </c>
      <c r="P72" s="205"/>
      <c r="Q72" s="205"/>
      <c r="R72" s="205"/>
      <c r="S72" s="180"/>
      <c r="T72" s="138"/>
    </row>
    <row r="73" spans="1:240" ht="18.75" customHeight="1" x14ac:dyDescent="0.35">
      <c r="A73" s="106" t="s">
        <v>96</v>
      </c>
      <c r="B73" s="102">
        <f>B46+B30</f>
        <v>17735032.972999997</v>
      </c>
      <c r="C73" s="102">
        <f>+C30+C46</f>
        <v>19103129.366</v>
      </c>
      <c r="D73" s="103">
        <f t="shared" si="18"/>
        <v>7.7</v>
      </c>
      <c r="E73" s="403">
        <f t="shared" si="16"/>
        <v>14.397401995630565</v>
      </c>
      <c r="F73" s="102"/>
      <c r="G73" s="175">
        <f>+G30+G46</f>
        <v>320864940.03200001</v>
      </c>
      <c r="H73" s="175">
        <f>+H30+H46</f>
        <v>354145789.32200003</v>
      </c>
      <c r="I73" s="103">
        <f t="shared" si="19"/>
        <v>10.4</v>
      </c>
      <c r="J73" s="403">
        <f t="shared" si="17"/>
        <v>20.635875908020378</v>
      </c>
      <c r="K73" s="138"/>
      <c r="L73" s="221">
        <f ca="1">L46+L31</f>
        <v>0</v>
      </c>
      <c r="M73" s="219">
        <f t="shared" ca="1" si="24"/>
        <v>0</v>
      </c>
      <c r="N73" s="221">
        <f t="shared" ca="1" si="24"/>
        <v>0</v>
      </c>
      <c r="O73" s="219">
        <f t="shared" ca="1" si="24"/>
        <v>0</v>
      </c>
      <c r="P73" s="205"/>
      <c r="Q73" s="205"/>
      <c r="R73" s="205"/>
      <c r="S73" s="180"/>
      <c r="T73" s="138"/>
    </row>
    <row r="74" spans="1:240" ht="18.75" customHeight="1" x14ac:dyDescent="0.35">
      <c r="A74" s="106" t="s">
        <v>97</v>
      </c>
      <c r="B74" s="102">
        <f>B31</f>
        <v>1726</v>
      </c>
      <c r="C74" s="102">
        <f>+C31</f>
        <v>1344</v>
      </c>
      <c r="D74" s="103">
        <f t="shared" si="18"/>
        <v>-22.1</v>
      </c>
      <c r="E74" s="403">
        <f t="shared" si="16"/>
        <v>1.0129287150495382E-3</v>
      </c>
      <c r="F74" s="102"/>
      <c r="G74" s="175">
        <f t="shared" ref="G74:H76" si="25">+G31</f>
        <v>0</v>
      </c>
      <c r="H74" s="175">
        <f t="shared" si="25"/>
        <v>0</v>
      </c>
      <c r="I74" s="103" t="str">
        <f t="shared" si="19"/>
        <v xml:space="preserve">    ---- </v>
      </c>
      <c r="J74" s="403">
        <f t="shared" si="17"/>
        <v>0</v>
      </c>
      <c r="K74" s="138"/>
      <c r="L74" s="221">
        <f ca="1">L32</f>
        <v>0</v>
      </c>
      <c r="M74" s="219">
        <f t="shared" ref="M74:O75" ca="1" si="26">+M32</f>
        <v>0</v>
      </c>
      <c r="N74" s="221">
        <f t="shared" ca="1" si="26"/>
        <v>0</v>
      </c>
      <c r="O74" s="219">
        <f t="shared" ca="1" si="26"/>
        <v>0</v>
      </c>
      <c r="P74" s="205"/>
      <c r="Q74" s="205"/>
      <c r="R74" s="205"/>
      <c r="S74" s="180"/>
      <c r="T74" s="138"/>
    </row>
    <row r="75" spans="1:240" ht="18.75" customHeight="1" x14ac:dyDescent="0.35">
      <c r="A75" s="106" t="s">
        <v>98</v>
      </c>
      <c r="B75" s="102">
        <f>B32</f>
        <v>598971.11495999992</v>
      </c>
      <c r="C75" s="102">
        <f>+C32</f>
        <v>589319.00377000007</v>
      </c>
      <c r="D75" s="103">
        <f t="shared" si="18"/>
        <v>-1.6</v>
      </c>
      <c r="E75" s="403">
        <f t="shared" si="16"/>
        <v>0.44415040271058043</v>
      </c>
      <c r="F75" s="102"/>
      <c r="G75" s="175">
        <f t="shared" si="25"/>
        <v>0</v>
      </c>
      <c r="H75" s="175">
        <f t="shared" si="25"/>
        <v>0</v>
      </c>
      <c r="I75" s="103" t="str">
        <f t="shared" si="19"/>
        <v xml:space="preserve">    ---- </v>
      </c>
      <c r="J75" s="403">
        <f t="shared" si="17"/>
        <v>0</v>
      </c>
      <c r="K75" s="138"/>
      <c r="L75" s="221">
        <f ca="1">L33</f>
        <v>0</v>
      </c>
      <c r="M75" s="219">
        <f t="shared" ca="1" si="26"/>
        <v>0</v>
      </c>
      <c r="N75" s="221">
        <f t="shared" ca="1" si="26"/>
        <v>0</v>
      </c>
      <c r="O75" s="219">
        <f t="shared" ca="1" si="26"/>
        <v>0</v>
      </c>
      <c r="P75" s="205"/>
      <c r="Q75" s="205"/>
      <c r="R75" s="205"/>
      <c r="S75" s="180"/>
      <c r="T75" s="138"/>
    </row>
    <row r="76" spans="1:240" ht="18" x14ac:dyDescent="0.35">
      <c r="A76" s="191" t="s">
        <v>490</v>
      </c>
      <c r="B76" s="102">
        <f>B33</f>
        <v>1278</v>
      </c>
      <c r="C76" s="102">
        <f>C33</f>
        <v>1909</v>
      </c>
      <c r="D76" s="103">
        <f t="shared" si="18"/>
        <v>49.4</v>
      </c>
      <c r="E76" s="403">
        <f>100/C$34*C76</f>
        <v>2.4500144934545597E-3</v>
      </c>
      <c r="F76" s="191"/>
      <c r="G76" s="175">
        <f t="shared" si="25"/>
        <v>0</v>
      </c>
      <c r="H76" s="175">
        <f t="shared" si="25"/>
        <v>0</v>
      </c>
      <c r="I76" s="191"/>
      <c r="J76" s="403">
        <f>100/H$34*H76</f>
        <v>0</v>
      </c>
      <c r="K76" s="205"/>
      <c r="L76" s="221">
        <f ca="1">INDIRECT("'" &amp; $A75 &amp; "'!" &amp; $P$7)</f>
        <v>0</v>
      </c>
      <c r="M76" s="219">
        <f ca="1">INDIRECT("'" &amp; $A75 &amp; "'!" &amp; $P$8)</f>
        <v>0</v>
      </c>
      <c r="N76" s="221">
        <f ca="1">INDIRECT("'" &amp; $A75 &amp; "'!" &amp; $P$10)</f>
        <v>0</v>
      </c>
      <c r="O76" s="219">
        <f ca="1">INDIRECT("'" &amp; $A75 &amp; "'!" &amp; $P$12)</f>
        <v>0</v>
      </c>
    </row>
    <row r="77" spans="1:240" s="110" customFormat="1" ht="18.75" customHeight="1" x14ac:dyDescent="0.3">
      <c r="A77" s="112" t="s">
        <v>2</v>
      </c>
      <c r="B77" s="113">
        <f>SUM(B51:B76)</f>
        <v>104057601.31745456</v>
      </c>
      <c r="C77" s="113">
        <f>SUM(C51:C76)</f>
        <v>132684559.14336188</v>
      </c>
      <c r="D77" s="114">
        <f>IF(B77=0, "    ---- ", IF(ABS(ROUND(100/B77*C77-100,1))&lt;999,ROUND(100/B77*C77-100,1),IF(ROUND(100/B77*C77-100,1)&gt;999,999,-999)))</f>
        <v>27.5</v>
      </c>
      <c r="E77" s="406">
        <f>SUM(E51:E75)</f>
        <v>99.998561249317689</v>
      </c>
      <c r="F77" s="108"/>
      <c r="G77" s="179">
        <f>SUM(G51:G76)</f>
        <v>1547026779.4556584</v>
      </c>
      <c r="H77" s="179">
        <f>SUM(H51:H76)</f>
        <v>1716165530.84794</v>
      </c>
      <c r="I77" s="114">
        <f>IF(G77=0, "    ---- ", IF(ABS(ROUND(100/G77*H77-100,1))&lt;999,ROUND(100/G77*H77-100,1),IF(ROUND(100/G77*H77-100,1)&gt;999,999,-999)))</f>
        <v>10.9</v>
      </c>
      <c r="J77" s="406">
        <f>SUM(J51:J75)</f>
        <v>100</v>
      </c>
      <c r="K77" s="178"/>
      <c r="L77" s="227" t="e">
        <f ca="1">SUM(L51:L75)</f>
        <v>#REF!</v>
      </c>
      <c r="M77" s="228" t="e">
        <f ca="1">SUM(M51:M75)</f>
        <v>#REF!</v>
      </c>
      <c r="N77" s="227" t="e">
        <f ca="1">SUM(N51:N75)</f>
        <v>#REF!</v>
      </c>
      <c r="O77" s="228" t="e">
        <f ca="1">SUM(O51:O75)</f>
        <v>#REF!</v>
      </c>
      <c r="P77" s="207"/>
      <c r="Q77" s="207"/>
      <c r="R77" s="207"/>
      <c r="S77" s="137"/>
      <c r="T77" s="178"/>
    </row>
    <row r="78" spans="1:240" ht="18.75" customHeight="1" x14ac:dyDescent="0.35">
      <c r="A78" s="111" t="s">
        <v>102</v>
      </c>
      <c r="B78" s="111"/>
      <c r="C78" s="111"/>
      <c r="D78" s="111"/>
      <c r="E78" s="111"/>
      <c r="F78" s="111"/>
      <c r="G78" s="111"/>
      <c r="H78" s="111"/>
      <c r="I78" s="111"/>
      <c r="J78" s="111"/>
      <c r="K78" s="111"/>
      <c r="L78" s="184"/>
      <c r="M78" s="184"/>
      <c r="N78" s="184"/>
      <c r="O78" s="184"/>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1"/>
      <c r="GV78" s="111"/>
      <c r="GW78" s="111"/>
      <c r="GX78" s="111"/>
      <c r="GY78" s="111"/>
      <c r="GZ78" s="111"/>
      <c r="HA78" s="111"/>
      <c r="HB78" s="111"/>
      <c r="HC78" s="111"/>
      <c r="HD78" s="111"/>
      <c r="HE78" s="111"/>
      <c r="HF78" s="111"/>
      <c r="HG78" s="111"/>
      <c r="HH78" s="111"/>
      <c r="HI78" s="111"/>
      <c r="HJ78" s="111"/>
      <c r="HK78" s="111"/>
      <c r="HL78" s="111"/>
      <c r="HM78" s="111"/>
      <c r="HN78" s="111"/>
      <c r="HO78" s="111"/>
      <c r="HP78" s="111"/>
      <c r="HQ78" s="111"/>
      <c r="HR78" s="111"/>
      <c r="HS78" s="111"/>
      <c r="HT78" s="111"/>
      <c r="HU78" s="111"/>
      <c r="HV78" s="111"/>
      <c r="HW78" s="111"/>
      <c r="HX78" s="111"/>
      <c r="HY78" s="111"/>
      <c r="HZ78" s="111"/>
      <c r="IA78" s="111"/>
      <c r="IB78" s="111"/>
      <c r="IC78" s="111"/>
      <c r="ID78" s="111"/>
      <c r="IE78" s="111"/>
      <c r="IF78" s="111"/>
    </row>
    <row r="79" spans="1:240" ht="18.75" customHeight="1" x14ac:dyDescent="0.35">
      <c r="A79" s="74"/>
      <c r="B79" s="74"/>
      <c r="C79" s="74"/>
      <c r="D79" s="74"/>
      <c r="E79" s="74"/>
      <c r="F79" s="74"/>
      <c r="G79" s="74"/>
      <c r="H79" s="74"/>
      <c r="I79" s="74"/>
      <c r="J79" s="74"/>
      <c r="K79" s="74"/>
    </row>
    <row r="80" spans="1:240" ht="18.75" customHeight="1" x14ac:dyDescent="0.35">
      <c r="A80" s="74"/>
      <c r="B80" s="74"/>
      <c r="C80" s="74"/>
      <c r="D80" s="74"/>
      <c r="E80" s="74"/>
      <c r="F80" s="74"/>
      <c r="G80" s="74"/>
      <c r="H80" s="74"/>
      <c r="I80" s="74"/>
      <c r="J80" s="74"/>
      <c r="K80" s="74"/>
    </row>
    <row r="81" spans="1:11" ht="18.75" customHeight="1" x14ac:dyDescent="0.35">
      <c r="A81" s="74"/>
      <c r="B81" s="76"/>
      <c r="C81" s="76"/>
      <c r="D81" s="74"/>
      <c r="E81" s="74"/>
      <c r="F81" s="74"/>
      <c r="G81" s="76"/>
      <c r="H81" s="76"/>
      <c r="I81" s="74"/>
      <c r="J81" s="74"/>
      <c r="K81" s="74"/>
    </row>
    <row r="82" spans="1:11" ht="18.75" customHeight="1" x14ac:dyDescent="0.35">
      <c r="A82" s="74"/>
      <c r="B82" s="74"/>
      <c r="C82" s="74"/>
      <c r="D82" s="74"/>
      <c r="E82" s="74"/>
      <c r="F82" s="74"/>
      <c r="G82" s="74"/>
      <c r="H82" s="74"/>
      <c r="I82" s="74"/>
      <c r="J82" s="74"/>
      <c r="K82" s="74"/>
    </row>
    <row r="83" spans="1:11" ht="18.75" customHeight="1" x14ac:dyDescent="0.35">
      <c r="A83" s="74"/>
      <c r="B83" s="74"/>
      <c r="C83" s="74"/>
      <c r="D83" s="74"/>
      <c r="E83" s="74"/>
      <c r="F83" s="74"/>
      <c r="G83" s="74"/>
      <c r="H83" s="74"/>
      <c r="I83" s="74"/>
      <c r="J83" s="74"/>
      <c r="K83" s="74"/>
    </row>
    <row r="84" spans="1:11" ht="18.75" customHeight="1" x14ac:dyDescent="0.35">
      <c r="A84" s="74"/>
      <c r="B84" s="74"/>
      <c r="C84" s="74"/>
      <c r="D84" s="74"/>
      <c r="E84" s="74"/>
      <c r="F84" s="74"/>
      <c r="G84" s="74"/>
      <c r="H84" s="74"/>
      <c r="I84" s="74"/>
      <c r="J84" s="74"/>
      <c r="K84" s="74"/>
    </row>
    <row r="85" spans="1:11" ht="18.75" customHeight="1" x14ac:dyDescent="0.35">
      <c r="A85" s="74"/>
      <c r="B85" s="74"/>
      <c r="C85" s="74"/>
      <c r="D85" s="74"/>
      <c r="E85" s="74"/>
      <c r="F85" s="74"/>
      <c r="G85" s="74"/>
      <c r="H85" s="74"/>
      <c r="I85" s="74"/>
      <c r="J85" s="74"/>
      <c r="K85" s="74"/>
    </row>
    <row r="86" spans="1:11" ht="18" x14ac:dyDescent="0.35">
      <c r="A86" s="74"/>
      <c r="B86" s="74"/>
      <c r="C86" s="74"/>
      <c r="D86" s="74"/>
      <c r="E86" s="74"/>
      <c r="F86" s="74"/>
      <c r="G86" s="74"/>
      <c r="H86" s="74"/>
      <c r="I86" s="74"/>
      <c r="J86" s="74"/>
      <c r="K86" s="74"/>
    </row>
    <row r="87" spans="1:11" ht="18" x14ac:dyDescent="0.35">
      <c r="A87" s="74"/>
      <c r="B87" s="74"/>
      <c r="C87" s="74"/>
      <c r="D87" s="74"/>
      <c r="E87" s="74"/>
      <c r="F87" s="74"/>
      <c r="G87" s="74"/>
      <c r="H87" s="74"/>
      <c r="I87" s="74"/>
      <c r="J87" s="74"/>
      <c r="K87" s="74"/>
    </row>
    <row r="88" spans="1:11" ht="18" x14ac:dyDescent="0.35">
      <c r="A88" s="74"/>
      <c r="B88" s="74"/>
      <c r="C88" s="74"/>
      <c r="D88" s="74"/>
      <c r="E88" s="74"/>
      <c r="F88" s="74"/>
      <c r="G88" s="74"/>
      <c r="H88" s="74"/>
      <c r="I88" s="74"/>
      <c r="J88" s="74"/>
      <c r="K88" s="74"/>
    </row>
    <row r="89" spans="1:11" ht="18" x14ac:dyDescent="0.35">
      <c r="A89" s="74"/>
      <c r="B89" s="74"/>
      <c r="C89" s="74"/>
      <c r="D89" s="74"/>
      <c r="E89" s="74"/>
      <c r="F89" s="74"/>
      <c r="G89" s="74"/>
      <c r="H89" s="74"/>
      <c r="I89" s="74"/>
      <c r="J89" s="74"/>
      <c r="K89" s="74"/>
    </row>
    <row r="90" spans="1:11" ht="18" x14ac:dyDescent="0.35">
      <c r="A90" s="74"/>
      <c r="B90" s="74"/>
      <c r="C90" s="74"/>
      <c r="D90" s="74"/>
      <c r="E90" s="74"/>
      <c r="F90" s="74"/>
      <c r="G90" s="74"/>
      <c r="H90" s="74"/>
      <c r="I90" s="74"/>
      <c r="J90" s="74"/>
      <c r="K90" s="74"/>
    </row>
    <row r="91" spans="1:11" ht="18" x14ac:dyDescent="0.35">
      <c r="A91" s="74"/>
      <c r="B91" s="74"/>
      <c r="C91" s="74"/>
      <c r="D91" s="74"/>
      <c r="E91" s="74"/>
      <c r="F91" s="74"/>
      <c r="G91" s="74"/>
      <c r="H91" s="74"/>
      <c r="I91" s="74"/>
      <c r="J91" s="74"/>
      <c r="K91" s="74"/>
    </row>
    <row r="92" spans="1:11" ht="18" x14ac:dyDescent="0.35">
      <c r="A92" s="74"/>
      <c r="B92" s="74"/>
      <c r="C92" s="74"/>
      <c r="D92" s="74"/>
      <c r="E92" s="74"/>
      <c r="F92" s="74"/>
      <c r="G92" s="74"/>
      <c r="H92" s="74"/>
      <c r="I92" s="74"/>
      <c r="J92" s="74"/>
      <c r="K92" s="74"/>
    </row>
    <row r="93" spans="1:11" ht="18" x14ac:dyDescent="0.35">
      <c r="A93" s="74"/>
      <c r="B93" s="74"/>
      <c r="C93" s="74"/>
      <c r="D93" s="74"/>
      <c r="E93" s="74"/>
      <c r="F93" s="74"/>
      <c r="G93" s="74"/>
      <c r="H93" s="74"/>
      <c r="I93" s="74"/>
      <c r="J93" s="74"/>
      <c r="K93" s="74"/>
    </row>
    <row r="94" spans="1:11" ht="18" x14ac:dyDescent="0.35">
      <c r="A94" s="74"/>
      <c r="B94" s="74"/>
      <c r="C94" s="74"/>
      <c r="D94" s="74"/>
      <c r="E94" s="74"/>
      <c r="F94" s="74"/>
      <c r="G94" s="74"/>
      <c r="H94" s="74"/>
      <c r="I94" s="74"/>
      <c r="J94" s="74"/>
      <c r="K94" s="74"/>
    </row>
    <row r="95" spans="1:11" ht="18" x14ac:dyDescent="0.35">
      <c r="A95" s="74"/>
      <c r="B95" s="74"/>
      <c r="C95" s="74"/>
      <c r="D95" s="74"/>
      <c r="E95" s="74"/>
      <c r="F95" s="74"/>
      <c r="G95" s="74"/>
      <c r="H95" s="74"/>
      <c r="I95" s="74"/>
      <c r="J95" s="74"/>
      <c r="K95" s="74"/>
    </row>
    <row r="96" spans="1:11" ht="18" x14ac:dyDescent="0.35">
      <c r="A96" s="74"/>
      <c r="B96" s="74"/>
      <c r="C96" s="74"/>
      <c r="D96" s="74"/>
      <c r="E96" s="74"/>
      <c r="F96" s="74"/>
      <c r="G96" s="74"/>
      <c r="H96" s="74"/>
      <c r="I96" s="74"/>
      <c r="J96" s="74"/>
      <c r="K96" s="74"/>
    </row>
    <row r="97" spans="1:11" ht="18" x14ac:dyDescent="0.35">
      <c r="A97" s="74"/>
      <c r="B97" s="74"/>
      <c r="C97" s="74"/>
      <c r="D97" s="74"/>
      <c r="E97" s="74"/>
      <c r="F97" s="74"/>
      <c r="G97" s="74"/>
      <c r="H97" s="74"/>
      <c r="I97" s="74"/>
      <c r="J97" s="74"/>
      <c r="K97" s="74"/>
    </row>
    <row r="98" spans="1:11" ht="18" x14ac:dyDescent="0.35">
      <c r="A98" s="74"/>
      <c r="B98" s="74"/>
      <c r="C98" s="74"/>
      <c r="D98" s="74"/>
      <c r="E98" s="74"/>
      <c r="F98" s="74"/>
      <c r="G98" s="74"/>
      <c r="H98" s="74"/>
      <c r="I98" s="74"/>
      <c r="J98" s="74"/>
      <c r="K98" s="74"/>
    </row>
    <row r="99" spans="1:11" ht="18" x14ac:dyDescent="0.35">
      <c r="A99" s="74"/>
      <c r="B99" s="74"/>
      <c r="C99" s="74"/>
      <c r="D99" s="74"/>
      <c r="E99" s="74"/>
      <c r="F99" s="74"/>
      <c r="G99" s="74"/>
      <c r="H99" s="74"/>
      <c r="I99" s="74"/>
      <c r="J99" s="74"/>
      <c r="K99" s="74"/>
    </row>
    <row r="100" spans="1:11" ht="18" x14ac:dyDescent="0.35">
      <c r="A100" s="74"/>
      <c r="B100" s="74"/>
      <c r="C100" s="74"/>
      <c r="D100" s="74"/>
      <c r="E100" s="74"/>
      <c r="F100" s="74"/>
      <c r="G100" s="74"/>
      <c r="H100" s="74"/>
      <c r="I100" s="74"/>
      <c r="J100" s="74"/>
      <c r="K100" s="74"/>
    </row>
    <row r="101" spans="1:11" ht="18" x14ac:dyDescent="0.35">
      <c r="A101" s="74"/>
      <c r="B101" s="74"/>
      <c r="C101" s="74"/>
      <c r="D101" s="74"/>
      <c r="E101" s="74"/>
      <c r="F101" s="74"/>
      <c r="G101" s="74"/>
      <c r="H101" s="74"/>
      <c r="I101" s="74"/>
      <c r="J101" s="74"/>
      <c r="K101" s="74"/>
    </row>
    <row r="102" spans="1:11" ht="18" x14ac:dyDescent="0.35">
      <c r="A102" s="74"/>
      <c r="B102" s="74"/>
      <c r="C102" s="74"/>
      <c r="D102" s="74"/>
      <c r="E102" s="74"/>
      <c r="F102" s="74"/>
      <c r="G102" s="74"/>
      <c r="H102" s="74"/>
      <c r="I102" s="74"/>
      <c r="J102" s="74"/>
      <c r="K102" s="74"/>
    </row>
    <row r="103" spans="1:11" ht="18" x14ac:dyDescent="0.35">
      <c r="A103" s="111"/>
      <c r="B103" s="111"/>
      <c r="C103" s="111"/>
      <c r="D103" s="111"/>
      <c r="E103" s="111"/>
      <c r="F103" s="111"/>
      <c r="G103" s="111"/>
      <c r="H103" s="111"/>
      <c r="I103" s="111"/>
      <c r="J103" s="111"/>
      <c r="K103" s="111"/>
    </row>
    <row r="104" spans="1:11" ht="18" x14ac:dyDescent="0.35">
      <c r="A104" s="115"/>
      <c r="B104" s="116"/>
      <c r="C104" s="116"/>
      <c r="D104" s="116"/>
      <c r="E104" s="74"/>
      <c r="F104" s="74"/>
      <c r="G104" s="74"/>
      <c r="H104" s="74"/>
      <c r="I104" s="74"/>
      <c r="J104" s="75"/>
      <c r="K104" s="75"/>
    </row>
    <row r="105" spans="1:11" ht="18" x14ac:dyDescent="0.35">
      <c r="A105" s="74"/>
      <c r="B105" s="74"/>
      <c r="C105" s="74"/>
      <c r="D105" s="74"/>
      <c r="E105" s="74"/>
      <c r="F105" s="74"/>
      <c r="G105" s="74"/>
      <c r="H105" s="74"/>
      <c r="I105" s="74"/>
      <c r="J105" s="74"/>
      <c r="K105" s="74"/>
    </row>
    <row r="106" spans="1:11" ht="18" x14ac:dyDescent="0.35">
      <c r="A106" s="74"/>
      <c r="B106" s="74"/>
      <c r="C106" s="74"/>
      <c r="D106" s="74"/>
      <c r="E106" s="74"/>
      <c r="F106" s="74"/>
      <c r="G106" s="74"/>
      <c r="H106" s="74"/>
      <c r="I106" s="74"/>
      <c r="J106" s="74"/>
      <c r="K106" s="74"/>
    </row>
    <row r="107" spans="1:11" ht="18" x14ac:dyDescent="0.35">
      <c r="A107" s="74"/>
      <c r="B107" s="74"/>
      <c r="C107" s="74"/>
      <c r="D107" s="74"/>
      <c r="E107" s="74"/>
      <c r="F107" s="74"/>
      <c r="G107" s="74"/>
      <c r="H107" s="74"/>
      <c r="I107" s="74"/>
      <c r="J107" s="74"/>
      <c r="K107" s="74"/>
    </row>
    <row r="108" spans="1:11" ht="18" x14ac:dyDescent="0.35">
      <c r="A108" s="74"/>
      <c r="B108" s="74"/>
      <c r="C108" s="74"/>
      <c r="D108" s="74"/>
      <c r="E108" s="74"/>
      <c r="F108" s="74"/>
      <c r="G108" s="74"/>
      <c r="H108" s="74"/>
      <c r="I108" s="74"/>
      <c r="J108" s="74"/>
      <c r="K108" s="74"/>
    </row>
    <row r="109" spans="1:11" ht="18" x14ac:dyDescent="0.35">
      <c r="A109" s="74"/>
      <c r="B109" s="74"/>
      <c r="C109" s="74"/>
      <c r="D109" s="74"/>
      <c r="E109" s="74"/>
      <c r="F109" s="74"/>
      <c r="G109" s="74"/>
      <c r="H109" s="74"/>
      <c r="I109" s="74"/>
      <c r="J109" s="74"/>
      <c r="K109" s="74"/>
    </row>
    <row r="110" spans="1:11" ht="18" x14ac:dyDescent="0.35">
      <c r="A110" s="74"/>
      <c r="B110" s="74"/>
      <c r="C110" s="74"/>
      <c r="D110" s="74"/>
      <c r="E110" s="74"/>
      <c r="F110" s="74"/>
      <c r="G110" s="74"/>
      <c r="H110" s="74"/>
      <c r="I110" s="74"/>
      <c r="J110" s="74"/>
      <c r="K110" s="74"/>
    </row>
    <row r="111" spans="1:11" ht="18" x14ac:dyDescent="0.35">
      <c r="A111" s="74"/>
      <c r="B111" s="74"/>
      <c r="C111" s="74"/>
      <c r="D111" s="74"/>
      <c r="E111" s="74"/>
      <c r="F111" s="74"/>
      <c r="G111" s="74"/>
      <c r="H111" s="74"/>
      <c r="I111" s="74"/>
      <c r="J111" s="74"/>
      <c r="K111" s="74"/>
    </row>
    <row r="112" spans="1:11" ht="18" x14ac:dyDescent="0.35">
      <c r="A112" s="74"/>
      <c r="B112" s="74"/>
      <c r="C112" s="74"/>
      <c r="D112" s="74"/>
      <c r="E112" s="74"/>
      <c r="F112" s="74"/>
      <c r="G112" s="74"/>
      <c r="H112" s="74"/>
      <c r="I112" s="74"/>
      <c r="J112" s="74"/>
      <c r="K112" s="74"/>
    </row>
    <row r="113" spans="1:11" ht="18" x14ac:dyDescent="0.35">
      <c r="A113" s="74"/>
      <c r="B113" s="74"/>
      <c r="C113" s="74"/>
      <c r="D113" s="74"/>
      <c r="E113" s="74"/>
      <c r="F113" s="74"/>
      <c r="G113" s="74"/>
      <c r="H113" s="74"/>
      <c r="I113" s="74"/>
      <c r="J113" s="74"/>
      <c r="K113" s="74"/>
    </row>
    <row r="114" spans="1:11" ht="18" x14ac:dyDescent="0.35">
      <c r="A114" s="74"/>
      <c r="B114" s="74"/>
      <c r="C114" s="74"/>
      <c r="D114" s="74"/>
      <c r="E114" s="74"/>
      <c r="F114" s="74"/>
      <c r="G114" s="74"/>
      <c r="H114" s="74"/>
      <c r="I114" s="74"/>
      <c r="J114" s="74"/>
      <c r="K114" s="74"/>
    </row>
    <row r="115" spans="1:11" ht="18" x14ac:dyDescent="0.35">
      <c r="A115" s="74"/>
      <c r="B115" s="74"/>
      <c r="C115" s="74"/>
      <c r="D115" s="74"/>
      <c r="E115" s="74"/>
      <c r="F115" s="74"/>
      <c r="G115" s="74"/>
      <c r="H115" s="74"/>
      <c r="I115" s="74"/>
      <c r="J115" s="74"/>
      <c r="K115" s="74"/>
    </row>
    <row r="116" spans="1:11" ht="18" x14ac:dyDescent="0.35">
      <c r="A116" s="74"/>
      <c r="B116" s="74"/>
      <c r="C116" s="74"/>
      <c r="D116" s="74"/>
      <c r="E116" s="74"/>
      <c r="F116" s="74"/>
      <c r="G116" s="74"/>
      <c r="H116" s="74"/>
      <c r="I116" s="74"/>
      <c r="J116" s="74"/>
      <c r="K116"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horizontalDpi="360"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M75"/>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2.5546875" defaultRowHeight="15.6" x14ac:dyDescent="0.3"/>
  <cols>
    <col min="1" max="1" width="77.6640625" style="702" customWidth="1"/>
    <col min="2" max="34" width="11.6640625" style="702" customWidth="1"/>
    <col min="35" max="35" width="13" style="702" customWidth="1"/>
    <col min="36" max="36" width="13.33203125" style="702" customWidth="1"/>
    <col min="37" max="39" width="11.6640625" style="702" customWidth="1"/>
    <col min="40" max="40" width="7.6640625" style="702" customWidth="1"/>
    <col min="41" max="42" width="11.6640625" style="702" customWidth="1"/>
    <col min="43" max="43" width="7.6640625" style="702" customWidth="1"/>
    <col min="44" max="16384" width="12.5546875" style="702"/>
  </cols>
  <sheetData>
    <row r="1" spans="1:39" ht="20.25" customHeight="1" x14ac:dyDescent="0.35">
      <c r="A1" s="670" t="s">
        <v>173</v>
      </c>
      <c r="B1" s="466" t="s">
        <v>52</v>
      </c>
    </row>
    <row r="2" spans="1:39" ht="20.100000000000001" customHeight="1" x14ac:dyDescent="0.35">
      <c r="A2" s="703" t="s">
        <v>426</v>
      </c>
    </row>
    <row r="3" spans="1:39" ht="20.100000000000001" customHeight="1" x14ac:dyDescent="0.3">
      <c r="A3" s="704" t="s">
        <v>427</v>
      </c>
      <c r="AL3" s="705"/>
    </row>
    <row r="4" spans="1:39" ht="18.75" customHeight="1" x14ac:dyDescent="0.3">
      <c r="A4" s="706" t="s">
        <v>360</v>
      </c>
      <c r="B4" s="707"/>
      <c r="C4" s="708"/>
      <c r="D4" s="709"/>
      <c r="E4" s="707"/>
      <c r="F4" s="708"/>
      <c r="G4" s="709"/>
      <c r="H4" s="708"/>
      <c r="I4" s="708"/>
      <c r="J4" s="708"/>
      <c r="K4" s="708"/>
      <c r="L4" s="708"/>
      <c r="M4" s="709"/>
      <c r="N4" s="708"/>
      <c r="O4" s="708"/>
      <c r="P4" s="709"/>
      <c r="Q4" s="708"/>
      <c r="R4" s="708"/>
      <c r="S4" s="709"/>
      <c r="T4" s="707"/>
      <c r="U4" s="708"/>
      <c r="V4" s="709"/>
      <c r="W4" s="707"/>
      <c r="X4" s="708"/>
      <c r="Y4" s="709"/>
      <c r="Z4" s="707"/>
      <c r="AA4" s="708"/>
      <c r="AB4" s="709"/>
      <c r="AC4" s="707"/>
      <c r="AD4" s="708"/>
      <c r="AE4" s="709"/>
      <c r="AF4" s="707"/>
      <c r="AG4" s="708"/>
      <c r="AH4" s="709"/>
      <c r="AI4" s="707"/>
      <c r="AJ4" s="708"/>
      <c r="AK4" s="709"/>
      <c r="AL4" s="705"/>
      <c r="AM4" s="705"/>
    </row>
    <row r="5" spans="1:39" ht="18.75" customHeight="1" x14ac:dyDescent="0.3">
      <c r="A5" s="710" t="s">
        <v>428</v>
      </c>
      <c r="B5" s="1009" t="s">
        <v>176</v>
      </c>
      <c r="C5" s="1010"/>
      <c r="D5" s="1011"/>
      <c r="E5" s="971" t="s">
        <v>177</v>
      </c>
      <c r="F5" s="972"/>
      <c r="G5" s="973"/>
      <c r="H5" s="971" t="s">
        <v>177</v>
      </c>
      <c r="I5" s="972"/>
      <c r="J5" s="973"/>
      <c r="K5" s="971" t="s">
        <v>178</v>
      </c>
      <c r="L5" s="972"/>
      <c r="M5" s="973"/>
      <c r="N5" s="1009" t="s">
        <v>179</v>
      </c>
      <c r="O5" s="1010"/>
      <c r="P5" s="1011"/>
      <c r="Q5" s="864"/>
      <c r="R5" s="864"/>
      <c r="S5" s="865"/>
      <c r="T5" s="1009" t="s">
        <v>180</v>
      </c>
      <c r="U5" s="1010"/>
      <c r="V5" s="1011"/>
      <c r="W5" s="1009"/>
      <c r="X5" s="1010"/>
      <c r="Y5" s="1011"/>
      <c r="Z5" s="971" t="s">
        <v>68</v>
      </c>
      <c r="AA5" s="972"/>
      <c r="AB5" s="973"/>
      <c r="AC5" s="1009" t="s">
        <v>73</v>
      </c>
      <c r="AD5" s="1010"/>
      <c r="AE5" s="1011"/>
      <c r="AF5" s="1009" t="s">
        <v>405</v>
      </c>
      <c r="AG5" s="1010"/>
      <c r="AH5" s="1011"/>
      <c r="AI5" s="1009" t="s">
        <v>285</v>
      </c>
      <c r="AJ5" s="1010"/>
      <c r="AK5" s="1011"/>
      <c r="AL5" s="705"/>
      <c r="AM5" s="705"/>
    </row>
    <row r="6" spans="1:39" ht="18.75" customHeight="1" x14ac:dyDescent="0.3">
      <c r="A6" s="711" t="s">
        <v>406</v>
      </c>
      <c r="B6" s="1006" t="s">
        <v>182</v>
      </c>
      <c r="C6" s="1007"/>
      <c r="D6" s="1008"/>
      <c r="E6" s="965" t="s">
        <v>496</v>
      </c>
      <c r="F6" s="966"/>
      <c r="G6" s="967"/>
      <c r="H6" s="965" t="s">
        <v>183</v>
      </c>
      <c r="I6" s="966"/>
      <c r="J6" s="967"/>
      <c r="K6" s="965" t="s">
        <v>183</v>
      </c>
      <c r="L6" s="966"/>
      <c r="M6" s="967"/>
      <c r="N6" s="1006" t="s">
        <v>184</v>
      </c>
      <c r="O6" s="1007"/>
      <c r="P6" s="1008"/>
      <c r="Q6" s="866"/>
      <c r="R6" s="866" t="s">
        <v>63</v>
      </c>
      <c r="S6" s="867"/>
      <c r="T6" s="1006" t="s">
        <v>66</v>
      </c>
      <c r="U6" s="1007"/>
      <c r="V6" s="1008"/>
      <c r="W6" s="1006" t="s">
        <v>72</v>
      </c>
      <c r="X6" s="1007"/>
      <c r="Y6" s="1008"/>
      <c r="Z6" s="965" t="s">
        <v>497</v>
      </c>
      <c r="AA6" s="966"/>
      <c r="AB6" s="967"/>
      <c r="AC6" s="1006" t="s">
        <v>183</v>
      </c>
      <c r="AD6" s="1007"/>
      <c r="AE6" s="1008"/>
      <c r="AF6" s="1006" t="s">
        <v>429</v>
      </c>
      <c r="AG6" s="1007"/>
      <c r="AH6" s="1008"/>
      <c r="AI6" s="1006" t="s">
        <v>430</v>
      </c>
      <c r="AJ6" s="1007"/>
      <c r="AK6" s="1008"/>
      <c r="AL6" s="705"/>
      <c r="AM6" s="705"/>
    </row>
    <row r="7" spans="1:39" ht="18.75" customHeight="1" x14ac:dyDescent="0.3">
      <c r="A7" s="711"/>
      <c r="B7" s="683"/>
      <c r="C7" s="683"/>
      <c r="D7" s="507" t="s">
        <v>81</v>
      </c>
      <c r="E7" s="683"/>
      <c r="F7" s="683"/>
      <c r="G7" s="507" t="s">
        <v>81</v>
      </c>
      <c r="H7" s="683"/>
      <c r="I7" s="683"/>
      <c r="J7" s="507" t="s">
        <v>81</v>
      </c>
      <c r="K7" s="683"/>
      <c r="L7" s="683"/>
      <c r="M7" s="507" t="s">
        <v>81</v>
      </c>
      <c r="N7" s="683"/>
      <c r="O7" s="683"/>
      <c r="P7" s="507" t="s">
        <v>81</v>
      </c>
      <c r="Q7" s="683"/>
      <c r="R7" s="683"/>
      <c r="S7" s="507" t="s">
        <v>81</v>
      </c>
      <c r="T7" s="683"/>
      <c r="U7" s="683"/>
      <c r="V7" s="507" t="s">
        <v>81</v>
      </c>
      <c r="W7" s="683"/>
      <c r="X7" s="683"/>
      <c r="Y7" s="507" t="s">
        <v>81</v>
      </c>
      <c r="Z7" s="683"/>
      <c r="AA7" s="683"/>
      <c r="AB7" s="507" t="s">
        <v>81</v>
      </c>
      <c r="AC7" s="683"/>
      <c r="AD7" s="683"/>
      <c r="AE7" s="507" t="s">
        <v>81</v>
      </c>
      <c r="AF7" s="683"/>
      <c r="AG7" s="683"/>
      <c r="AH7" s="507" t="s">
        <v>81</v>
      </c>
      <c r="AI7" s="683"/>
      <c r="AJ7" s="683"/>
      <c r="AK7" s="507" t="s">
        <v>81</v>
      </c>
      <c r="AL7" s="705"/>
      <c r="AM7" s="705"/>
    </row>
    <row r="8" spans="1:39" ht="18.75" customHeight="1" x14ac:dyDescent="0.35">
      <c r="A8" s="712" t="s">
        <v>288</v>
      </c>
      <c r="B8" s="685">
        <v>2020</v>
      </c>
      <c r="C8" s="685">
        <v>2021</v>
      </c>
      <c r="D8" s="509" t="s">
        <v>83</v>
      </c>
      <c r="E8" s="685">
        <f>$B$8</f>
        <v>2020</v>
      </c>
      <c r="F8" s="685">
        <f>$C$8</f>
        <v>2021</v>
      </c>
      <c r="G8" s="509" t="s">
        <v>83</v>
      </c>
      <c r="H8" s="685">
        <f>$B$8</f>
        <v>2020</v>
      </c>
      <c r="I8" s="685">
        <f>$C$8</f>
        <v>2021</v>
      </c>
      <c r="J8" s="509" t="s">
        <v>83</v>
      </c>
      <c r="K8" s="685">
        <f>$B$8</f>
        <v>2020</v>
      </c>
      <c r="L8" s="685">
        <f>$C$8</f>
        <v>2021</v>
      </c>
      <c r="M8" s="509" t="s">
        <v>83</v>
      </c>
      <c r="N8" s="685">
        <f>$B$8</f>
        <v>2020</v>
      </c>
      <c r="O8" s="685">
        <f>$C$8</f>
        <v>2021</v>
      </c>
      <c r="P8" s="509" t="s">
        <v>83</v>
      </c>
      <c r="Q8" s="685">
        <f>$B$8</f>
        <v>2020</v>
      </c>
      <c r="R8" s="685">
        <f>$C$8</f>
        <v>2021</v>
      </c>
      <c r="S8" s="509" t="s">
        <v>83</v>
      </c>
      <c r="T8" s="685">
        <f>$B$8</f>
        <v>2020</v>
      </c>
      <c r="U8" s="685">
        <f>$C$8</f>
        <v>2021</v>
      </c>
      <c r="V8" s="509" t="s">
        <v>83</v>
      </c>
      <c r="W8" s="685">
        <f>$B$8</f>
        <v>2020</v>
      </c>
      <c r="X8" s="685">
        <f>$C$8</f>
        <v>2021</v>
      </c>
      <c r="Y8" s="509" t="s">
        <v>83</v>
      </c>
      <c r="Z8" s="685">
        <f>$B$8</f>
        <v>2020</v>
      </c>
      <c r="AA8" s="685">
        <f>$C$8</f>
        <v>2021</v>
      </c>
      <c r="AB8" s="509" t="s">
        <v>83</v>
      </c>
      <c r="AC8" s="685">
        <f>$B$8</f>
        <v>2020</v>
      </c>
      <c r="AD8" s="685">
        <f>$C$8</f>
        <v>2021</v>
      </c>
      <c r="AE8" s="509" t="s">
        <v>83</v>
      </c>
      <c r="AF8" s="685">
        <f>$B$8</f>
        <v>2020</v>
      </c>
      <c r="AG8" s="685">
        <f>$C$8</f>
        <v>2021</v>
      </c>
      <c r="AH8" s="509" t="s">
        <v>83</v>
      </c>
      <c r="AI8" s="685">
        <f>$B$8</f>
        <v>2020</v>
      </c>
      <c r="AJ8" s="685">
        <f>$C$8</f>
        <v>2021</v>
      </c>
      <c r="AK8" s="509" t="s">
        <v>83</v>
      </c>
      <c r="AL8" s="705"/>
      <c r="AM8" s="705"/>
    </row>
    <row r="9" spans="1:39" s="719" customFormat="1" ht="18.75" customHeight="1" x14ac:dyDescent="0.35">
      <c r="A9" s="713"/>
      <c r="B9" s="839"/>
      <c r="C9" s="839"/>
      <c r="D9" s="440"/>
      <c r="E9" s="839"/>
      <c r="F9" s="839"/>
      <c r="G9" s="440"/>
      <c r="H9" s="839"/>
      <c r="I9" s="839"/>
      <c r="J9" s="440"/>
      <c r="K9" s="839"/>
      <c r="L9" s="839"/>
      <c r="M9" s="440"/>
      <c r="N9" s="839"/>
      <c r="O9" s="839"/>
      <c r="P9" s="440"/>
      <c r="Q9" s="635"/>
      <c r="R9" s="635"/>
      <c r="S9" s="440"/>
      <c r="T9" s="839"/>
      <c r="U9" s="839"/>
      <c r="V9" s="717"/>
      <c r="W9" s="839"/>
      <c r="X9" s="839"/>
      <c r="Y9" s="717"/>
      <c r="Z9" s="839"/>
      <c r="AA9" s="839"/>
      <c r="AB9" s="717"/>
      <c r="AC9" s="839"/>
      <c r="AD9" s="839"/>
      <c r="AE9" s="717"/>
      <c r="AF9" s="715"/>
      <c r="AG9" s="715"/>
      <c r="AH9" s="440"/>
      <c r="AI9" s="716"/>
      <c r="AJ9" s="716"/>
      <c r="AK9" s="440"/>
      <c r="AL9" s="718"/>
      <c r="AM9" s="718"/>
    </row>
    <row r="10" spans="1:39" s="726" customFormat="1" ht="18.75" customHeight="1" x14ac:dyDescent="0.3">
      <c r="A10" s="532" t="s">
        <v>431</v>
      </c>
      <c r="B10" s="840"/>
      <c r="C10" s="840"/>
      <c r="D10" s="721"/>
      <c r="E10" s="840"/>
      <c r="F10" s="840"/>
      <c r="G10" s="721"/>
      <c r="H10" s="840"/>
      <c r="I10" s="840"/>
      <c r="J10" s="721"/>
      <c r="K10" s="840"/>
      <c r="L10" s="840"/>
      <c r="M10" s="721"/>
      <c r="N10" s="840"/>
      <c r="O10" s="840"/>
      <c r="P10" s="721"/>
      <c r="Q10" s="633"/>
      <c r="R10" s="633"/>
      <c r="S10" s="721"/>
      <c r="T10" s="840"/>
      <c r="U10" s="840"/>
      <c r="V10" s="724"/>
      <c r="W10" s="840"/>
      <c r="X10" s="840"/>
      <c r="Y10" s="724"/>
      <c r="Z10" s="840"/>
      <c r="AA10" s="840"/>
      <c r="AB10" s="724"/>
      <c r="AC10" s="840"/>
      <c r="AD10" s="840"/>
      <c r="AE10" s="724"/>
      <c r="AF10" s="722"/>
      <c r="AG10" s="722"/>
      <c r="AH10" s="721"/>
      <c r="AI10" s="723"/>
      <c r="AJ10" s="723"/>
      <c r="AK10" s="721"/>
      <c r="AL10" s="725"/>
      <c r="AM10" s="725"/>
    </row>
    <row r="11" spans="1:39" s="726" customFormat="1" ht="18.75" customHeight="1" x14ac:dyDescent="0.3">
      <c r="A11" s="692" t="s">
        <v>432</v>
      </c>
      <c r="B11" s="840">
        <f>SUM(B12:B15)</f>
        <v>24020.060999999998</v>
      </c>
      <c r="C11" s="840">
        <f>SUM(C12:C15)</f>
        <v>29295.978999999999</v>
      </c>
      <c r="D11" s="721">
        <f>IF(B11=0, "    ---- ", IF(ABS(ROUND(100/B11*C11-100,1))&lt;999,ROUND(100/B11*C11-100,1),IF(ROUND(100/B11*C11-100,1)&gt;999,999,-999)))</f>
        <v>22</v>
      </c>
      <c r="E11" s="840">
        <f>SUM(E12:E15)</f>
        <v>5941.8</v>
      </c>
      <c r="F11" s="840"/>
      <c r="G11" s="721">
        <f>IF(E11=0, "    ---- ", IF(ABS(ROUND(100/E11*F11-100,1))&lt;999,ROUND(100/E11*F11-100,1),IF(ROUND(100/E11*F11-100,1)&gt;999,999,-999)))</f>
        <v>-100</v>
      </c>
      <c r="H11" s="840">
        <f>SUM(H12:H15)</f>
        <v>110273.019</v>
      </c>
      <c r="I11" s="840">
        <f>SUM(I12:I15)</f>
        <v>138235.45699999999</v>
      </c>
      <c r="J11" s="721">
        <f>IF(H11=0, "    ---- ", IF(ABS(ROUND(100/H11*I11-100,1))&lt;999,ROUND(100/H11*I11-100,1),IF(ROUND(100/H11*I11-100,1)&gt;999,999,-999)))</f>
        <v>25.4</v>
      </c>
      <c r="K11" s="840"/>
      <c r="L11" s="840"/>
      <c r="M11" s="721"/>
      <c r="N11" s="840">
        <f>SUM(N12:N15)</f>
        <v>34446.1</v>
      </c>
      <c r="O11" s="840">
        <f>SUM(O12:O15)</f>
        <v>42940.200000000004</v>
      </c>
      <c r="P11" s="721">
        <f>IF(N11=0, "    ---- ", IF(ABS(ROUND(100/N11*O11-100,1))&lt;999,ROUND(100/N11*O11-100,1),IF(ROUND(100/N11*O11-100,1)&gt;999,999,-999)))</f>
        <v>24.7</v>
      </c>
      <c r="Q11" s="633">
        <f>SUM(Q12:Q15)</f>
        <v>1477.7597008399998</v>
      </c>
      <c r="R11" s="633">
        <f>SUM(R12:R15)</f>
        <v>1549.1708050100001</v>
      </c>
      <c r="S11" s="721">
        <f>IF(Q11=0, "    ---- ", IF(ABS(ROUND(100/Q11*R11-100,1))&lt;999,ROUND(100/Q11*R11-100,1),IF(ROUND(100/Q11*R11-100,1)&gt;999,999,-999)))</f>
        <v>4.8</v>
      </c>
      <c r="T11" s="840">
        <f>SUM(T12:T15)</f>
        <v>98862</v>
      </c>
      <c r="U11" s="840">
        <f>SUM(U12:U15)</f>
        <v>125405</v>
      </c>
      <c r="V11" s="727">
        <f>IF(T11=0, "    ---- ", IF(ABS(ROUND(100/T11*U11-100,1))&lt;999,ROUND(100/T11*U11-100,1),IF(ROUND(100/T11*U11-100,1)&gt;999,999,-999)))</f>
        <v>26.8</v>
      </c>
      <c r="W11" s="840">
        <f>SUM(W12:W15)</f>
        <v>2931.7169809200004</v>
      </c>
      <c r="X11" s="840">
        <f>SUM(X12:X15)</f>
        <v>3211.24630639</v>
      </c>
      <c r="Y11" s="724">
        <f>IF(W11=0, "    ---- ", IF(ABS(ROUND(100/W11*X11-100,1))&lt;999,ROUND(100/W11*X11-100,1),IF(ROUND(100/W11*X11-100,1)&gt;999,999,-999)))</f>
        <v>9.5</v>
      </c>
      <c r="Z11" s="840">
        <f>SUM(Z12:Z15)</f>
        <v>42968</v>
      </c>
      <c r="AA11" s="840">
        <f>SUM(AA12:AA15)</f>
        <v>56544</v>
      </c>
      <c r="AB11" s="727">
        <f>IF(Z11=0, "    ---- ", IF(ABS(ROUND(100/Z11*AA11-100,1))&lt;999,ROUND(100/Z11*AA11-100,1),IF(ROUND(100/Z11*AA11-100,1)&gt;999,999,-999)))</f>
        <v>31.6</v>
      </c>
      <c r="AC11" s="840">
        <f>SUM(AC12:AC15)</f>
        <v>137089</v>
      </c>
      <c r="AD11" s="840">
        <f>SUM(AD12:AD15)</f>
        <v>157873</v>
      </c>
      <c r="AE11" s="727">
        <f t="shared" ref="AE11:AE39" si="0">IF(AC11=0, "    ---- ", IF(ABS(ROUND(100/AC11*AD11-100,1))&lt;999,ROUND(100/AC11*AD11-100,1),IF(ROUND(100/AC11*AD11-100,1)&gt;999,999,-999)))</f>
        <v>15.2</v>
      </c>
      <c r="AF11" s="720">
        <f t="shared" ref="AF11:AF42" si="1">+B11+H11+K11+N11+Q11+E11+T11+W11+Z11+AC11</f>
        <v>458009.45668175997</v>
      </c>
      <c r="AG11" s="720">
        <f t="shared" ref="AG11:AG42" si="2">+C11+I11+L11+O11+R11+F11+U11+X11+AA11+AD11</f>
        <v>555054.05311139999</v>
      </c>
      <c r="AH11" s="721">
        <f>IF(AF11=0, "    ---- ", IF(ABS(ROUND(100/AF11*AG11-100,1))&lt;999,ROUND(100/AF11*AG11-100,1),IF(ROUND(100/AF11*AG11-100,1)&gt;999,999,-999)))</f>
        <v>21.2</v>
      </c>
      <c r="AI11" s="728"/>
      <c r="AJ11" s="728"/>
      <c r="AK11" s="728"/>
      <c r="AL11" s="695"/>
      <c r="AM11" s="725"/>
    </row>
    <row r="12" spans="1:39" s="732" customFormat="1" ht="18.75" customHeight="1" x14ac:dyDescent="0.35">
      <c r="A12" s="514" t="s">
        <v>410</v>
      </c>
      <c r="B12" s="839">
        <v>2843.9479999999999</v>
      </c>
      <c r="C12" s="839">
        <v>3261.5079999999998</v>
      </c>
      <c r="D12" s="440">
        <f>IF(B12=0, "    ---- ", IF(ABS(ROUND(100/B12*C12-100,1))&lt;999,ROUND(100/B12*C12-100,1),IF(ROUND(100/B12*C12-100,1)&gt;999,999,-999)))</f>
        <v>14.7</v>
      </c>
      <c r="E12" s="839"/>
      <c r="F12" s="839"/>
      <c r="G12" s="440"/>
      <c r="H12" s="839">
        <v>6816</v>
      </c>
      <c r="I12" s="839">
        <v>7736</v>
      </c>
      <c r="J12" s="440">
        <f>IF(H12=0, "    ---- ", IF(ABS(ROUND(100/H12*I12-100,1))&lt;999,ROUND(100/H12*I12-100,1),IF(ROUND(100/H12*I12-100,1)&gt;999,999,-999)))</f>
        <v>13.5</v>
      </c>
      <c r="K12" s="839"/>
      <c r="L12" s="839"/>
      <c r="M12" s="440"/>
      <c r="N12" s="839">
        <v>834.2</v>
      </c>
      <c r="O12" s="839">
        <v>1033.7</v>
      </c>
      <c r="P12" s="440">
        <f>IF(N12=0, "    ---- ", IF(ABS(ROUND(100/N12*O12-100,1))&lt;999,ROUND(100/N12*O12-100,1),IF(ROUND(100/N12*O12-100,1)&gt;999,999,-999)))</f>
        <v>23.9</v>
      </c>
      <c r="Q12" s="635"/>
      <c r="R12" s="635"/>
      <c r="S12" s="440"/>
      <c r="T12" s="839">
        <v>36733</v>
      </c>
      <c r="U12" s="839">
        <v>48705</v>
      </c>
      <c r="V12" s="729">
        <f>IF(T12=0, "    ---- ", IF(ABS(ROUND(100/T12*U12-100,1))&lt;999,ROUND(100/T12*U12-100,1),IF(ROUND(100/T12*U12-100,1)&gt;999,999,-999)))</f>
        <v>32.6</v>
      </c>
      <c r="W12" s="839">
        <v>1080.9643559900001</v>
      </c>
      <c r="X12" s="839">
        <v>1306.99288422</v>
      </c>
      <c r="Y12" s="717">
        <f>IF(W12=0, "    ---- ", IF(ABS(ROUND(100/W12*X12-100,1))&lt;999,ROUND(100/W12*X12-100,1),IF(ROUND(100/W12*X12-100,1)&gt;999,999,-999)))</f>
        <v>20.9</v>
      </c>
      <c r="Z12" s="839">
        <v>3306</v>
      </c>
      <c r="AA12" s="839">
        <v>4295</v>
      </c>
      <c r="AB12" s="729">
        <f>IF(Z12=0, "    ---- ", IF(ABS(ROUND(100/Z12*AA12-100,1))&lt;999,ROUND(100/Z12*AA12-100,1),IF(ROUND(100/Z12*AA12-100,1)&gt;999,999,-999)))</f>
        <v>29.9</v>
      </c>
      <c r="AC12" s="839">
        <f>9086-12</f>
        <v>9074</v>
      </c>
      <c r="AD12" s="839">
        <v>10975</v>
      </c>
      <c r="AE12" s="729">
        <f t="shared" si="0"/>
        <v>20.9</v>
      </c>
      <c r="AF12" s="714">
        <f t="shared" si="1"/>
        <v>60688.112355990001</v>
      </c>
      <c r="AG12" s="714">
        <f t="shared" si="2"/>
        <v>77313.200884220001</v>
      </c>
      <c r="AH12" s="440">
        <f>IF(AF12=0, "    ---- ", IF(ABS(ROUND(100/AF12*AG12-100,1))&lt;999,ROUND(100/AF12*AG12-100,1),IF(ROUND(100/AF12*AG12-100,1)&gt;999,999,-999)))</f>
        <v>27.4</v>
      </c>
      <c r="AI12" s="730"/>
      <c r="AJ12" s="730"/>
      <c r="AK12" s="730"/>
      <c r="AL12" s="731"/>
      <c r="AM12" s="731"/>
    </row>
    <row r="13" spans="1:39" s="732" customFormat="1" ht="18.75" customHeight="1" x14ac:dyDescent="0.35">
      <c r="A13" s="514" t="s">
        <v>413</v>
      </c>
      <c r="B13" s="839">
        <v>2198.6060000000002</v>
      </c>
      <c r="C13" s="839">
        <v>2315.0729999999999</v>
      </c>
      <c r="D13" s="440">
        <f>IF(B13=0, "    ---- ", IF(ABS(ROUND(100/B13*C13-100,1))&lt;999,ROUND(100/B13*C13-100,1),IF(ROUND(100/B13*C13-100,1)&gt;999,999,-999)))</f>
        <v>5.3</v>
      </c>
      <c r="E13" s="839"/>
      <c r="F13" s="839"/>
      <c r="G13" s="440"/>
      <c r="H13" s="839">
        <v>5800.7560000000003</v>
      </c>
      <c r="I13" s="839">
        <v>6070.4570000000003</v>
      </c>
      <c r="J13" s="440">
        <f>IF(H13=0, "    ---- ", IF(ABS(ROUND(100/H13*I13-100,1))&lt;999,ROUND(100/H13*I13-100,1),IF(ROUND(100/H13*I13-100,1)&gt;999,999,-999)))</f>
        <v>4.5999999999999996</v>
      </c>
      <c r="K13" s="840"/>
      <c r="L13" s="839"/>
      <c r="M13" s="440"/>
      <c r="N13" s="839">
        <v>1660.6</v>
      </c>
      <c r="O13" s="839">
        <v>1887.4</v>
      </c>
      <c r="P13" s="440">
        <f>IF(N13=0, "    ---- ", IF(ABS(ROUND(100/N13*O13-100,1))&lt;999,ROUND(100/N13*O13-100,1),IF(ROUND(100/N13*O13-100,1)&gt;999,999,-999)))</f>
        <v>13.7</v>
      </c>
      <c r="Q13" s="635"/>
      <c r="R13" s="635"/>
      <c r="S13" s="440"/>
      <c r="T13" s="839">
        <v>4941</v>
      </c>
      <c r="U13" s="839">
        <v>5685</v>
      </c>
      <c r="V13" s="440">
        <f>IF(T13=0, "    ---- ", IF(ABS(ROUND(100/T13*U13-100,1))&lt;999,ROUND(100/T13*U13-100,1),IF(ROUND(100/T13*U13-100,1)&gt;999,999,-999)))</f>
        <v>15.1</v>
      </c>
      <c r="W13" s="839">
        <v>1019.9726249300001</v>
      </c>
      <c r="X13" s="839">
        <v>1143.6275013200002</v>
      </c>
      <c r="Y13" s="440">
        <f>IF(W13=0, "    ---- ", IF(ABS(ROUND(100/W13*X13-100,1))&lt;999,ROUND(100/W13*X13-100,1),IF(ROUND(100/W13*X13-100,1)&gt;999,999,-999)))</f>
        <v>12.1</v>
      </c>
      <c r="Z13" s="839">
        <v>3180</v>
      </c>
      <c r="AA13" s="839">
        <v>3992</v>
      </c>
      <c r="AB13" s="440">
        <f>IF(Z13=0, "    ---- ", IF(ABS(ROUND(100/Z13*AA13-100,1))&lt;999,ROUND(100/Z13*AA13-100,1),IF(ROUND(100/Z13*AA13-100,1)&gt;999,999,-999)))</f>
        <v>25.5</v>
      </c>
      <c r="AC13" s="839">
        <f>5737-2</f>
        <v>5735</v>
      </c>
      <c r="AD13" s="839">
        <v>6720</v>
      </c>
      <c r="AE13" s="440">
        <f t="shared" si="0"/>
        <v>17.2</v>
      </c>
      <c r="AF13" s="714">
        <f t="shared" si="1"/>
        <v>24535.93462493</v>
      </c>
      <c r="AG13" s="714">
        <f t="shared" si="2"/>
        <v>27813.55750132</v>
      </c>
      <c r="AH13" s="440">
        <f>IF(AF13=0, "    ---- ", IF(ABS(ROUND(100/AF13*AG13-100,1))&lt;999,ROUND(100/AF13*AG13-100,1),IF(ROUND(100/AF13*AG13-100,1)&gt;999,999,-999)))</f>
        <v>13.4</v>
      </c>
      <c r="AI13" s="730"/>
      <c r="AJ13" s="730"/>
      <c r="AK13" s="730"/>
      <c r="AL13" s="731"/>
      <c r="AM13" s="731"/>
    </row>
    <row r="14" spans="1:39" s="732" customFormat="1" ht="18.75" customHeight="1" x14ac:dyDescent="0.35">
      <c r="A14" s="514" t="s">
        <v>415</v>
      </c>
      <c r="B14" s="839">
        <f>12171.997+204.693+6600.817</f>
        <v>18977.506999999998</v>
      </c>
      <c r="C14" s="839">
        <f>19027.417+232.656+4459.325</f>
        <v>23719.398000000001</v>
      </c>
      <c r="D14" s="440">
        <f>IF(B14=0, "    ---- ", IF(ABS(ROUND(100/B14*C14-100,1))&lt;999,ROUND(100/B14*C14-100,1),IF(ROUND(100/B14*C14-100,1)&gt;999,999,-999)))</f>
        <v>25</v>
      </c>
      <c r="E14" s="839">
        <v>5941.8</v>
      </c>
      <c r="F14" s="839"/>
      <c r="G14" s="440">
        <f>IF(E14=0, "    ---- ", IF(ABS(ROUND(100/E14*F14-100,1))&lt;999,ROUND(100/E14*F14-100,1),IF(ROUND(100/E14*F14-100,1)&gt;999,999,-999)))</f>
        <v>-100</v>
      </c>
      <c r="H14" s="839">
        <f>98243.482-587.219</f>
        <v>97656.263000000006</v>
      </c>
      <c r="I14" s="839">
        <f>124940-511</f>
        <v>124429</v>
      </c>
      <c r="J14" s="440">
        <f>IF(H14=0, "    ---- ", IF(ABS(ROUND(100/H14*I14-100,1))&lt;999,ROUND(100/H14*I14-100,1),IF(ROUND(100/H14*I14-100,1)&gt;999,999,-999)))</f>
        <v>27.4</v>
      </c>
      <c r="K14" s="840"/>
      <c r="L14" s="839"/>
      <c r="M14" s="440"/>
      <c r="N14" s="839">
        <v>31951.3</v>
      </c>
      <c r="O14" s="839">
        <v>40019.100000000006</v>
      </c>
      <c r="P14" s="440">
        <f>IF(N14=0, "    ---- ", IF(ABS(ROUND(100/N14*O14-100,1))&lt;999,ROUND(100/N14*O14-100,1),IF(ROUND(100/N14*O14-100,1)&gt;999,999,-999)))</f>
        <v>25.3</v>
      </c>
      <c r="Q14" s="635"/>
      <c r="R14" s="635"/>
      <c r="S14" s="440"/>
      <c r="T14" s="839">
        <v>57188</v>
      </c>
      <c r="U14" s="839">
        <v>71015</v>
      </c>
      <c r="V14" s="440">
        <f>IF(T14=0, "    ---- ", IF(ABS(ROUND(100/T14*U14-100,1))&lt;999,ROUND(100/T14*U14-100,1),IF(ROUND(100/T14*U14-100,1)&gt;999,999,-999)))</f>
        <v>24.2</v>
      </c>
      <c r="W14" s="839">
        <v>830.78</v>
      </c>
      <c r="X14" s="839">
        <v>760.62592084999994</v>
      </c>
      <c r="Y14" s="440">
        <f>IF(W14=0, "    ---- ", IF(ABS(ROUND(100/W14*X14-100,1))&lt;999,ROUND(100/W14*X14-100,1),IF(ROUND(100/W14*X14-100,1)&gt;999,999,-999)))</f>
        <v>-8.4</v>
      </c>
      <c r="Z14" s="839">
        <v>36482</v>
      </c>
      <c r="AA14" s="839">
        <v>48257</v>
      </c>
      <c r="AB14" s="440">
        <f>IF(Z14=0, "    ---- ", IF(ABS(ROUND(100/Z14*AA14-100,1))&lt;999,ROUND(100/Z14*AA14-100,1),IF(ROUND(100/Z14*AA14-100,1)&gt;999,999,-999)))</f>
        <v>32.299999999999997</v>
      </c>
      <c r="AC14" s="839">
        <f>1843+17761+64541+38135</f>
        <v>122280</v>
      </c>
      <c r="AD14" s="839">
        <v>140178</v>
      </c>
      <c r="AE14" s="440">
        <f t="shared" si="0"/>
        <v>14.6</v>
      </c>
      <c r="AF14" s="714">
        <f t="shared" si="1"/>
        <v>371307.65</v>
      </c>
      <c r="AG14" s="714">
        <f t="shared" si="2"/>
        <v>448378.12392084999</v>
      </c>
      <c r="AH14" s="440">
        <f t="shared" ref="AH14:AH42" si="3">IF(AF14=0, "    ---- ", IF(ABS(ROUND(100/AF14*AG14-100,1))&lt;999,ROUND(100/AF14*AG14-100,1),IF(ROUND(100/AF14*AG14-100,1)&gt;999,999,-999)))</f>
        <v>20.8</v>
      </c>
      <c r="AI14" s="730"/>
      <c r="AJ14" s="730"/>
      <c r="AK14" s="730"/>
      <c r="AL14" s="731"/>
      <c r="AM14" s="731"/>
    </row>
    <row r="15" spans="1:39" s="732" customFormat="1" ht="18.75" customHeight="1" x14ac:dyDescent="0.35">
      <c r="A15" s="514" t="s">
        <v>417</v>
      </c>
      <c r="B15" s="839"/>
      <c r="C15" s="839"/>
      <c r="D15" s="440"/>
      <c r="E15" s="839"/>
      <c r="F15" s="839"/>
      <c r="G15" s="440"/>
      <c r="H15" s="839"/>
      <c r="I15" s="839"/>
      <c r="J15" s="440"/>
      <c r="K15" s="839"/>
      <c r="L15" s="839"/>
      <c r="M15" s="440"/>
      <c r="N15" s="839"/>
      <c r="O15" s="839"/>
      <c r="P15" s="440"/>
      <c r="Q15" s="635">
        <v>1477.7597008399998</v>
      </c>
      <c r="R15" s="635">
        <v>1549.1708050100001</v>
      </c>
      <c r="S15" s="440">
        <f>IF(Q15=0, "    ---- ", IF(ABS(ROUND(100/Q15*R15-100,1))&lt;999,ROUND(100/Q15*R15-100,1),IF(ROUND(100/Q15*R15-100,1)&gt;999,999,-999)))</f>
        <v>4.8</v>
      </c>
      <c r="T15" s="839"/>
      <c r="U15" s="839"/>
      <c r="V15" s="440"/>
      <c r="W15" s="839"/>
      <c r="X15" s="839"/>
      <c r="Y15" s="440"/>
      <c r="Z15" s="839"/>
      <c r="AA15" s="839"/>
      <c r="AB15" s="440"/>
      <c r="AC15" s="839"/>
      <c r="AD15" s="839"/>
      <c r="AE15" s="440"/>
      <c r="AF15" s="714">
        <f t="shared" si="1"/>
        <v>1477.7597008399998</v>
      </c>
      <c r="AG15" s="714">
        <f t="shared" si="2"/>
        <v>1549.1708050100001</v>
      </c>
      <c r="AH15" s="440">
        <f t="shared" si="3"/>
        <v>4.8</v>
      </c>
      <c r="AI15" s="730"/>
      <c r="AJ15" s="730"/>
      <c r="AK15" s="730"/>
      <c r="AL15" s="731"/>
      <c r="AM15" s="731"/>
    </row>
    <row r="16" spans="1:39" s="726" customFormat="1" ht="18.75" customHeight="1" x14ac:dyDescent="0.3">
      <c r="A16" s="692" t="s">
        <v>419</v>
      </c>
      <c r="B16" s="840"/>
      <c r="C16" s="840"/>
      <c r="D16" s="721"/>
      <c r="E16" s="840"/>
      <c r="F16" s="840"/>
      <c r="G16" s="721"/>
      <c r="H16" s="840"/>
      <c r="I16" s="840"/>
      <c r="J16" s="721"/>
      <c r="K16" s="840"/>
      <c r="L16" s="840"/>
      <c r="M16" s="721"/>
      <c r="N16" s="840">
        <f>SUM(N17:N20)</f>
        <v>34444.5</v>
      </c>
      <c r="O16" s="840">
        <f>SUM(O17:O20)</f>
        <v>42938.9</v>
      </c>
      <c r="P16" s="721">
        <f>IF(N16=0, "    ---- ", IF(ABS(ROUND(100/N16*O16-100,1))&lt;999,ROUND(100/N16*O16-100,1),IF(ROUND(100/N16*O16-100,1)&gt;999,999,-999)))</f>
        <v>24.7</v>
      </c>
      <c r="Q16" s="633">
        <f>SUM(Q17:Q20)</f>
        <v>1477.7597008399998</v>
      </c>
      <c r="R16" s="633">
        <f>SUM(R17:R20)</f>
        <v>1549.1708050100001</v>
      </c>
      <c r="S16" s="721">
        <f>IF(Q16=0, "    ---- ", IF(ABS(ROUND(100/Q16*R16-100,1))&lt;999,ROUND(100/Q16*R16-100,1),IF(ROUND(100/Q16*R16-100,1)&gt;999,999,-999)))</f>
        <v>4.8</v>
      </c>
      <c r="T16" s="840">
        <f>SUM(T17:T20)</f>
        <v>98862</v>
      </c>
      <c r="U16" s="840">
        <f>SUM(U17:U20)</f>
        <v>125405</v>
      </c>
      <c r="V16" s="721">
        <f>IF(T16=0, "    ---- ", IF(ABS(ROUND(100/T16*U16-100,1))&lt;999,ROUND(100/T16*U16-100,1),IF(ROUND(100/T16*U16-100,1)&gt;999,999,-999)))</f>
        <v>26.8</v>
      </c>
      <c r="W16" s="840"/>
      <c r="X16" s="840"/>
      <c r="Y16" s="721"/>
      <c r="Z16" s="840"/>
      <c r="AA16" s="840"/>
      <c r="AB16" s="721"/>
      <c r="AC16" s="840">
        <f>SUM(AC17:AC20)</f>
        <v>137089</v>
      </c>
      <c r="AD16" s="840">
        <f>SUM(AD17:AD20)</f>
        <v>157873</v>
      </c>
      <c r="AE16" s="721">
        <f t="shared" si="0"/>
        <v>15.2</v>
      </c>
      <c r="AF16" s="720">
        <f t="shared" si="1"/>
        <v>271873.25970083999</v>
      </c>
      <c r="AG16" s="720">
        <f t="shared" si="2"/>
        <v>327766.07080501004</v>
      </c>
      <c r="AH16" s="721">
        <f t="shared" si="3"/>
        <v>20.6</v>
      </c>
      <c r="AI16" s="728"/>
      <c r="AJ16" s="728"/>
      <c r="AK16" s="728"/>
      <c r="AL16" s="695"/>
      <c r="AM16" s="725"/>
    </row>
    <row r="17" spans="1:39" s="732" customFormat="1" ht="18.75" customHeight="1" x14ac:dyDescent="0.35">
      <c r="A17" s="514" t="s">
        <v>410</v>
      </c>
      <c r="B17" s="839"/>
      <c r="C17" s="839"/>
      <c r="D17" s="440"/>
      <c r="E17" s="839"/>
      <c r="F17" s="839"/>
      <c r="G17" s="440"/>
      <c r="H17" s="839"/>
      <c r="I17" s="839"/>
      <c r="J17" s="440"/>
      <c r="K17" s="839"/>
      <c r="L17" s="839"/>
      <c r="M17" s="440"/>
      <c r="N17" s="839">
        <v>834.2</v>
      </c>
      <c r="O17" s="839">
        <v>1033.7</v>
      </c>
      <c r="P17" s="440">
        <f>IF(N17=0, "    ---- ", IF(ABS(ROUND(100/N17*O17-100,1))&lt;999,ROUND(100/N17*O17-100,1),IF(ROUND(100/N17*O17-100,1)&gt;999,999,-999)))</f>
        <v>23.9</v>
      </c>
      <c r="Q17" s="635"/>
      <c r="R17" s="635"/>
      <c r="S17" s="440"/>
      <c r="T17" s="839">
        <v>36733</v>
      </c>
      <c r="U17" s="839">
        <v>48705</v>
      </c>
      <c r="V17" s="440">
        <f>IF(T17=0, "    ---- ", IF(ABS(ROUND(100/T17*U17-100,1))&lt;999,ROUND(100/T17*U17-100,1),IF(ROUND(100/T17*U17-100,1)&gt;999,999,-999)))</f>
        <v>32.6</v>
      </c>
      <c r="W17" s="839"/>
      <c r="X17" s="839"/>
      <c r="Y17" s="440"/>
      <c r="Z17" s="839"/>
      <c r="AA17" s="839"/>
      <c r="AB17" s="440"/>
      <c r="AC17" s="839">
        <f>9086-12</f>
        <v>9074</v>
      </c>
      <c r="AD17" s="839">
        <f>+AD12</f>
        <v>10975</v>
      </c>
      <c r="AE17" s="440">
        <f t="shared" si="0"/>
        <v>20.9</v>
      </c>
      <c r="AF17" s="714">
        <f t="shared" si="1"/>
        <v>46641.2</v>
      </c>
      <c r="AG17" s="714">
        <f t="shared" si="2"/>
        <v>60713.7</v>
      </c>
      <c r="AH17" s="440">
        <f t="shared" si="3"/>
        <v>30.2</v>
      </c>
      <c r="AI17" s="730"/>
      <c r="AJ17" s="730"/>
      <c r="AK17" s="730"/>
      <c r="AL17" s="731"/>
      <c r="AM17" s="731"/>
    </row>
    <row r="18" spans="1:39" s="732" customFormat="1" ht="18.75" customHeight="1" x14ac:dyDescent="0.35">
      <c r="A18" s="514" t="s">
        <v>413</v>
      </c>
      <c r="B18" s="839"/>
      <c r="C18" s="839"/>
      <c r="D18" s="440"/>
      <c r="E18" s="839"/>
      <c r="F18" s="839"/>
      <c r="G18" s="440"/>
      <c r="H18" s="839"/>
      <c r="I18" s="839"/>
      <c r="J18" s="440"/>
      <c r="K18" s="839"/>
      <c r="L18" s="839"/>
      <c r="M18" s="440"/>
      <c r="N18" s="839">
        <v>1660.6</v>
      </c>
      <c r="O18" s="839">
        <v>1887.4</v>
      </c>
      <c r="P18" s="440">
        <f>IF(N18=0, "    ---- ", IF(ABS(ROUND(100/N18*O18-100,1))&lt;999,ROUND(100/N18*O18-100,1),IF(ROUND(100/N18*O18-100,1)&gt;999,999,-999)))</f>
        <v>13.7</v>
      </c>
      <c r="Q18" s="635"/>
      <c r="R18" s="635"/>
      <c r="S18" s="440"/>
      <c r="T18" s="839">
        <v>4941</v>
      </c>
      <c r="U18" s="839">
        <v>5685</v>
      </c>
      <c r="V18" s="440">
        <f>IF(T18=0, "    ---- ", IF(ABS(ROUND(100/T18*U18-100,1))&lt;999,ROUND(100/T18*U18-100,1),IF(ROUND(100/T18*U18-100,1)&gt;999,999,-999)))</f>
        <v>15.1</v>
      </c>
      <c r="W18" s="839"/>
      <c r="X18" s="839"/>
      <c r="Y18" s="440"/>
      <c r="Z18" s="839"/>
      <c r="AA18" s="839"/>
      <c r="AB18" s="440"/>
      <c r="AC18" s="839">
        <f>5737-2</f>
        <v>5735</v>
      </c>
      <c r="AD18" s="839">
        <f>+AD13</f>
        <v>6720</v>
      </c>
      <c r="AE18" s="440">
        <f t="shared" si="0"/>
        <v>17.2</v>
      </c>
      <c r="AF18" s="714">
        <f t="shared" si="1"/>
        <v>12336.6</v>
      </c>
      <c r="AG18" s="714">
        <f t="shared" si="2"/>
        <v>14292.4</v>
      </c>
      <c r="AH18" s="440">
        <f t="shared" si="3"/>
        <v>15.9</v>
      </c>
      <c r="AI18" s="730"/>
      <c r="AJ18" s="730"/>
      <c r="AK18" s="730"/>
      <c r="AL18" s="731"/>
      <c r="AM18" s="731"/>
    </row>
    <row r="19" spans="1:39" s="732" customFormat="1" ht="18.75" customHeight="1" x14ac:dyDescent="0.35">
      <c r="A19" s="514" t="s">
        <v>415</v>
      </c>
      <c r="B19" s="839"/>
      <c r="C19" s="839"/>
      <c r="D19" s="440"/>
      <c r="E19" s="839"/>
      <c r="F19" s="839"/>
      <c r="G19" s="440"/>
      <c r="H19" s="839"/>
      <c r="I19" s="839"/>
      <c r="J19" s="440"/>
      <c r="K19" s="839"/>
      <c r="L19" s="839"/>
      <c r="M19" s="440"/>
      <c r="N19" s="839">
        <f>31951.3-1.6</f>
        <v>31949.7</v>
      </c>
      <c r="O19" s="839">
        <v>40017.800000000003</v>
      </c>
      <c r="P19" s="440">
        <f>IF(N19=0, "    ---- ", IF(ABS(ROUND(100/N19*O19-100,1))&lt;999,ROUND(100/N19*O19-100,1),IF(ROUND(100/N19*O19-100,1)&gt;999,999,-999)))</f>
        <v>25.3</v>
      </c>
      <c r="Q19" s="635"/>
      <c r="R19" s="635"/>
      <c r="S19" s="440"/>
      <c r="T19" s="839">
        <v>57188</v>
      </c>
      <c r="U19" s="839">
        <v>71015</v>
      </c>
      <c r="V19" s="440">
        <f>IF(T19=0, "    ---- ", IF(ABS(ROUND(100/T19*U19-100,1))&lt;999,ROUND(100/T19*U19-100,1),IF(ROUND(100/T19*U19-100,1)&gt;999,999,-999)))</f>
        <v>24.2</v>
      </c>
      <c r="W19" s="839"/>
      <c r="X19" s="839"/>
      <c r="Y19" s="440"/>
      <c r="Z19" s="839"/>
      <c r="AA19" s="839"/>
      <c r="AB19" s="440"/>
      <c r="AC19" s="839">
        <f>1843+17761+64541+38135</f>
        <v>122280</v>
      </c>
      <c r="AD19" s="839">
        <f>+AD14</f>
        <v>140178</v>
      </c>
      <c r="AE19" s="440">
        <f t="shared" si="0"/>
        <v>14.6</v>
      </c>
      <c r="AF19" s="714">
        <f t="shared" si="1"/>
        <v>211417.7</v>
      </c>
      <c r="AG19" s="714">
        <f t="shared" si="2"/>
        <v>251210.8</v>
      </c>
      <c r="AH19" s="440">
        <f t="shared" si="3"/>
        <v>18.8</v>
      </c>
      <c r="AI19" s="730"/>
      <c r="AJ19" s="730"/>
      <c r="AK19" s="730"/>
      <c r="AL19" s="731"/>
      <c r="AM19" s="731"/>
    </row>
    <row r="20" spans="1:39" s="732" customFormat="1" ht="18.75" customHeight="1" x14ac:dyDescent="0.35">
      <c r="A20" s="514" t="s">
        <v>417</v>
      </c>
      <c r="B20" s="839"/>
      <c r="C20" s="839"/>
      <c r="D20" s="440"/>
      <c r="E20" s="839"/>
      <c r="F20" s="839"/>
      <c r="G20" s="440"/>
      <c r="H20" s="839"/>
      <c r="I20" s="839"/>
      <c r="J20" s="440"/>
      <c r="K20" s="839"/>
      <c r="L20" s="839"/>
      <c r="M20" s="440"/>
      <c r="N20" s="839"/>
      <c r="O20" s="839"/>
      <c r="P20" s="440"/>
      <c r="Q20" s="635">
        <v>1477.7597008399998</v>
      </c>
      <c r="R20" s="912">
        <v>1549.1708050100001</v>
      </c>
      <c r="S20" s="440">
        <f>IF(Q20=0, "    ---- ", IF(ABS(ROUND(100/Q20*R20-100,1))&lt;999,ROUND(100/Q20*R20-100,1),IF(ROUND(100/Q20*R20-100,1)&gt;999,999,-999)))</f>
        <v>4.8</v>
      </c>
      <c r="T20" s="839"/>
      <c r="U20" s="839"/>
      <c r="V20" s="440"/>
      <c r="W20" s="839"/>
      <c r="X20" s="839"/>
      <c r="Y20" s="440"/>
      <c r="Z20" s="839"/>
      <c r="AA20" s="839"/>
      <c r="AB20" s="440"/>
      <c r="AC20" s="839"/>
      <c r="AD20" s="839"/>
      <c r="AE20" s="440"/>
      <c r="AF20" s="714">
        <f t="shared" si="1"/>
        <v>1477.7597008399998</v>
      </c>
      <c r="AG20" s="714">
        <f t="shared" si="2"/>
        <v>1549.1708050100001</v>
      </c>
      <c r="AH20" s="440">
        <f t="shared" si="3"/>
        <v>4.8</v>
      </c>
      <c r="AI20" s="730"/>
      <c r="AJ20" s="730"/>
      <c r="AK20" s="730"/>
      <c r="AL20" s="731"/>
      <c r="AM20" s="731"/>
    </row>
    <row r="21" spans="1:39" s="726" customFormat="1" ht="18.75" customHeight="1" x14ac:dyDescent="0.3">
      <c r="A21" s="692" t="s">
        <v>433</v>
      </c>
      <c r="B21" s="840"/>
      <c r="C21" s="840"/>
      <c r="D21" s="721"/>
      <c r="E21" s="840"/>
      <c r="F21" s="840"/>
      <c r="G21" s="721"/>
      <c r="H21" s="840"/>
      <c r="I21" s="840"/>
      <c r="J21" s="721"/>
      <c r="K21" s="840"/>
      <c r="L21" s="840"/>
      <c r="M21" s="721"/>
      <c r="N21" s="840"/>
      <c r="O21" s="840"/>
      <c r="P21" s="721"/>
      <c r="Q21" s="633"/>
      <c r="R21" s="633"/>
      <c r="S21" s="721"/>
      <c r="T21" s="840"/>
      <c r="U21" s="840"/>
      <c r="V21" s="721"/>
      <c r="W21" s="840"/>
      <c r="X21" s="840"/>
      <c r="Y21" s="721"/>
      <c r="Z21" s="840"/>
      <c r="AA21" s="840"/>
      <c r="AB21" s="721"/>
      <c r="AC21" s="840"/>
      <c r="AD21" s="840"/>
      <c r="AE21" s="721"/>
      <c r="AF21" s="720">
        <f t="shared" si="1"/>
        <v>0</v>
      </c>
      <c r="AG21" s="720">
        <f t="shared" si="2"/>
        <v>0</v>
      </c>
      <c r="AH21" s="721" t="str">
        <f t="shared" si="3"/>
        <v xml:space="preserve">    ---- </v>
      </c>
      <c r="AI21" s="728"/>
      <c r="AJ21" s="728"/>
      <c r="AK21" s="728"/>
      <c r="AL21" s="695"/>
      <c r="AM21" s="725"/>
    </row>
    <row r="22" spans="1:39" s="732" customFormat="1" ht="18.75" customHeight="1" x14ac:dyDescent="0.35">
      <c r="A22" s="514" t="s">
        <v>410</v>
      </c>
      <c r="B22" s="839"/>
      <c r="C22" s="839"/>
      <c r="D22" s="440"/>
      <c r="E22" s="839"/>
      <c r="F22" s="839"/>
      <c r="G22" s="440"/>
      <c r="H22" s="839"/>
      <c r="I22" s="839"/>
      <c r="J22" s="440"/>
      <c r="K22" s="839"/>
      <c r="L22" s="839"/>
      <c r="M22" s="440"/>
      <c r="N22" s="839"/>
      <c r="O22" s="839"/>
      <c r="P22" s="440"/>
      <c r="Q22" s="635"/>
      <c r="R22" s="635"/>
      <c r="S22" s="440"/>
      <c r="T22" s="839"/>
      <c r="U22" s="839"/>
      <c r="V22" s="440"/>
      <c r="W22" s="839"/>
      <c r="X22" s="839"/>
      <c r="Y22" s="440"/>
      <c r="Z22" s="839"/>
      <c r="AA22" s="839"/>
      <c r="AB22" s="440"/>
      <c r="AC22" s="839"/>
      <c r="AD22" s="839"/>
      <c r="AE22" s="440"/>
      <c r="AF22" s="714">
        <f t="shared" si="1"/>
        <v>0</v>
      </c>
      <c r="AG22" s="714">
        <f t="shared" si="2"/>
        <v>0</v>
      </c>
      <c r="AH22" s="440" t="str">
        <f t="shared" si="3"/>
        <v xml:space="preserve">    ---- </v>
      </c>
      <c r="AI22" s="730"/>
      <c r="AJ22" s="730"/>
      <c r="AK22" s="730"/>
      <c r="AL22" s="731"/>
      <c r="AM22" s="731"/>
    </row>
    <row r="23" spans="1:39" s="732" customFormat="1" ht="18.75" customHeight="1" x14ac:dyDescent="0.35">
      <c r="A23" s="514" t="s">
        <v>413</v>
      </c>
      <c r="B23" s="839"/>
      <c r="C23" s="839"/>
      <c r="D23" s="440"/>
      <c r="E23" s="839"/>
      <c r="F23" s="839"/>
      <c r="G23" s="440"/>
      <c r="H23" s="839"/>
      <c r="I23" s="839"/>
      <c r="J23" s="440"/>
      <c r="K23" s="839"/>
      <c r="L23" s="839"/>
      <c r="M23" s="440"/>
      <c r="N23" s="839"/>
      <c r="O23" s="839"/>
      <c r="P23" s="440"/>
      <c r="Q23" s="635"/>
      <c r="R23" s="635"/>
      <c r="S23" s="440"/>
      <c r="T23" s="839"/>
      <c r="U23" s="839"/>
      <c r="V23" s="440"/>
      <c r="W23" s="839"/>
      <c r="X23" s="839"/>
      <c r="Y23" s="440"/>
      <c r="Z23" s="839"/>
      <c r="AA23" s="839"/>
      <c r="AB23" s="440"/>
      <c r="AC23" s="839"/>
      <c r="AD23" s="839"/>
      <c r="AE23" s="440"/>
      <c r="AF23" s="714">
        <f t="shared" si="1"/>
        <v>0</v>
      </c>
      <c r="AG23" s="714">
        <f t="shared" si="2"/>
        <v>0</v>
      </c>
      <c r="AH23" s="440" t="str">
        <f t="shared" si="3"/>
        <v xml:space="preserve">    ---- </v>
      </c>
      <c r="AI23" s="730"/>
      <c r="AJ23" s="730"/>
      <c r="AK23" s="730"/>
      <c r="AL23" s="731"/>
      <c r="AM23" s="731"/>
    </row>
    <row r="24" spans="1:39" s="732" customFormat="1" ht="18.75" customHeight="1" x14ac:dyDescent="0.35">
      <c r="A24" s="514" t="s">
        <v>415</v>
      </c>
      <c r="B24" s="839"/>
      <c r="C24" s="839"/>
      <c r="D24" s="440"/>
      <c r="E24" s="839"/>
      <c r="F24" s="839"/>
      <c r="G24" s="440"/>
      <c r="H24" s="839"/>
      <c r="I24" s="839"/>
      <c r="J24" s="440"/>
      <c r="K24" s="839"/>
      <c r="L24" s="839"/>
      <c r="M24" s="440"/>
      <c r="N24" s="839"/>
      <c r="O24" s="839"/>
      <c r="P24" s="440"/>
      <c r="Q24" s="635"/>
      <c r="R24" s="635"/>
      <c r="S24" s="440"/>
      <c r="T24" s="839"/>
      <c r="U24" s="839"/>
      <c r="V24" s="440"/>
      <c r="W24" s="839"/>
      <c r="X24" s="839"/>
      <c r="Y24" s="440"/>
      <c r="Z24" s="839"/>
      <c r="AA24" s="839"/>
      <c r="AB24" s="440"/>
      <c r="AC24" s="839"/>
      <c r="AD24" s="839"/>
      <c r="AE24" s="440"/>
      <c r="AF24" s="714">
        <f t="shared" si="1"/>
        <v>0</v>
      </c>
      <c r="AG24" s="714">
        <f t="shared" si="2"/>
        <v>0</v>
      </c>
      <c r="AH24" s="440" t="str">
        <f t="shared" si="3"/>
        <v xml:space="preserve">    ---- </v>
      </c>
      <c r="AI24" s="730"/>
      <c r="AJ24" s="730"/>
      <c r="AK24" s="730"/>
      <c r="AL24" s="731"/>
      <c r="AM24" s="731"/>
    </row>
    <row r="25" spans="1:39" s="732" customFormat="1" ht="18.75" customHeight="1" x14ac:dyDescent="0.35">
      <c r="A25" s="514" t="s">
        <v>417</v>
      </c>
      <c r="B25" s="839"/>
      <c r="C25" s="839"/>
      <c r="D25" s="440"/>
      <c r="E25" s="839"/>
      <c r="F25" s="839"/>
      <c r="G25" s="440"/>
      <c r="H25" s="839"/>
      <c r="I25" s="839"/>
      <c r="J25" s="440"/>
      <c r="K25" s="839"/>
      <c r="L25" s="839"/>
      <c r="M25" s="440"/>
      <c r="N25" s="839"/>
      <c r="O25" s="839"/>
      <c r="P25" s="440"/>
      <c r="Q25" s="635"/>
      <c r="R25" s="635"/>
      <c r="S25" s="440"/>
      <c r="T25" s="839"/>
      <c r="U25" s="839"/>
      <c r="V25" s="440"/>
      <c r="W25" s="839"/>
      <c r="X25" s="839"/>
      <c r="Y25" s="440"/>
      <c r="Z25" s="839"/>
      <c r="AA25" s="839"/>
      <c r="AB25" s="440"/>
      <c r="AC25" s="839"/>
      <c r="AD25" s="839"/>
      <c r="AE25" s="440"/>
      <c r="AF25" s="714">
        <f t="shared" si="1"/>
        <v>0</v>
      </c>
      <c r="AG25" s="714">
        <f t="shared" si="2"/>
        <v>0</v>
      </c>
      <c r="AH25" s="440" t="str">
        <f t="shared" si="3"/>
        <v xml:space="preserve">    ---- </v>
      </c>
      <c r="AI25" s="730"/>
      <c r="AJ25" s="730"/>
      <c r="AK25" s="730"/>
      <c r="AL25" s="731"/>
      <c r="AM25" s="731"/>
    </row>
    <row r="26" spans="1:39" s="726" customFormat="1" ht="18.75" customHeight="1" x14ac:dyDescent="0.35">
      <c r="A26" s="733" t="s">
        <v>434</v>
      </c>
      <c r="B26" s="840"/>
      <c r="C26" s="840"/>
      <c r="D26" s="721"/>
      <c r="E26" s="840"/>
      <c r="F26" s="840"/>
      <c r="G26" s="721"/>
      <c r="H26" s="840"/>
      <c r="I26" s="840"/>
      <c r="J26" s="721"/>
      <c r="K26" s="840"/>
      <c r="L26" s="840"/>
      <c r="M26" s="721"/>
      <c r="N26" s="840"/>
      <c r="O26" s="840"/>
      <c r="P26" s="721"/>
      <c r="Q26" s="633">
        <f>SUM(Q27:Q30)</f>
        <v>135.04439400000001</v>
      </c>
      <c r="R26" s="633">
        <f>SUM(R27:R30)</f>
        <v>186</v>
      </c>
      <c r="S26" s="721">
        <f>IF(Q26=0, "    ---- ", IF(ABS(ROUND(100/Q26*R26-100,1))&lt;999,ROUND(100/Q26*R26-100,1),IF(ROUND(100/Q26*R26-100,1)&gt;999,999,-999)))</f>
        <v>37.700000000000003</v>
      </c>
      <c r="T26" s="840"/>
      <c r="U26" s="840"/>
      <c r="V26" s="721"/>
      <c r="W26" s="840"/>
      <c r="X26" s="840"/>
      <c r="Y26" s="721"/>
      <c r="Z26" s="840"/>
      <c r="AA26" s="840">
        <f>SUM(AA27:AA30)</f>
        <v>40</v>
      </c>
      <c r="AB26" s="440" t="str">
        <f>IF(Z26=0, "    ---- ", IF(ABS(ROUND(100/Z26*AA26-100,1))&lt;999,ROUND(100/Z26*AA26-100,1),IF(ROUND(100/Z26*AA26-100,1)&gt;999,999,-999)))</f>
        <v xml:space="preserve">    ---- </v>
      </c>
      <c r="AC26" s="840"/>
      <c r="AD26" s="840"/>
      <c r="AE26" s="721"/>
      <c r="AF26" s="720">
        <f t="shared" si="1"/>
        <v>135.04439400000001</v>
      </c>
      <c r="AG26" s="720">
        <f t="shared" si="2"/>
        <v>226</v>
      </c>
      <c r="AH26" s="721">
        <f t="shared" si="3"/>
        <v>67.400000000000006</v>
      </c>
      <c r="AI26" s="728"/>
      <c r="AJ26" s="728"/>
      <c r="AK26" s="728"/>
      <c r="AL26" s="695"/>
      <c r="AM26" s="725"/>
    </row>
    <row r="27" spans="1:39" s="732" customFormat="1" ht="18.75" customHeight="1" x14ac:dyDescent="0.35">
      <c r="A27" s="514" t="s">
        <v>410</v>
      </c>
      <c r="B27" s="839"/>
      <c r="C27" s="839"/>
      <c r="D27" s="440"/>
      <c r="E27" s="839"/>
      <c r="F27" s="839"/>
      <c r="G27" s="440"/>
      <c r="H27" s="839"/>
      <c r="I27" s="839"/>
      <c r="J27" s="440"/>
      <c r="K27" s="839"/>
      <c r="L27" s="839"/>
      <c r="M27" s="440"/>
      <c r="N27" s="839"/>
      <c r="O27" s="839"/>
      <c r="P27" s="440"/>
      <c r="Q27" s="635"/>
      <c r="R27" s="635"/>
      <c r="S27" s="440"/>
      <c r="T27" s="839"/>
      <c r="U27" s="839"/>
      <c r="V27" s="440"/>
      <c r="W27" s="839"/>
      <c r="X27" s="839"/>
      <c r="Y27" s="440"/>
      <c r="Z27" s="839"/>
      <c r="AA27" s="839"/>
      <c r="AB27" s="440"/>
      <c r="AC27" s="839"/>
      <c r="AD27" s="839"/>
      <c r="AE27" s="440"/>
      <c r="AF27" s="714">
        <f t="shared" si="1"/>
        <v>0</v>
      </c>
      <c r="AG27" s="714">
        <f t="shared" si="2"/>
        <v>0</v>
      </c>
      <c r="AH27" s="440" t="str">
        <f t="shared" si="3"/>
        <v xml:space="preserve">    ---- </v>
      </c>
      <c r="AI27" s="730"/>
      <c r="AJ27" s="730"/>
      <c r="AK27" s="730"/>
      <c r="AL27" s="731"/>
      <c r="AM27" s="731"/>
    </row>
    <row r="28" spans="1:39" s="732" customFormat="1" ht="18.75" customHeight="1" x14ac:dyDescent="0.35">
      <c r="A28" s="514" t="s">
        <v>413</v>
      </c>
      <c r="B28" s="839"/>
      <c r="C28" s="839"/>
      <c r="D28" s="440"/>
      <c r="E28" s="839"/>
      <c r="F28" s="839"/>
      <c r="G28" s="440"/>
      <c r="H28" s="839"/>
      <c r="I28" s="839"/>
      <c r="J28" s="440"/>
      <c r="K28" s="839"/>
      <c r="L28" s="839"/>
      <c r="M28" s="440"/>
      <c r="N28" s="839"/>
      <c r="O28" s="839"/>
      <c r="P28" s="440"/>
      <c r="Q28" s="635"/>
      <c r="R28" s="635"/>
      <c r="S28" s="440"/>
      <c r="T28" s="839"/>
      <c r="U28" s="839"/>
      <c r="V28" s="440"/>
      <c r="W28" s="839"/>
      <c r="X28" s="839"/>
      <c r="Y28" s="440"/>
      <c r="Z28" s="839"/>
      <c r="AA28" s="839"/>
      <c r="AB28" s="440"/>
      <c r="AC28" s="839"/>
      <c r="AD28" s="839"/>
      <c r="AE28" s="440"/>
      <c r="AF28" s="714">
        <f t="shared" si="1"/>
        <v>0</v>
      </c>
      <c r="AG28" s="714">
        <f t="shared" si="2"/>
        <v>0</v>
      </c>
      <c r="AH28" s="440" t="str">
        <f t="shared" si="3"/>
        <v xml:space="preserve">    ---- </v>
      </c>
      <c r="AI28" s="730"/>
      <c r="AJ28" s="730"/>
      <c r="AK28" s="730"/>
      <c r="AL28" s="731"/>
      <c r="AM28" s="731"/>
    </row>
    <row r="29" spans="1:39" s="732" customFormat="1" ht="18.75" customHeight="1" x14ac:dyDescent="0.35">
      <c r="A29" s="514" t="s">
        <v>415</v>
      </c>
      <c r="B29" s="839"/>
      <c r="C29" s="839"/>
      <c r="D29" s="440"/>
      <c r="E29" s="839"/>
      <c r="F29" s="839"/>
      <c r="G29" s="440"/>
      <c r="H29" s="839"/>
      <c r="I29" s="839"/>
      <c r="J29" s="440"/>
      <c r="K29" s="839"/>
      <c r="L29" s="839"/>
      <c r="M29" s="440"/>
      <c r="N29" s="839"/>
      <c r="O29" s="839"/>
      <c r="P29" s="440"/>
      <c r="Q29" s="635"/>
      <c r="R29" s="635"/>
      <c r="S29" s="440"/>
      <c r="T29" s="839"/>
      <c r="U29" s="839"/>
      <c r="V29" s="440"/>
      <c r="W29" s="839"/>
      <c r="X29" s="839"/>
      <c r="Y29" s="440"/>
      <c r="Z29" s="839"/>
      <c r="AA29" s="839">
        <v>40</v>
      </c>
      <c r="AB29" s="440" t="str">
        <f>IF(Z29=0, "    ---- ", IF(ABS(ROUND(100/Z29*AA29-100,1))&lt;999,ROUND(100/Z29*AA29-100,1),IF(ROUND(100/Z29*AA29-100,1)&gt;999,999,-999)))</f>
        <v xml:space="preserve">    ---- </v>
      </c>
      <c r="AC29" s="839"/>
      <c r="AD29" s="839"/>
      <c r="AE29" s="440"/>
      <c r="AF29" s="714">
        <f t="shared" si="1"/>
        <v>0</v>
      </c>
      <c r="AG29" s="714">
        <f t="shared" si="2"/>
        <v>40</v>
      </c>
      <c r="AH29" s="440" t="str">
        <f t="shared" si="3"/>
        <v xml:space="preserve">    ---- </v>
      </c>
      <c r="AI29" s="730"/>
      <c r="AJ29" s="730"/>
      <c r="AK29" s="730"/>
      <c r="AL29" s="731"/>
      <c r="AM29" s="731"/>
    </row>
    <row r="30" spans="1:39" s="732" customFormat="1" ht="18.75" customHeight="1" x14ac:dyDescent="0.35">
      <c r="A30" s="514" t="s">
        <v>417</v>
      </c>
      <c r="B30" s="839"/>
      <c r="C30" s="839"/>
      <c r="D30" s="440"/>
      <c r="E30" s="839"/>
      <c r="F30" s="839"/>
      <c r="G30" s="440"/>
      <c r="H30" s="839"/>
      <c r="I30" s="839"/>
      <c r="J30" s="440"/>
      <c r="K30" s="839"/>
      <c r="L30" s="839"/>
      <c r="M30" s="440"/>
      <c r="N30" s="839"/>
      <c r="O30" s="839"/>
      <c r="P30" s="440"/>
      <c r="Q30" s="635">
        <v>135.04439400000001</v>
      </c>
      <c r="R30" s="635">
        <v>186</v>
      </c>
      <c r="S30" s="440">
        <f>IF(Q30=0, "    ---- ", IF(ABS(ROUND(100/Q30*R30-100,1))&lt;999,ROUND(100/Q30*R30-100,1),IF(ROUND(100/Q30*R30-100,1)&gt;999,999,-999)))</f>
        <v>37.700000000000003</v>
      </c>
      <c r="T30" s="839"/>
      <c r="U30" s="839"/>
      <c r="V30" s="440"/>
      <c r="W30" s="839"/>
      <c r="X30" s="839"/>
      <c r="Y30" s="440"/>
      <c r="Z30" s="839"/>
      <c r="AA30" s="839"/>
      <c r="AB30" s="440"/>
      <c r="AC30" s="839"/>
      <c r="AD30" s="839"/>
      <c r="AE30" s="440"/>
      <c r="AF30" s="714">
        <f t="shared" si="1"/>
        <v>135.04439400000001</v>
      </c>
      <c r="AG30" s="714">
        <f t="shared" si="2"/>
        <v>186</v>
      </c>
      <c r="AH30" s="440">
        <f t="shared" si="3"/>
        <v>37.700000000000003</v>
      </c>
      <c r="AI30" s="730"/>
      <c r="AJ30" s="730"/>
      <c r="AK30" s="730"/>
      <c r="AL30" s="731"/>
      <c r="AM30" s="731"/>
    </row>
    <row r="31" spans="1:39" s="726" customFormat="1" ht="18.75" customHeight="1" x14ac:dyDescent="0.3">
      <c r="A31" s="733" t="s">
        <v>435</v>
      </c>
      <c r="B31" s="840">
        <f>SUM(B32:B34)</f>
        <v>64.063000000000002</v>
      </c>
      <c r="C31" s="840">
        <f>SUM(C32:C34)</f>
        <v>65.459000000000003</v>
      </c>
      <c r="D31" s="721">
        <f>IF(B31=0, "    ---- ", IF(ABS(ROUND(100/B31*C31-100,1))&lt;999,ROUND(100/B31*C31-100,1),IF(ROUND(100/B31*C31-100,1)&gt;999,999,-999)))</f>
        <v>2.2000000000000002</v>
      </c>
      <c r="E31" s="840">
        <f>SUM(E32:E34)</f>
        <v>17.399999999999999</v>
      </c>
      <c r="F31" s="840"/>
      <c r="G31" s="721">
        <f>IF(E31=0, "    ---- ", IF(ABS(ROUND(100/E31*F31-100,1))&lt;999,ROUND(100/E31*F31-100,1),IF(ROUND(100/E31*F31-100,1)&gt;999,999,-999)))</f>
        <v>-100</v>
      </c>
      <c r="H31" s="840">
        <f>SUM(H32:H34)</f>
        <v>587.21908509000002</v>
      </c>
      <c r="I31" s="840">
        <f>SUM(I32:I34)</f>
        <v>512</v>
      </c>
      <c r="J31" s="721">
        <f>IF(H31=0, "    ---- ", IF(ABS(ROUND(100/H31*I31-100,1))&lt;999,ROUND(100/H31*I31-100,1),IF(ROUND(100/H31*I31-100,1)&gt;999,999,-999)))</f>
        <v>-12.8</v>
      </c>
      <c r="K31" s="840"/>
      <c r="L31" s="840"/>
      <c r="M31" s="721"/>
      <c r="N31" s="840">
        <f>SUM(N32:N34)</f>
        <v>251.5</v>
      </c>
      <c r="O31" s="840">
        <f>SUM(O32:O34)</f>
        <v>244.2</v>
      </c>
      <c r="P31" s="721">
        <f>IF(N31=0, "    ---- ", IF(ABS(ROUND(100/N31*O31-100,1))&lt;999,ROUND(100/N31*O31-100,1),IF(ROUND(100/N31*O31-100,1)&gt;999,999,-999)))</f>
        <v>-2.9</v>
      </c>
      <c r="Q31" s="633">
        <f>SUM(Q32:Q34)</f>
        <v>400.94814700000001</v>
      </c>
      <c r="R31" s="633">
        <f>SUM(R32:R34)</f>
        <v>499</v>
      </c>
      <c r="S31" s="721">
        <f>IF(Q31=0, "    ---- ", IF(ABS(ROUND(100/Q31*R31-100,1))&lt;999,ROUND(100/Q31*R31-100,1),IF(ROUND(100/Q31*R31-100,1)&gt;999,999,-999)))</f>
        <v>24.5</v>
      </c>
      <c r="T31" s="840"/>
      <c r="U31" s="840"/>
      <c r="V31" s="721"/>
      <c r="W31" s="840"/>
      <c r="X31" s="840"/>
      <c r="Y31" s="721"/>
      <c r="Z31" s="840">
        <f>SUM(Z32:Z34)</f>
        <v>617</v>
      </c>
      <c r="AA31" s="840">
        <f>SUM(AA32:AA34)</f>
        <v>704</v>
      </c>
      <c r="AB31" s="721">
        <f>IF(Z31=0, "    ---- ", IF(ABS(ROUND(100/Z31*AA31-100,1))&lt;999,ROUND(100/Z31*AA31-100,1),IF(ROUND(100/Z31*AA31-100,1)&gt;999,999,-999)))</f>
        <v>14.1</v>
      </c>
      <c r="AC31" s="840"/>
      <c r="AD31" s="840"/>
      <c r="AE31" s="721"/>
      <c r="AF31" s="720">
        <f t="shared" si="1"/>
        <v>1938.1302320900002</v>
      </c>
      <c r="AG31" s="720">
        <f t="shared" si="2"/>
        <v>2024.6590000000001</v>
      </c>
      <c r="AH31" s="721">
        <f t="shared" si="3"/>
        <v>4.5</v>
      </c>
      <c r="AI31" s="728"/>
      <c r="AJ31" s="728"/>
      <c r="AK31" s="728"/>
      <c r="AL31" s="695"/>
      <c r="AM31" s="725"/>
    </row>
    <row r="32" spans="1:39" s="732" customFormat="1" ht="18.75" customHeight="1" x14ac:dyDescent="0.35">
      <c r="A32" s="514" t="s">
        <v>413</v>
      </c>
      <c r="B32" s="839"/>
      <c r="C32" s="839"/>
      <c r="D32" s="440"/>
      <c r="E32" s="839"/>
      <c r="F32" s="839"/>
      <c r="G32" s="440"/>
      <c r="H32" s="839"/>
      <c r="I32" s="839"/>
      <c r="J32" s="440"/>
      <c r="K32" s="839"/>
      <c r="L32" s="839"/>
      <c r="M32" s="440"/>
      <c r="N32" s="839"/>
      <c r="O32" s="839"/>
      <c r="P32" s="440"/>
      <c r="Q32" s="635"/>
      <c r="R32" s="635"/>
      <c r="S32" s="440"/>
      <c r="T32" s="839"/>
      <c r="U32" s="839"/>
      <c r="V32" s="440"/>
      <c r="W32" s="839"/>
      <c r="X32" s="839"/>
      <c r="Y32" s="440"/>
      <c r="Z32" s="839"/>
      <c r="AA32" s="839"/>
      <c r="AB32" s="440"/>
      <c r="AC32" s="839"/>
      <c r="AD32" s="839"/>
      <c r="AE32" s="440"/>
      <c r="AF32" s="714">
        <f t="shared" si="1"/>
        <v>0</v>
      </c>
      <c r="AG32" s="714">
        <f t="shared" si="2"/>
        <v>0</v>
      </c>
      <c r="AH32" s="440" t="str">
        <f t="shared" si="3"/>
        <v xml:space="preserve">    ---- </v>
      </c>
      <c r="AI32" s="730"/>
      <c r="AJ32" s="730"/>
      <c r="AK32" s="730"/>
      <c r="AL32" s="731"/>
      <c r="AM32" s="731"/>
    </row>
    <row r="33" spans="1:39" s="732" customFormat="1" ht="18.75" customHeight="1" x14ac:dyDescent="0.35">
      <c r="A33" s="514" t="s">
        <v>415</v>
      </c>
      <c r="B33" s="839">
        <v>64.063000000000002</v>
      </c>
      <c r="C33" s="839">
        <v>65.459000000000003</v>
      </c>
      <c r="D33" s="440">
        <f>IF(B33=0, "    ---- ", IF(ABS(ROUND(100/B33*C33-100,1))&lt;999,ROUND(100/B33*C33-100,1),IF(ROUND(100/B33*C33-100,1)&gt;999,999,-999)))</f>
        <v>2.2000000000000002</v>
      </c>
      <c r="E33" s="839">
        <v>17.399999999999999</v>
      </c>
      <c r="F33" s="839"/>
      <c r="G33" s="440">
        <f>IF(E33=0, "    ---- ", IF(ABS(ROUND(100/E33*F33-100,1))&lt;999,ROUND(100/E33*F33-100,1),IF(ROUND(100/E33*F33-100,1)&gt;999,999,-999)))</f>
        <v>-100</v>
      </c>
      <c r="H33" s="848">
        <v>587.21908509000002</v>
      </c>
      <c r="I33" s="839">
        <v>512</v>
      </c>
      <c r="J33" s="440">
        <f>IF(H33=0, "    ---- ", IF(ABS(ROUND(100/H33*I33-100,1))&lt;999,ROUND(100/H33*I33-100,1),IF(ROUND(100/H33*I33-100,1)&gt;999,999,-999)))</f>
        <v>-12.8</v>
      </c>
      <c r="K33" s="839"/>
      <c r="L33" s="839"/>
      <c r="M33" s="440"/>
      <c r="N33" s="839">
        <v>251.5</v>
      </c>
      <c r="O33" s="839">
        <v>244.2</v>
      </c>
      <c r="P33" s="440">
        <f>IF(N33=0, "    ---- ", IF(ABS(ROUND(100/N33*O33-100,1))&lt;999,ROUND(100/N33*O33-100,1),IF(ROUND(100/N33*O33-100,1)&gt;999,999,-999)))</f>
        <v>-2.9</v>
      </c>
      <c r="Q33" s="635"/>
      <c r="R33" s="635"/>
      <c r="S33" s="440"/>
      <c r="T33" s="839"/>
      <c r="U33" s="839"/>
      <c r="V33" s="440"/>
      <c r="W33" s="839"/>
      <c r="X33" s="839"/>
      <c r="Y33" s="440"/>
      <c r="Z33" s="839">
        <v>617</v>
      </c>
      <c r="AA33" s="839">
        <v>704</v>
      </c>
      <c r="AB33" s="440">
        <f>IF(Z33=0, "    ---- ", IF(ABS(ROUND(100/Z33*AA33-100,1))&lt;999,ROUND(100/Z33*AA33-100,1),IF(ROUND(100/Z33*AA33-100,1)&gt;999,999,-999)))</f>
        <v>14.1</v>
      </c>
      <c r="AC33" s="839"/>
      <c r="AD33" s="839"/>
      <c r="AE33" s="440"/>
      <c r="AF33" s="714">
        <f t="shared" si="1"/>
        <v>1537.1820850899999</v>
      </c>
      <c r="AG33" s="714">
        <f t="shared" si="2"/>
        <v>1525.6590000000001</v>
      </c>
      <c r="AH33" s="440">
        <f t="shared" si="3"/>
        <v>-0.7</v>
      </c>
      <c r="AI33" s="730"/>
      <c r="AJ33" s="730"/>
      <c r="AK33" s="730"/>
      <c r="AL33" s="731"/>
      <c r="AM33" s="731"/>
    </row>
    <row r="34" spans="1:39" s="732" customFormat="1" ht="18.75" customHeight="1" x14ac:dyDescent="0.35">
      <c r="A34" s="514" t="s">
        <v>417</v>
      </c>
      <c r="B34" s="839"/>
      <c r="C34" s="839"/>
      <c r="D34" s="440"/>
      <c r="E34" s="839"/>
      <c r="F34" s="839"/>
      <c r="G34" s="440"/>
      <c r="H34" s="839"/>
      <c r="I34" s="839"/>
      <c r="J34" s="440"/>
      <c r="K34" s="839"/>
      <c r="L34" s="839"/>
      <c r="M34" s="440"/>
      <c r="N34" s="839"/>
      <c r="O34" s="839"/>
      <c r="P34" s="440"/>
      <c r="Q34" s="635">
        <v>400.94814700000001</v>
      </c>
      <c r="R34" s="635">
        <v>499</v>
      </c>
      <c r="S34" s="440">
        <f>IF(Q34=0, "    ---- ", IF(ABS(ROUND(100/Q34*R34-100,1))&lt;999,ROUND(100/Q34*R34-100,1),IF(ROUND(100/Q34*R34-100,1)&gt;999,999,-999)))</f>
        <v>24.5</v>
      </c>
      <c r="T34" s="839"/>
      <c r="U34" s="839"/>
      <c r="V34" s="440"/>
      <c r="W34" s="839"/>
      <c r="X34" s="839"/>
      <c r="Y34" s="440"/>
      <c r="Z34" s="839"/>
      <c r="AA34" s="839"/>
      <c r="AB34" s="440"/>
      <c r="AC34" s="839"/>
      <c r="AD34" s="839"/>
      <c r="AE34" s="440"/>
      <c r="AF34" s="714">
        <f t="shared" si="1"/>
        <v>400.94814700000001</v>
      </c>
      <c r="AG34" s="714">
        <f t="shared" si="2"/>
        <v>499</v>
      </c>
      <c r="AH34" s="440">
        <f t="shared" si="3"/>
        <v>24.5</v>
      </c>
      <c r="AI34" s="734"/>
      <c r="AJ34" s="730"/>
      <c r="AK34" s="730"/>
      <c r="AL34" s="731"/>
      <c r="AM34" s="731"/>
    </row>
    <row r="35" spans="1:39" s="726" customFormat="1" ht="18.75" customHeight="1" x14ac:dyDescent="0.3">
      <c r="A35" s="733" t="s">
        <v>436</v>
      </c>
      <c r="B35" s="840">
        <f>SUM(B11+B21+B26+B31)</f>
        <v>24084.123999999996</v>
      </c>
      <c r="C35" s="840">
        <f>SUM(C11+C21+C26+C31)</f>
        <v>29361.437999999998</v>
      </c>
      <c r="D35" s="721">
        <f>IF(B35=0, "    ---- ", IF(ABS(ROUND(100/B35*C35-100,1))&lt;999,ROUND(100/B35*C35-100,1),IF(ROUND(100/B35*C35-100,1)&gt;999,999,-999)))</f>
        <v>21.9</v>
      </c>
      <c r="E35" s="840">
        <f>SUM(E11+E21+E26+E31)</f>
        <v>5959.2</v>
      </c>
      <c r="F35" s="840"/>
      <c r="G35" s="721">
        <f>IF(E35=0, "    ---- ", IF(ABS(ROUND(100/E35*F35-100,1))&lt;999,ROUND(100/E35*F35-100,1),IF(ROUND(100/E35*F35-100,1)&gt;999,999,-999)))</f>
        <v>-100</v>
      </c>
      <c r="H35" s="840">
        <f>SUM(H11+H21+H26+H31)</f>
        <v>110860.23808508999</v>
      </c>
      <c r="I35" s="840">
        <f>SUM(I11+I21+I26+I31)</f>
        <v>138747.45699999999</v>
      </c>
      <c r="J35" s="721">
        <f>IF(H35=0, "    ---- ", IF(ABS(ROUND(100/H35*I35-100,1))&lt;999,ROUND(100/H35*I35-100,1),IF(ROUND(100/H35*I35-100,1)&gt;999,999,-999)))</f>
        <v>25.2</v>
      </c>
      <c r="K35" s="840"/>
      <c r="L35" s="840"/>
      <c r="M35" s="721"/>
      <c r="N35" s="840">
        <f>SUM(N11+N21+N26+N31)</f>
        <v>34697.599999999999</v>
      </c>
      <c r="O35" s="840">
        <f>SUM(O11+O21+O26+O31)</f>
        <v>43184.4</v>
      </c>
      <c r="P35" s="721">
        <f>IF(N35=0, "    ---- ", IF(ABS(ROUND(100/N35*O35-100,1))&lt;999,ROUND(100/N35*O35-100,1),IF(ROUND(100/N35*O35-100,1)&gt;999,999,-999)))</f>
        <v>24.5</v>
      </c>
      <c r="Q35" s="633">
        <f>SUM(Q11+Q21+Q26+Q31)</f>
        <v>2013.7522418399999</v>
      </c>
      <c r="R35" s="633">
        <f>SUM(R11+R21+R26+R31)</f>
        <v>2234.1708050100001</v>
      </c>
      <c r="S35" s="721">
        <f>IF(Q35=0, "    ---- ", IF(ABS(ROUND(100/Q35*R35-100,1))&lt;999,ROUND(100/Q35*R35-100,1),IF(ROUND(100/Q35*R35-100,1)&gt;999,999,-999)))</f>
        <v>10.9</v>
      </c>
      <c r="T35" s="840">
        <f>SUM(T11+T21+T26+T31)</f>
        <v>98862</v>
      </c>
      <c r="U35" s="840">
        <f>SUM(U11+U21+U26+U31)</f>
        <v>125405</v>
      </c>
      <c r="V35" s="721">
        <f>IF(T35=0, "    ---- ", IF(ABS(ROUND(100/T35*U35-100,1))&lt;999,ROUND(100/T35*U35-100,1),IF(ROUND(100/T35*U35-100,1)&gt;999,999,-999)))</f>
        <v>26.8</v>
      </c>
      <c r="W35" s="840">
        <f>SUM(W11+W21+W26+W31)</f>
        <v>2931.7169809200004</v>
      </c>
      <c r="X35" s="840">
        <f>SUM(X11+X21+X26+X31)</f>
        <v>3211.24630639</v>
      </c>
      <c r="Y35" s="721">
        <f>IF(W35=0, "    ---- ", IF(ABS(ROUND(100/W35*X35-100,1))&lt;999,ROUND(100/W35*X35-100,1),IF(ROUND(100/W35*X35-100,1)&gt;999,999,-999)))</f>
        <v>9.5</v>
      </c>
      <c r="Z35" s="840">
        <f>SUM(Z11+Z21+Z26+Z31)</f>
        <v>43585</v>
      </c>
      <c r="AA35" s="840">
        <f>SUM(AA11+AA21+AA26+AA31)</f>
        <v>57288</v>
      </c>
      <c r="AB35" s="721">
        <f>IF(Z35=0, "    ---- ", IF(ABS(ROUND(100/Z35*AA35-100,1))&lt;999,ROUND(100/Z35*AA35-100,1),IF(ROUND(100/Z35*AA35-100,1)&gt;999,999,-999)))</f>
        <v>31.4</v>
      </c>
      <c r="AC35" s="840">
        <f>SUM(AC11+AC21+AC26+AC31)</f>
        <v>137089</v>
      </c>
      <c r="AD35" s="840">
        <f>SUM(AD11+AD21+AD26+AD31)</f>
        <v>157873</v>
      </c>
      <c r="AE35" s="721">
        <f t="shared" si="0"/>
        <v>15.2</v>
      </c>
      <c r="AF35" s="720">
        <f t="shared" si="1"/>
        <v>460082.63130785001</v>
      </c>
      <c r="AG35" s="720">
        <f t="shared" si="2"/>
        <v>557304.71211139997</v>
      </c>
      <c r="AH35" s="721">
        <f t="shared" si="3"/>
        <v>21.1</v>
      </c>
      <c r="AI35" s="720">
        <f>AF35+'Tabell 7a'!AL47</f>
        <v>1638545.42371553</v>
      </c>
      <c r="AJ35" s="721">
        <f>AG35+'Tabell 7a'!AM47</f>
        <v>1820996.2479656602</v>
      </c>
      <c r="AK35" s="721">
        <f t="shared" ref="AK35:AK42" si="4">IF(AI35=0, "    ---- ", IF(ABS(ROUND(100/AI35*AJ35-100,1))&lt;999,ROUND(100/AI35*AJ35-100,1),IF(ROUND(100/AI35*AJ35-100,1)&gt;999,999,-999)))</f>
        <v>11.1</v>
      </c>
      <c r="AL35" s="695"/>
      <c r="AM35" s="725"/>
    </row>
    <row r="36" spans="1:39" s="732" customFormat="1" ht="18.75" customHeight="1" x14ac:dyDescent="0.35">
      <c r="A36" s="514" t="s">
        <v>410</v>
      </c>
      <c r="B36" s="839">
        <f>SUM(B12+B22+B27)</f>
        <v>2843.9479999999999</v>
      </c>
      <c r="C36" s="839">
        <f>SUM(C12+C22+C27)</f>
        <v>3261.5079999999998</v>
      </c>
      <c r="D36" s="440">
        <f>IF(B36=0, "    ---- ", IF(ABS(ROUND(100/B36*C36-100,1))&lt;999,ROUND(100/B36*C36-100,1),IF(ROUND(100/B36*C36-100,1)&gt;999,999,-999)))</f>
        <v>14.7</v>
      </c>
      <c r="E36" s="839"/>
      <c r="F36" s="839"/>
      <c r="G36" s="440"/>
      <c r="H36" s="839">
        <f>SUM(H12+H22+H27)</f>
        <v>6816</v>
      </c>
      <c r="I36" s="839">
        <f>SUM(I12+I22+I27)</f>
        <v>7736</v>
      </c>
      <c r="J36" s="440">
        <f>IF(H36=0, "    ---- ", IF(ABS(ROUND(100/H36*I36-100,1))&lt;999,ROUND(100/H36*I36-100,1),IF(ROUND(100/H36*I36-100,1)&gt;999,999,-999)))</f>
        <v>13.5</v>
      </c>
      <c r="K36" s="839"/>
      <c r="L36" s="839"/>
      <c r="M36" s="440"/>
      <c r="N36" s="839">
        <f>SUM(N12+N22+N27)</f>
        <v>834.2</v>
      </c>
      <c r="O36" s="839">
        <f>SUM(O12+O22+O27)</f>
        <v>1033.7</v>
      </c>
      <c r="P36" s="440">
        <f>IF(N36=0, "    ---- ", IF(ABS(ROUND(100/N36*O36-100,1))&lt;999,ROUND(100/N36*O36-100,1),IF(ROUND(100/N36*O36-100,1)&gt;999,999,-999)))</f>
        <v>23.9</v>
      </c>
      <c r="Q36" s="635"/>
      <c r="R36" s="635"/>
      <c r="S36" s="440"/>
      <c r="T36" s="839">
        <f>SUM(T12+T22+T27)</f>
        <v>36733</v>
      </c>
      <c r="U36" s="839">
        <f>SUM(U12+U22+U27)</f>
        <v>48705</v>
      </c>
      <c r="V36" s="440">
        <f>IF(T36=0, "    ---- ", IF(ABS(ROUND(100/T36*U36-100,1))&lt;999,ROUND(100/T36*U36-100,1),IF(ROUND(100/T36*U36-100,1)&gt;999,999,-999)))</f>
        <v>32.6</v>
      </c>
      <c r="W36" s="839">
        <f>SUM(W12+W22+W27)</f>
        <v>1080.9643559900001</v>
      </c>
      <c r="X36" s="839">
        <f>SUM(X12+X22+X27)</f>
        <v>1306.99288422</v>
      </c>
      <c r="Y36" s="440">
        <f>IF(W36=0, "    ---- ", IF(ABS(ROUND(100/W36*X36-100,1))&lt;999,ROUND(100/W36*X36-100,1),IF(ROUND(100/W36*X36-100,1)&gt;999,999,-999)))</f>
        <v>20.9</v>
      </c>
      <c r="Z36" s="839">
        <f>SUM(Z12+Z22+Z27)</f>
        <v>3306</v>
      </c>
      <c r="AA36" s="839">
        <f>SUM(AA12+AA22+AA27)</f>
        <v>4295</v>
      </c>
      <c r="AB36" s="440">
        <f>IF(Z36=0, "    ---- ", IF(ABS(ROUND(100/Z36*AA36-100,1))&lt;999,ROUND(100/Z36*AA36-100,1),IF(ROUND(100/Z36*AA36-100,1)&gt;999,999,-999)))</f>
        <v>29.9</v>
      </c>
      <c r="AC36" s="839">
        <f>SUM(AC12+AC22+AC27)</f>
        <v>9074</v>
      </c>
      <c r="AD36" s="839">
        <f>SUM(AD12+AD22+AD27)</f>
        <v>10975</v>
      </c>
      <c r="AE36" s="440">
        <f t="shared" si="0"/>
        <v>20.9</v>
      </c>
      <c r="AF36" s="714">
        <f t="shared" si="1"/>
        <v>60688.112355990001</v>
      </c>
      <c r="AG36" s="714">
        <f t="shared" si="2"/>
        <v>77313.200884220001</v>
      </c>
      <c r="AH36" s="440">
        <f t="shared" si="3"/>
        <v>27.4</v>
      </c>
      <c r="AI36" s="714">
        <f>AF36+'Tabell 7a'!AL48</f>
        <v>78239.289502613508</v>
      </c>
      <c r="AJ36" s="440">
        <f>AG36+'Tabell 7a'!AM48</f>
        <v>93879.052826210012</v>
      </c>
      <c r="AK36" s="440">
        <f t="shared" si="4"/>
        <v>20</v>
      </c>
      <c r="AL36" s="731"/>
      <c r="AM36" s="731"/>
    </row>
    <row r="37" spans="1:39" s="732" customFormat="1" ht="18.75" customHeight="1" x14ac:dyDescent="0.35">
      <c r="A37" s="514" t="s">
        <v>413</v>
      </c>
      <c r="B37" s="839">
        <f>SUM(B13+B23+B28+B32)</f>
        <v>2198.6060000000002</v>
      </c>
      <c r="C37" s="839">
        <f>SUM(C13+C23+C28+C32)</f>
        <v>2315.0729999999999</v>
      </c>
      <c r="D37" s="440">
        <f>IF(B37=0, "    ---- ", IF(ABS(ROUND(100/B37*C37-100,1))&lt;999,ROUND(100/B37*C37-100,1),IF(ROUND(100/B37*C37-100,1)&gt;999,999,-999)))</f>
        <v>5.3</v>
      </c>
      <c r="E37" s="839"/>
      <c r="F37" s="839"/>
      <c r="G37" s="440"/>
      <c r="H37" s="839">
        <f>SUM(H13+H23+H28+H32)</f>
        <v>5800.7560000000003</v>
      </c>
      <c r="I37" s="839">
        <f>SUM(I13+I23+I28+I32)</f>
        <v>6070.4570000000003</v>
      </c>
      <c r="J37" s="440">
        <f>IF(H37=0, "    ---- ", IF(ABS(ROUND(100/H37*I37-100,1))&lt;999,ROUND(100/H37*I37-100,1),IF(ROUND(100/H37*I37-100,1)&gt;999,999,-999)))</f>
        <v>4.5999999999999996</v>
      </c>
      <c r="K37" s="839"/>
      <c r="L37" s="839"/>
      <c r="M37" s="440"/>
      <c r="N37" s="839">
        <f>SUM(N13+N23+N28+N32)</f>
        <v>1660.6</v>
      </c>
      <c r="O37" s="839">
        <f>SUM(O13+O23+O28+O32)</f>
        <v>1887.4</v>
      </c>
      <c r="P37" s="440">
        <f>IF(N37=0, "    ---- ", IF(ABS(ROUND(100/N37*O37-100,1))&lt;999,ROUND(100/N37*O37-100,1),IF(ROUND(100/N37*O37-100,1)&gt;999,999,-999)))</f>
        <v>13.7</v>
      </c>
      <c r="Q37" s="635"/>
      <c r="R37" s="635"/>
      <c r="S37" s="440"/>
      <c r="T37" s="839">
        <f>SUM(T13+T23+T28+T32)</f>
        <v>4941</v>
      </c>
      <c r="U37" s="839">
        <f>SUM(U13+U23+U28+U32)</f>
        <v>5685</v>
      </c>
      <c r="V37" s="440">
        <f>IF(T37=0, "    ---- ", IF(ABS(ROUND(100/T37*U37-100,1))&lt;999,ROUND(100/T37*U37-100,1),IF(ROUND(100/T37*U37-100,1)&gt;999,999,-999)))</f>
        <v>15.1</v>
      </c>
      <c r="W37" s="839">
        <f>SUM(W13+W23+W28+W32)</f>
        <v>1019.9726249300001</v>
      </c>
      <c r="X37" s="839">
        <f>SUM(X13+X23+X28+X32)</f>
        <v>1143.6275013200002</v>
      </c>
      <c r="Y37" s="440">
        <f>IF(W37=0, "    ---- ", IF(ABS(ROUND(100/W37*X37-100,1))&lt;999,ROUND(100/W37*X37-100,1),IF(ROUND(100/W37*X37-100,1)&gt;999,999,-999)))</f>
        <v>12.1</v>
      </c>
      <c r="Z37" s="839">
        <f>SUM(Z13+Z23+Z28+Z32)</f>
        <v>3180</v>
      </c>
      <c r="AA37" s="839">
        <f>SUM(AA13+AA23+AA28+AA32)</f>
        <v>3992</v>
      </c>
      <c r="AB37" s="440">
        <f>IF(Z37=0, "    ---- ", IF(ABS(ROUND(100/Z37*AA37-100,1))&lt;999,ROUND(100/Z37*AA37-100,1),IF(ROUND(100/Z37*AA37-100,1)&gt;999,999,-999)))</f>
        <v>25.5</v>
      </c>
      <c r="AC37" s="839">
        <f>SUM(AC13+AC23+AC28+AC32)</f>
        <v>5735</v>
      </c>
      <c r="AD37" s="839">
        <f>SUM(AD13+AD23+AD28+AD32)</f>
        <v>6720</v>
      </c>
      <c r="AE37" s="440">
        <f t="shared" si="0"/>
        <v>17.2</v>
      </c>
      <c r="AF37" s="714">
        <f t="shared" si="1"/>
        <v>24535.93462493</v>
      </c>
      <c r="AG37" s="714">
        <f t="shared" si="2"/>
        <v>27813.55750132</v>
      </c>
      <c r="AH37" s="440">
        <f t="shared" si="3"/>
        <v>13.4</v>
      </c>
      <c r="AI37" s="714">
        <f>AF37+'Tabell 7a'!AL49</f>
        <v>70206.929721752051</v>
      </c>
      <c r="AJ37" s="440">
        <f>AG37+'Tabell 7a'!AM49</f>
        <v>72895.770447869989</v>
      </c>
      <c r="AK37" s="440">
        <f t="shared" si="4"/>
        <v>3.8</v>
      </c>
      <c r="AL37" s="731"/>
      <c r="AM37" s="731"/>
    </row>
    <row r="38" spans="1:39" s="732" customFormat="1" ht="18.75" customHeight="1" x14ac:dyDescent="0.35">
      <c r="A38" s="556" t="s">
        <v>414</v>
      </c>
      <c r="B38" s="839"/>
      <c r="C38" s="839"/>
      <c r="D38" s="440"/>
      <c r="E38" s="839"/>
      <c r="F38" s="839"/>
      <c r="G38" s="440"/>
      <c r="H38" s="839"/>
      <c r="I38" s="839"/>
      <c r="J38" s="440"/>
      <c r="K38" s="839"/>
      <c r="L38" s="839"/>
      <c r="M38" s="440"/>
      <c r="N38" s="839"/>
      <c r="O38" s="839"/>
      <c r="P38" s="440"/>
      <c r="Q38" s="635"/>
      <c r="R38" s="635"/>
      <c r="S38" s="440"/>
      <c r="T38" s="839"/>
      <c r="U38" s="839"/>
      <c r="V38" s="440"/>
      <c r="W38" s="839"/>
      <c r="X38" s="839"/>
      <c r="Y38" s="440"/>
      <c r="Z38" s="839"/>
      <c r="AA38" s="839"/>
      <c r="AB38" s="440"/>
      <c r="AC38" s="839"/>
      <c r="AD38" s="839"/>
      <c r="AE38" s="440"/>
      <c r="AF38" s="714">
        <f t="shared" si="1"/>
        <v>0</v>
      </c>
      <c r="AG38" s="714">
        <f t="shared" si="2"/>
        <v>0</v>
      </c>
      <c r="AH38" s="440" t="str">
        <f t="shared" si="3"/>
        <v xml:space="preserve">    ---- </v>
      </c>
      <c r="AI38" s="714">
        <f>AF38+'Tabell 7a'!AL50</f>
        <v>4419.3304098444287</v>
      </c>
      <c r="AJ38" s="440">
        <f>AG38+'Tabell 7a'!AM50</f>
        <v>4403.90335134</v>
      </c>
      <c r="AK38" s="440">
        <f t="shared" si="4"/>
        <v>-0.3</v>
      </c>
      <c r="AL38" s="731"/>
      <c r="AM38" s="731"/>
    </row>
    <row r="39" spans="1:39" s="732" customFormat="1" ht="18.75" customHeight="1" x14ac:dyDescent="0.35">
      <c r="A39" s="514" t="s">
        <v>415</v>
      </c>
      <c r="B39" s="839">
        <f>SUM(B14+B24+B29+B33)</f>
        <v>19041.569999999996</v>
      </c>
      <c r="C39" s="839">
        <f>SUM(C14+C24+C29+C33)</f>
        <v>23784.857</v>
      </c>
      <c r="D39" s="440">
        <f>IF(B39=0, "    ---- ", IF(ABS(ROUND(100/B39*C39-100,1))&lt;999,ROUND(100/B39*C39-100,1),IF(ROUND(100/B39*C39-100,1)&gt;999,999,-999)))</f>
        <v>24.9</v>
      </c>
      <c r="E39" s="839">
        <f>SUM(E14+E24+E29+E33)</f>
        <v>5959.2</v>
      </c>
      <c r="F39" s="839"/>
      <c r="G39" s="440">
        <f>IF(E39=0, "    ---- ", IF(ABS(ROUND(100/E39*F39-100,1))&lt;999,ROUND(100/E39*F39-100,1),IF(ROUND(100/E39*F39-100,1)&gt;999,999,-999)))</f>
        <v>-100</v>
      </c>
      <c r="H39" s="839">
        <f>SUM(H14+H24+H29+H33)</f>
        <v>98243.48208509</v>
      </c>
      <c r="I39" s="839">
        <f>SUM(I14+I24+I29+I33)</f>
        <v>124941</v>
      </c>
      <c r="J39" s="440">
        <f>IF(H39=0, "    ---- ", IF(ABS(ROUND(100/H39*I39-100,1))&lt;999,ROUND(100/H39*I39-100,1),IF(ROUND(100/H39*I39-100,1)&gt;999,999,-999)))</f>
        <v>27.2</v>
      </c>
      <c r="K39" s="839"/>
      <c r="L39" s="839"/>
      <c r="M39" s="440"/>
      <c r="N39" s="839">
        <f>SUM(N14+N24+N29+N33)</f>
        <v>32202.799999999999</v>
      </c>
      <c r="O39" s="839">
        <f>SUM(O14+O24+O29+O33)</f>
        <v>40263.300000000003</v>
      </c>
      <c r="P39" s="440">
        <f>IF(N39=0, "    ---- ", IF(ABS(ROUND(100/N39*O39-100,1))&lt;999,ROUND(100/N39*O39-100,1),IF(ROUND(100/N39*O39-100,1)&gt;999,999,-999)))</f>
        <v>25</v>
      </c>
      <c r="Q39" s="635"/>
      <c r="R39" s="635"/>
      <c r="S39" s="440"/>
      <c r="T39" s="839">
        <f>SUM(T14+T24+T29+T33)</f>
        <v>57188</v>
      </c>
      <c r="U39" s="839">
        <f>SUM(U14+U24+U29+U33)</f>
        <v>71015</v>
      </c>
      <c r="V39" s="440">
        <f>IF(T39=0, "    ---- ", IF(ABS(ROUND(100/T39*U39-100,1))&lt;999,ROUND(100/T39*U39-100,1),IF(ROUND(100/T39*U39-100,1)&gt;999,999,-999)))</f>
        <v>24.2</v>
      </c>
      <c r="W39" s="839">
        <f>SUM(W14+W24+W29+W33)</f>
        <v>830.78</v>
      </c>
      <c r="X39" s="839">
        <f>SUM(X14+X24+X29+X33)</f>
        <v>760.62592084999994</v>
      </c>
      <c r="Y39" s="440">
        <f>IF(W39=0, "    ---- ", IF(ABS(ROUND(100/W39*X39-100,1))&lt;999,ROUND(100/W39*X39-100,1),IF(ROUND(100/W39*X39-100,1)&gt;999,999,-999)))</f>
        <v>-8.4</v>
      </c>
      <c r="Z39" s="839">
        <f>SUM(Z14+Z24+Z29+Z33)</f>
        <v>37099</v>
      </c>
      <c r="AA39" s="839">
        <f>SUM(AA14+AA24+AA29+AA33)</f>
        <v>49001</v>
      </c>
      <c r="AB39" s="440">
        <f>IF(Z39=0, "    ---- ", IF(ABS(ROUND(100/Z39*AA39-100,1))&lt;999,ROUND(100/Z39*AA39-100,1),IF(ROUND(100/Z39*AA39-100,1)&gt;999,999,-999)))</f>
        <v>32.1</v>
      </c>
      <c r="AC39" s="839">
        <f>SUM(AC14+AC24+AC29+AC33)</f>
        <v>122280</v>
      </c>
      <c r="AD39" s="839">
        <f>SUM(AD14+AD24+AD29+AD33)</f>
        <v>140178</v>
      </c>
      <c r="AE39" s="440">
        <f t="shared" si="0"/>
        <v>14.6</v>
      </c>
      <c r="AF39" s="714">
        <f t="shared" si="1"/>
        <v>372844.83208508999</v>
      </c>
      <c r="AG39" s="714">
        <f t="shared" si="2"/>
        <v>449943.78292084998</v>
      </c>
      <c r="AH39" s="440">
        <f t="shared" si="3"/>
        <v>20.7</v>
      </c>
      <c r="AI39" s="714">
        <f>AF39+'Tabell 7a'!AL51</f>
        <v>766511.07308509003</v>
      </c>
      <c r="AJ39" s="440">
        <f>AG39+'Tabell 7a'!AM51</f>
        <v>853116.53792084998</v>
      </c>
      <c r="AK39" s="440">
        <f t="shared" si="4"/>
        <v>11.3</v>
      </c>
      <c r="AL39" s="731"/>
      <c r="AM39" s="731"/>
    </row>
    <row r="40" spans="1:39" s="732" customFormat="1" ht="18.75" customHeight="1" x14ac:dyDescent="0.35">
      <c r="A40" s="514" t="s">
        <v>417</v>
      </c>
      <c r="B40" s="839"/>
      <c r="C40" s="839"/>
      <c r="D40" s="440"/>
      <c r="E40" s="839"/>
      <c r="F40" s="839"/>
      <c r="G40" s="440"/>
      <c r="H40" s="839"/>
      <c r="I40" s="839"/>
      <c r="J40" s="440"/>
      <c r="K40" s="839"/>
      <c r="L40" s="839"/>
      <c r="M40" s="440"/>
      <c r="N40" s="839"/>
      <c r="O40" s="839"/>
      <c r="P40" s="440"/>
      <c r="Q40" s="635">
        <f>SUM(Q15+Q25+Q30+Q34)</f>
        <v>2013.7522418399999</v>
      </c>
      <c r="R40" s="635">
        <v>2234</v>
      </c>
      <c r="S40" s="440">
        <f>IF(Q40=0, "    ---- ", IF(ABS(ROUND(100/Q40*R40-100,1))&lt;999,ROUND(100/Q40*R40-100,1),IF(ROUND(100/Q40*R40-100,1)&gt;999,999,-999)))</f>
        <v>10.9</v>
      </c>
      <c r="T40" s="839"/>
      <c r="U40" s="839"/>
      <c r="V40" s="440"/>
      <c r="W40" s="839"/>
      <c r="X40" s="839"/>
      <c r="Y40" s="440"/>
      <c r="Z40" s="839"/>
      <c r="AA40" s="839"/>
      <c r="AB40" s="440"/>
      <c r="AC40" s="839"/>
      <c r="AD40" s="839"/>
      <c r="AE40" s="440"/>
      <c r="AF40" s="714">
        <f t="shared" si="1"/>
        <v>2013.7522418399999</v>
      </c>
      <c r="AG40" s="714">
        <f t="shared" si="2"/>
        <v>2234</v>
      </c>
      <c r="AH40" s="440">
        <f t="shared" si="3"/>
        <v>10.9</v>
      </c>
      <c r="AI40" s="714">
        <f>AF40+'Tabell 7a'!AL52</f>
        <v>624641.34007422999</v>
      </c>
      <c r="AJ40" s="440">
        <f>AG40+'Tabell 7a'!AM52</f>
        <v>678418.95530981</v>
      </c>
      <c r="AK40" s="440">
        <f t="shared" si="4"/>
        <v>8.6</v>
      </c>
      <c r="AL40" s="731"/>
      <c r="AM40" s="731"/>
    </row>
    <row r="41" spans="1:39" s="732" customFormat="1" ht="18.75" customHeight="1" x14ac:dyDescent="0.35">
      <c r="A41" s="556" t="s">
        <v>418</v>
      </c>
      <c r="B41" s="839"/>
      <c r="C41" s="839"/>
      <c r="D41" s="440"/>
      <c r="E41" s="839"/>
      <c r="F41" s="839"/>
      <c r="G41" s="440"/>
      <c r="H41" s="839"/>
      <c r="I41" s="839"/>
      <c r="J41" s="440"/>
      <c r="K41" s="839"/>
      <c r="L41" s="839"/>
      <c r="M41" s="440"/>
      <c r="N41" s="839"/>
      <c r="O41" s="839"/>
      <c r="P41" s="440"/>
      <c r="Q41" s="635"/>
      <c r="R41" s="635"/>
      <c r="S41" s="440"/>
      <c r="T41" s="839"/>
      <c r="U41" s="839"/>
      <c r="V41" s="440"/>
      <c r="W41" s="839"/>
      <c r="X41" s="839"/>
      <c r="Y41" s="440"/>
      <c r="Z41" s="839"/>
      <c r="AA41" s="839"/>
      <c r="AB41" s="440"/>
      <c r="AC41" s="839"/>
      <c r="AD41" s="839"/>
      <c r="AE41" s="440"/>
      <c r="AF41" s="714">
        <f t="shared" si="1"/>
        <v>0</v>
      </c>
      <c r="AG41" s="714">
        <f t="shared" si="2"/>
        <v>0</v>
      </c>
      <c r="AH41" s="440" t="str">
        <f t="shared" si="3"/>
        <v xml:space="preserve">    ---- </v>
      </c>
      <c r="AI41" s="714">
        <f>AF41+'Tabell 7a'!AL53</f>
        <v>5431.0700000000006</v>
      </c>
      <c r="AJ41" s="440">
        <f>AG41+'Tabell 7a'!AM53</f>
        <v>837.77577819999988</v>
      </c>
      <c r="AK41" s="440">
        <f t="shared" si="4"/>
        <v>-84.6</v>
      </c>
      <c r="AL41" s="731"/>
      <c r="AM41" s="731"/>
    </row>
    <row r="42" spans="1:39" s="732" customFormat="1" ht="18.75" customHeight="1" x14ac:dyDescent="0.35">
      <c r="A42" s="793" t="s">
        <v>425</v>
      </c>
      <c r="B42" s="835"/>
      <c r="C42" s="835"/>
      <c r="D42" s="736"/>
      <c r="E42" s="835"/>
      <c r="F42" s="835"/>
      <c r="G42" s="736"/>
      <c r="H42" s="835"/>
      <c r="I42" s="835"/>
      <c r="J42" s="736"/>
      <c r="K42" s="835"/>
      <c r="L42" s="835"/>
      <c r="M42" s="736"/>
      <c r="N42" s="835"/>
      <c r="O42" s="835"/>
      <c r="P42" s="736"/>
      <c r="Q42" s="835"/>
      <c r="R42" s="835"/>
      <c r="S42" s="736"/>
      <c r="T42" s="835"/>
      <c r="U42" s="835"/>
      <c r="V42" s="736"/>
      <c r="W42" s="835"/>
      <c r="X42" s="835"/>
      <c r="Y42" s="736"/>
      <c r="Z42" s="835"/>
      <c r="AA42" s="835"/>
      <c r="AB42" s="736"/>
      <c r="AC42" s="835"/>
      <c r="AD42" s="835"/>
      <c r="AE42" s="736"/>
      <c r="AF42" s="735">
        <f t="shared" si="1"/>
        <v>0</v>
      </c>
      <c r="AG42" s="735">
        <f t="shared" si="2"/>
        <v>0</v>
      </c>
      <c r="AH42" s="736" t="str">
        <f t="shared" si="3"/>
        <v xml:space="preserve">    ---- </v>
      </c>
      <c r="AI42" s="735">
        <f>AF42+'Tabell 7a'!AL54</f>
        <v>89096.390922000006</v>
      </c>
      <c r="AJ42" s="736">
        <f>AG42+'Tabell 7a'!AM54</f>
        <v>117444.08152637001</v>
      </c>
      <c r="AK42" s="736">
        <f t="shared" si="4"/>
        <v>31.8</v>
      </c>
      <c r="AL42" s="731"/>
      <c r="AM42" s="731"/>
    </row>
    <row r="43" spans="1:39" s="737" customFormat="1" ht="18.75" customHeight="1" x14ac:dyDescent="0.35">
      <c r="A43" s="558" t="s">
        <v>252</v>
      </c>
      <c r="B43" s="558"/>
      <c r="N43" s="558"/>
      <c r="T43" s="738"/>
      <c r="X43" s="739"/>
      <c r="Y43" s="739"/>
      <c r="Z43" s="558"/>
      <c r="AF43" s="558"/>
      <c r="AI43" s="558"/>
      <c r="AL43" s="740"/>
      <c r="AM43" s="740"/>
    </row>
    <row r="44" spans="1:39" s="737" customFormat="1" ht="18.75" customHeight="1" x14ac:dyDescent="0.35">
      <c r="A44" s="558" t="s">
        <v>254</v>
      </c>
      <c r="B44" s="741"/>
      <c r="N44" s="558"/>
      <c r="X44" s="739"/>
      <c r="Y44" s="739"/>
      <c r="Z44" s="558"/>
      <c r="AI44" s="558"/>
      <c r="AL44" s="740"/>
      <c r="AM44" s="740"/>
    </row>
    <row r="45" spans="1:39" s="737" customFormat="1" ht="18" x14ac:dyDescent="0.35">
      <c r="B45" s="654"/>
      <c r="C45" s="654"/>
      <c r="N45" s="654"/>
      <c r="O45" s="654"/>
      <c r="T45" s="654"/>
      <c r="U45" s="654"/>
      <c r="W45" s="654"/>
      <c r="X45" s="654"/>
      <c r="Z45" s="654"/>
      <c r="AA45" s="654"/>
      <c r="AC45" s="654"/>
      <c r="AD45" s="654"/>
      <c r="AF45" s="654"/>
      <c r="AG45" s="654"/>
      <c r="AI45" s="654"/>
      <c r="AJ45" s="654"/>
    </row>
    <row r="46" spans="1:39" s="737" customFormat="1" ht="18" x14ac:dyDescent="0.35">
      <c r="B46" s="654"/>
      <c r="C46" s="654"/>
      <c r="N46" s="654"/>
      <c r="O46" s="654"/>
      <c r="T46" s="654"/>
      <c r="U46" s="654"/>
      <c r="W46" s="654"/>
      <c r="X46" s="654"/>
      <c r="Z46" s="654"/>
      <c r="AA46" s="654"/>
      <c r="AC46" s="654"/>
      <c r="AD46" s="654"/>
      <c r="AF46" s="654"/>
      <c r="AG46" s="654"/>
      <c r="AI46" s="654"/>
      <c r="AJ46" s="654"/>
    </row>
    <row r="47" spans="1:39" s="737" customFormat="1" ht="18" x14ac:dyDescent="0.35">
      <c r="B47" s="654"/>
      <c r="C47" s="654"/>
      <c r="N47" s="654"/>
      <c r="O47" s="654"/>
      <c r="T47" s="654"/>
      <c r="U47" s="654"/>
      <c r="W47" s="654"/>
      <c r="X47" s="654"/>
      <c r="Z47" s="654"/>
      <c r="AA47" s="654"/>
      <c r="AC47" s="654"/>
      <c r="AD47" s="654"/>
      <c r="AF47" s="654"/>
      <c r="AG47" s="654"/>
      <c r="AI47" s="654"/>
      <c r="AJ47" s="654"/>
    </row>
    <row r="48" spans="1:39" s="737" customFormat="1" ht="18" x14ac:dyDescent="0.35">
      <c r="B48" s="654"/>
      <c r="C48" s="654"/>
      <c r="N48" s="654"/>
      <c r="O48" s="654"/>
      <c r="T48" s="654"/>
      <c r="U48" s="654"/>
      <c r="W48" s="654"/>
      <c r="X48" s="654"/>
      <c r="Z48" s="654"/>
      <c r="AA48" s="654"/>
      <c r="AC48" s="654"/>
      <c r="AD48" s="654"/>
      <c r="AF48" s="654"/>
      <c r="AG48" s="654"/>
      <c r="AI48" s="654"/>
      <c r="AJ48" s="654"/>
    </row>
    <row r="49" spans="1:37" s="737" customFormat="1" ht="18" x14ac:dyDescent="0.35">
      <c r="B49" s="654"/>
      <c r="C49" s="654"/>
      <c r="N49" s="654"/>
      <c r="O49" s="654"/>
      <c r="T49" s="654"/>
      <c r="U49" s="654"/>
      <c r="W49" s="654"/>
      <c r="X49" s="654"/>
      <c r="Z49" s="654"/>
      <c r="AA49" s="654"/>
      <c r="AC49" s="654"/>
      <c r="AD49" s="654"/>
      <c r="AF49" s="654"/>
      <c r="AG49" s="654"/>
      <c r="AI49" s="654"/>
      <c r="AJ49" s="654"/>
    </row>
    <row r="50" spans="1:37" s="737" customFormat="1" ht="18" x14ac:dyDescent="0.35">
      <c r="B50" s="654"/>
      <c r="C50" s="654"/>
      <c r="N50" s="654"/>
      <c r="O50" s="654"/>
      <c r="T50" s="654"/>
      <c r="U50" s="654"/>
      <c r="W50" s="654"/>
      <c r="X50" s="654"/>
      <c r="Z50" s="654"/>
      <c r="AA50" s="654"/>
      <c r="AC50" s="654"/>
      <c r="AD50" s="654"/>
      <c r="AF50" s="654"/>
      <c r="AG50" s="654"/>
      <c r="AI50" s="654"/>
      <c r="AJ50" s="654"/>
    </row>
    <row r="51" spans="1:37" s="737" customFormat="1" ht="18" x14ac:dyDescent="0.35">
      <c r="A51" s="740"/>
      <c r="B51" s="654"/>
      <c r="C51" s="654"/>
      <c r="D51" s="740"/>
      <c r="E51" s="740"/>
      <c r="F51" s="740"/>
      <c r="G51" s="740"/>
      <c r="H51" s="740"/>
      <c r="I51" s="740"/>
      <c r="J51" s="740"/>
      <c r="K51" s="740"/>
      <c r="L51" s="740"/>
      <c r="M51" s="740"/>
      <c r="N51" s="654"/>
      <c r="O51" s="654"/>
      <c r="P51" s="740"/>
      <c r="Q51" s="740"/>
      <c r="R51" s="740"/>
      <c r="S51" s="740"/>
      <c r="T51" s="654"/>
      <c r="U51" s="654"/>
      <c r="V51" s="740"/>
      <c r="W51" s="654"/>
      <c r="X51" s="654"/>
      <c r="Y51" s="740"/>
      <c r="Z51" s="654"/>
      <c r="AA51" s="654"/>
      <c r="AB51" s="740"/>
      <c r="AC51" s="654"/>
      <c r="AD51" s="654"/>
      <c r="AE51" s="740"/>
      <c r="AF51" s="654"/>
      <c r="AG51" s="654"/>
      <c r="AH51" s="740"/>
      <c r="AI51" s="654"/>
      <c r="AJ51" s="654"/>
      <c r="AK51" s="740"/>
    </row>
    <row r="52" spans="1:37" s="740" customFormat="1" ht="18" x14ac:dyDescent="0.35"/>
    <row r="53" spans="1:37" s="740" customFormat="1" ht="18" x14ac:dyDescent="0.35"/>
    <row r="54" spans="1:37" s="737" customFormat="1" ht="18" x14ac:dyDescent="0.35"/>
    <row r="55" spans="1:37" s="737" customFormat="1" ht="18" x14ac:dyDescent="0.35"/>
    <row r="56" spans="1:37" s="737" customFormat="1" ht="18" x14ac:dyDescent="0.35"/>
    <row r="57" spans="1:37" s="737" customFormat="1" ht="18" x14ac:dyDescent="0.35"/>
    <row r="58" spans="1:37" s="737" customFormat="1" ht="18" x14ac:dyDescent="0.35"/>
    <row r="59" spans="1:37" s="737" customFormat="1" ht="18" x14ac:dyDescent="0.35"/>
    <row r="60" spans="1:37" s="737" customFormat="1" ht="18" x14ac:dyDescent="0.35"/>
    <row r="61" spans="1:37" s="737" customFormat="1" ht="18" x14ac:dyDescent="0.35"/>
    <row r="62" spans="1:37" s="737" customFormat="1" ht="18" x14ac:dyDescent="0.35"/>
    <row r="63" spans="1:37" s="737" customFormat="1" ht="18" x14ac:dyDescent="0.35"/>
    <row r="64" spans="1:37" s="737" customFormat="1" ht="18" x14ac:dyDescent="0.35"/>
    <row r="65" s="737" customFormat="1" ht="18" x14ac:dyDescent="0.35"/>
    <row r="66" s="737" customFormat="1" ht="18" x14ac:dyDescent="0.35"/>
    <row r="67" s="737" customFormat="1" ht="18" x14ac:dyDescent="0.35"/>
    <row r="68" s="737" customFormat="1" ht="18" x14ac:dyDescent="0.35"/>
    <row r="69" s="737" customFormat="1" ht="18" x14ac:dyDescent="0.35"/>
    <row r="70" s="737" customFormat="1" ht="18" x14ac:dyDescent="0.35"/>
    <row r="71" s="737" customFormat="1" ht="18" x14ac:dyDescent="0.35"/>
    <row r="72" s="737" customFormat="1" ht="18" x14ac:dyDescent="0.35"/>
    <row r="73" s="737" customFormat="1" ht="18" x14ac:dyDescent="0.35"/>
    <row r="74" s="737" customFormat="1" ht="18" x14ac:dyDescent="0.35"/>
    <row r="75" s="737" customFormat="1" ht="18" x14ac:dyDescent="0.35"/>
  </sheetData>
  <mergeCells count="22">
    <mergeCell ref="AI5:AK5"/>
    <mergeCell ref="B5:D5"/>
    <mergeCell ref="H5:J5"/>
    <mergeCell ref="K5:M5"/>
    <mergeCell ref="N5:P5"/>
    <mergeCell ref="E5:G5"/>
    <mergeCell ref="T5:V5"/>
    <mergeCell ref="W5:Y5"/>
    <mergeCell ref="Z5:AB5"/>
    <mergeCell ref="AC5:AE5"/>
    <mergeCell ref="AF5:AH5"/>
    <mergeCell ref="AI6:AK6"/>
    <mergeCell ref="B6:D6"/>
    <mergeCell ref="H6:J6"/>
    <mergeCell ref="K6:M6"/>
    <mergeCell ref="N6:P6"/>
    <mergeCell ref="E6:G6"/>
    <mergeCell ref="T6:V6"/>
    <mergeCell ref="W6:Y6"/>
    <mergeCell ref="Z6:AB6"/>
    <mergeCell ref="AC6:AE6"/>
    <mergeCell ref="AF6:AH6"/>
  </mergeCells>
  <conditionalFormatting sqref="C35">
    <cfRule type="expression" dxfId="66" priority="281">
      <formula>#REF!="40≠41+42+43+44+45+46+47"</formula>
    </cfRule>
  </conditionalFormatting>
  <conditionalFormatting sqref="I35">
    <cfRule type="expression" dxfId="65" priority="185">
      <formula>#REF!="40≠41+42+43+44+45+46+47"</formula>
    </cfRule>
  </conditionalFormatting>
  <conditionalFormatting sqref="L35">
    <cfRule type="expression" dxfId="64" priority="173">
      <formula>#REF!="40≠41+42+43+44+45+46+47"</formula>
    </cfRule>
  </conditionalFormatting>
  <conditionalFormatting sqref="O35">
    <cfRule type="expression" dxfId="63" priority="167">
      <formula>#REF!="40≠41+42+43+44+45+46+47"</formula>
    </cfRule>
  </conditionalFormatting>
  <conditionalFormatting sqref="F35">
    <cfRule type="expression" dxfId="62" priority="155">
      <formula>#REF!="40≠41+42+43+44+45+46+47"</formula>
    </cfRule>
  </conditionalFormatting>
  <conditionalFormatting sqref="U35">
    <cfRule type="expression" dxfId="61" priority="149">
      <formula>#REF!="40≠41+42+43+44+45+46+47"</formula>
    </cfRule>
  </conditionalFormatting>
  <conditionalFormatting sqref="X35">
    <cfRule type="expression" dxfId="60" priority="143">
      <formula>#REF!="40≠41+42+43+44+45+46+47"</formula>
    </cfRule>
  </conditionalFormatting>
  <conditionalFormatting sqref="AA35">
    <cfRule type="expression" dxfId="59" priority="137">
      <formula>#REF!="40≠41+42+43+44+45+46+47"</formula>
    </cfRule>
  </conditionalFormatting>
  <conditionalFormatting sqref="AD35">
    <cfRule type="expression" dxfId="58" priority="131">
      <formula>#REF!="40≠41+42+43+44+45+46+47"</formula>
    </cfRule>
  </conditionalFormatting>
  <conditionalFormatting sqref="B35">
    <cfRule type="expression" dxfId="57" priority="120">
      <formula>#REF!="40≠41+42+43+44+45+46+47"</formula>
    </cfRule>
  </conditionalFormatting>
  <conditionalFormatting sqref="E35">
    <cfRule type="expression" dxfId="56" priority="115">
      <formula>#REF!="40≠41+42+43+44+45+46+47"</formula>
    </cfRule>
  </conditionalFormatting>
  <conditionalFormatting sqref="E11">
    <cfRule type="expression" dxfId="55" priority="116">
      <formula>#REF!="11≠12+13+14+15"</formula>
    </cfRule>
  </conditionalFormatting>
  <conditionalFormatting sqref="E16">
    <cfRule type="expression" dxfId="54" priority="117">
      <formula>#REF!="16≠17+18+19+20"</formula>
    </cfRule>
  </conditionalFormatting>
  <conditionalFormatting sqref="E26 E21">
    <cfRule type="expression" dxfId="53" priority="118">
      <formula>#REF!="26≠27+28+29+30"</formula>
    </cfRule>
  </conditionalFormatting>
  <conditionalFormatting sqref="E31">
    <cfRule type="expression" dxfId="52" priority="119">
      <formula>#REF!="36≠37+38+39"</formula>
    </cfRule>
  </conditionalFormatting>
  <conditionalFormatting sqref="H35">
    <cfRule type="expression" dxfId="51" priority="110">
      <formula>#REF!="40≠41+42+43+44+45+46+47"</formula>
    </cfRule>
  </conditionalFormatting>
  <conditionalFormatting sqref="K35">
    <cfRule type="expression" dxfId="50" priority="105">
      <formula>#REF!="40≠41+42+43+44+45+46+47"</formula>
    </cfRule>
  </conditionalFormatting>
  <conditionalFormatting sqref="K11">
    <cfRule type="expression" dxfId="49" priority="106">
      <formula>#REF!="11≠12+13+14+15"</formula>
    </cfRule>
  </conditionalFormatting>
  <conditionalFormatting sqref="K16 K13:K14">
    <cfRule type="expression" dxfId="48" priority="107">
      <formula>#REF!="16≠17+18+19+20"</formula>
    </cfRule>
  </conditionalFormatting>
  <conditionalFormatting sqref="K26 K21">
    <cfRule type="expression" dxfId="47" priority="108">
      <formula>#REF!="26≠27+28+29+30"</formula>
    </cfRule>
  </conditionalFormatting>
  <conditionalFormatting sqref="K31">
    <cfRule type="expression" dxfId="46" priority="109">
      <formula>#REF!="36≠37+38+39"</formula>
    </cfRule>
  </conditionalFormatting>
  <conditionalFormatting sqref="N35">
    <cfRule type="expression" dxfId="45" priority="100">
      <formula>#REF!="40≠41+42+43+44+45+46+47"</formula>
    </cfRule>
  </conditionalFormatting>
  <conditionalFormatting sqref="AC35">
    <cfRule type="expression" dxfId="44" priority="75">
      <formula>#REF!="40≠41+42+43+44+45+46+47"</formula>
    </cfRule>
  </conditionalFormatting>
  <conditionalFormatting sqref="T35">
    <cfRule type="expression" dxfId="43" priority="90">
      <formula>#REF!="40≠41+42+43+44+45+46+47"</formula>
    </cfRule>
  </conditionalFormatting>
  <conditionalFormatting sqref="W35">
    <cfRule type="expression" dxfId="42" priority="85">
      <formula>#REF!="40≠41+42+43+44+45+46+47"</formula>
    </cfRule>
  </conditionalFormatting>
  <conditionalFormatting sqref="Z35">
    <cfRule type="expression" dxfId="41" priority="80">
      <formula>#REF!="40≠41+42+43+44+45+46+47"</formula>
    </cfRule>
  </conditionalFormatting>
  <conditionalFormatting sqref="B11">
    <cfRule type="expression" dxfId="40" priority="66">
      <formula>#REF!="11≠12+13+14+15"</formula>
    </cfRule>
  </conditionalFormatting>
  <conditionalFormatting sqref="B16">
    <cfRule type="expression" dxfId="39" priority="67">
      <formula>#REF!="16≠17+18+19+20"</formula>
    </cfRule>
  </conditionalFormatting>
  <conditionalFormatting sqref="B26 B21">
    <cfRule type="expression" dxfId="38" priority="68">
      <formula>#REF!="26≠27+28+29+30"</formula>
    </cfRule>
  </conditionalFormatting>
  <conditionalFormatting sqref="B31">
    <cfRule type="expression" dxfId="37" priority="69">
      <formula>#REF!="36≠37+38+39"</formula>
    </cfRule>
  </conditionalFormatting>
  <conditionalFormatting sqref="H11">
    <cfRule type="expression" dxfId="36" priority="57">
      <formula>#REF!="11≠12+13+14+15"</formula>
    </cfRule>
  </conditionalFormatting>
  <conditionalFormatting sqref="H16">
    <cfRule type="expression" dxfId="35" priority="58">
      <formula>#REF!="16≠17+18+19+20"</formula>
    </cfRule>
  </conditionalFormatting>
  <conditionalFormatting sqref="H26 H21">
    <cfRule type="expression" dxfId="34" priority="59">
      <formula>#REF!="26≠27+28+29+30"</formula>
    </cfRule>
  </conditionalFormatting>
  <conditionalFormatting sqref="H31">
    <cfRule type="expression" dxfId="33" priority="60">
      <formula>#REF!="36≠37+38+39"</formula>
    </cfRule>
  </conditionalFormatting>
  <conditionalFormatting sqref="N11">
    <cfRule type="expression" dxfId="32" priority="48">
      <formula>#REF!="11≠12+13+14+15"</formula>
    </cfRule>
  </conditionalFormatting>
  <conditionalFormatting sqref="N16">
    <cfRule type="expression" dxfId="31" priority="49">
      <formula>#REF!="16≠17+18+19+20"</formula>
    </cfRule>
  </conditionalFormatting>
  <conditionalFormatting sqref="N26 N21">
    <cfRule type="expression" dxfId="30" priority="50">
      <formula>#REF!="26≠27+28+29+30"</formula>
    </cfRule>
  </conditionalFormatting>
  <conditionalFormatting sqref="N31">
    <cfRule type="expression" dxfId="29" priority="51">
      <formula>#REF!="36≠37+38+39"</formula>
    </cfRule>
  </conditionalFormatting>
  <conditionalFormatting sqref="W11">
    <cfRule type="expression" dxfId="28" priority="39">
      <formula>#REF!="11≠12+13+14+15"</formula>
    </cfRule>
  </conditionalFormatting>
  <conditionalFormatting sqref="W16">
    <cfRule type="expression" dxfId="27" priority="40">
      <formula>#REF!="16≠17+18+19+20"</formula>
    </cfRule>
  </conditionalFormatting>
  <conditionalFormatting sqref="W26 W21">
    <cfRule type="expression" dxfId="26" priority="41">
      <formula>#REF!="26≠27+28+29+30"</formula>
    </cfRule>
  </conditionalFormatting>
  <conditionalFormatting sqref="W31">
    <cfRule type="expression" dxfId="25" priority="42">
      <formula>#REF!="36≠37+38+39"</formula>
    </cfRule>
  </conditionalFormatting>
  <conditionalFormatting sqref="R35">
    <cfRule type="expression" dxfId="24" priority="37">
      <formula>#REF!="40≠41+42+43+44+45+46+47"</formula>
    </cfRule>
  </conditionalFormatting>
  <conditionalFormatting sqref="Q35">
    <cfRule type="expression" dxfId="23" priority="28">
      <formula>#REF!="40≠41+42+43+44+45+46+47"</formula>
    </cfRule>
  </conditionalFormatting>
  <conditionalFormatting sqref="Q11">
    <cfRule type="expression" dxfId="22" priority="29">
      <formula>#REF!="11≠12+13+14+15"</formula>
    </cfRule>
  </conditionalFormatting>
  <conditionalFormatting sqref="Q16">
    <cfRule type="expression" dxfId="21" priority="30">
      <formula>#REF!="16≠17+18+19+20"</formula>
    </cfRule>
  </conditionalFormatting>
  <conditionalFormatting sqref="Q26 Q21">
    <cfRule type="expression" dxfId="20" priority="31">
      <formula>#REF!="26≠27+28+29+30"</formula>
    </cfRule>
  </conditionalFormatting>
  <conditionalFormatting sqref="Q31">
    <cfRule type="expression" dxfId="19" priority="32">
      <formula>#REF!="36≠37+38+39"</formula>
    </cfRule>
  </conditionalFormatting>
  <conditionalFormatting sqref="T11">
    <cfRule type="expression" dxfId="18" priority="19">
      <formula>#REF!="11≠12+13+14+15"</formula>
    </cfRule>
  </conditionalFormatting>
  <conditionalFormatting sqref="T16">
    <cfRule type="expression" dxfId="17" priority="20">
      <formula>#REF!="16≠17+18+19+20"</formula>
    </cfRule>
  </conditionalFormatting>
  <conditionalFormatting sqref="T26 T21">
    <cfRule type="expression" dxfId="16" priority="21">
      <formula>#REF!="26≠27+28+29+30"</formula>
    </cfRule>
  </conditionalFormatting>
  <conditionalFormatting sqref="T31">
    <cfRule type="expression" dxfId="15" priority="22">
      <formula>#REF!="36≠37+38+39"</formula>
    </cfRule>
  </conditionalFormatting>
  <conditionalFormatting sqref="Z11">
    <cfRule type="expression" dxfId="14" priority="10">
      <formula>#REF!="11≠12+13+14+15"</formula>
    </cfRule>
  </conditionalFormatting>
  <conditionalFormatting sqref="Z16">
    <cfRule type="expression" dxfId="13" priority="11">
      <formula>#REF!="16≠17+18+19+20"</formula>
    </cfRule>
  </conditionalFormatting>
  <conditionalFormatting sqref="Z26 Z21">
    <cfRule type="expression" dxfId="12" priority="12">
      <formula>#REF!="26≠27+28+29+30"</formula>
    </cfRule>
  </conditionalFormatting>
  <conditionalFormatting sqref="Z31">
    <cfRule type="expression" dxfId="11" priority="13">
      <formula>#REF!="36≠37+38+39"</formula>
    </cfRule>
  </conditionalFormatting>
  <conditionalFormatting sqref="AC11">
    <cfRule type="expression" dxfId="10" priority="1">
      <formula>#REF!="11≠12+13+14+15"</formula>
    </cfRule>
  </conditionalFormatting>
  <conditionalFormatting sqref="AC16">
    <cfRule type="expression" dxfId="9" priority="2">
      <formula>#REF!="16≠17+18+19+20"</formula>
    </cfRule>
  </conditionalFormatting>
  <conditionalFormatting sqref="AC26 AC21">
    <cfRule type="expression" dxfId="8" priority="3">
      <formula>#REF!="26≠27+28+29+30"</formula>
    </cfRule>
  </conditionalFormatting>
  <conditionalFormatting sqref="AC31">
    <cfRule type="expression" dxfId="7" priority="4">
      <formula>#REF!="36≠37+38+39"</formula>
    </cfRule>
  </conditionalFormatting>
  <conditionalFormatting sqref="AI11:AJ11 F11 AF11:AG42 L11 C11 I11 O11 X11 R11 U11 AA11 AD11">
    <cfRule type="expression" dxfId="6" priority="1420">
      <formula>#REF!="11≠12+13+14+15"</formula>
    </cfRule>
  </conditionalFormatting>
  <conditionalFormatting sqref="AI16:AJ16 F16 L16 C16 I16 O16 X16 R16 U16 AA16 AD16">
    <cfRule type="expression" dxfId="5" priority="1423">
      <formula>#REF!="16≠17+18+19+20"</formula>
    </cfRule>
  </conditionalFormatting>
  <conditionalFormatting sqref="AI21:AJ21">
    <cfRule type="expression" dxfId="4" priority="1425">
      <formula>#REF!="21≠22+23+24+25"</formula>
    </cfRule>
  </conditionalFormatting>
  <conditionalFormatting sqref="AI26:AJ26 F26 F21 L26 L21 C26 C21 I26 I21 O26 O21 X26 X21 R26 R21 U21 U26 AA26 AA21 AD26 AD21">
    <cfRule type="expression" dxfId="3" priority="1426">
      <formula>#REF!="26≠27+28+29+30"</formula>
    </cfRule>
  </conditionalFormatting>
  <conditionalFormatting sqref="AI31:AJ31">
    <cfRule type="expression" dxfId="2" priority="1429">
      <formula>#REF!="36≠37+38+39"</formula>
    </cfRule>
  </conditionalFormatting>
  <conditionalFormatting sqref="AI35:AJ35">
    <cfRule type="expression" dxfId="1" priority="1430">
      <formula>#REF!="40≠41+42+43+44+45+46+47"</formula>
    </cfRule>
  </conditionalFormatting>
  <conditionalFormatting sqref="L31 F31 C31 I31 O31 X31 R31 U31 AA31 AD31">
    <cfRule type="expression" dxfId="0" priority="1434">
      <formula>#REF!="36≠37+38+39"</formula>
    </cfRule>
  </conditionalFormatting>
  <hyperlinks>
    <hyperlink ref="B1" location="Innhold!A1" display="Tilbake" xr:uid="{00000000-0004-0000-24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3" min="1" max="48" man="1"/>
    <brk id="19" min="1" max="48" man="1"/>
    <brk id="25" min="1" max="48" man="1"/>
    <brk id="34" min="1" max="48"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B59"/>
  <sheetViews>
    <sheetView showGridLines="0" zoomScale="60" zoomScaleNormal="60" workbookViewId="0">
      <pane xSplit="1" ySplit="6" topLeftCell="B7"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4140625" defaultRowHeight="13.2" x14ac:dyDescent="0.25"/>
  <cols>
    <col min="1" max="1" width="62" style="490" customWidth="1"/>
    <col min="2" max="37" width="11.6640625" style="490" customWidth="1"/>
    <col min="38" max="256" width="11.44140625" style="490"/>
    <col min="257" max="257" width="62" style="490" customWidth="1"/>
    <col min="258" max="293" width="11.6640625" style="490" customWidth="1"/>
    <col min="294" max="512" width="11.44140625" style="490"/>
    <col min="513" max="513" width="62" style="490" customWidth="1"/>
    <col min="514" max="549" width="11.6640625" style="490" customWidth="1"/>
    <col min="550" max="768" width="11.44140625" style="490"/>
    <col min="769" max="769" width="62" style="490" customWidth="1"/>
    <col min="770" max="805" width="11.6640625" style="490" customWidth="1"/>
    <col min="806" max="1024" width="11.44140625" style="490"/>
    <col min="1025" max="1025" width="62" style="490" customWidth="1"/>
    <col min="1026" max="1061" width="11.6640625" style="490" customWidth="1"/>
    <col min="1062" max="1280" width="11.44140625" style="490"/>
    <col min="1281" max="1281" width="62" style="490" customWidth="1"/>
    <col min="1282" max="1317" width="11.6640625" style="490" customWidth="1"/>
    <col min="1318" max="1536" width="11.44140625" style="490"/>
    <col min="1537" max="1537" width="62" style="490" customWidth="1"/>
    <col min="1538" max="1573" width="11.6640625" style="490" customWidth="1"/>
    <col min="1574" max="1792" width="11.44140625" style="490"/>
    <col min="1793" max="1793" width="62" style="490" customWidth="1"/>
    <col min="1794" max="1829" width="11.6640625" style="490" customWidth="1"/>
    <col min="1830" max="2048" width="11.44140625" style="490"/>
    <col min="2049" max="2049" width="62" style="490" customWidth="1"/>
    <col min="2050" max="2085" width="11.6640625" style="490" customWidth="1"/>
    <col min="2086" max="2304" width="11.44140625" style="490"/>
    <col min="2305" max="2305" width="62" style="490" customWidth="1"/>
    <col min="2306" max="2341" width="11.6640625" style="490" customWidth="1"/>
    <col min="2342" max="2560" width="11.44140625" style="490"/>
    <col min="2561" max="2561" width="62" style="490" customWidth="1"/>
    <col min="2562" max="2597" width="11.6640625" style="490" customWidth="1"/>
    <col min="2598" max="2816" width="11.44140625" style="490"/>
    <col min="2817" max="2817" width="62" style="490" customWidth="1"/>
    <col min="2818" max="2853" width="11.6640625" style="490" customWidth="1"/>
    <col min="2854" max="3072" width="11.44140625" style="490"/>
    <col min="3073" max="3073" width="62" style="490" customWidth="1"/>
    <col min="3074" max="3109" width="11.6640625" style="490" customWidth="1"/>
    <col min="3110" max="3328" width="11.44140625" style="490"/>
    <col min="3329" max="3329" width="62" style="490" customWidth="1"/>
    <col min="3330" max="3365" width="11.6640625" style="490" customWidth="1"/>
    <col min="3366" max="3584" width="11.44140625" style="490"/>
    <col min="3585" max="3585" width="62" style="490" customWidth="1"/>
    <col min="3586" max="3621" width="11.6640625" style="490" customWidth="1"/>
    <col min="3622" max="3840" width="11.44140625" style="490"/>
    <col min="3841" max="3841" width="62" style="490" customWidth="1"/>
    <col min="3842" max="3877" width="11.6640625" style="490" customWidth="1"/>
    <col min="3878" max="4096" width="11.44140625" style="490"/>
    <col min="4097" max="4097" width="62" style="490" customWidth="1"/>
    <col min="4098" max="4133" width="11.6640625" style="490" customWidth="1"/>
    <col min="4134" max="4352" width="11.44140625" style="490"/>
    <col min="4353" max="4353" width="62" style="490" customWidth="1"/>
    <col min="4354" max="4389" width="11.6640625" style="490" customWidth="1"/>
    <col min="4390" max="4608" width="11.44140625" style="490"/>
    <col min="4609" max="4609" width="62" style="490" customWidth="1"/>
    <col min="4610" max="4645" width="11.6640625" style="490" customWidth="1"/>
    <col min="4646" max="4864" width="11.44140625" style="490"/>
    <col min="4865" max="4865" width="62" style="490" customWidth="1"/>
    <col min="4866" max="4901" width="11.6640625" style="490" customWidth="1"/>
    <col min="4902" max="5120" width="11.44140625" style="490"/>
    <col min="5121" max="5121" width="62" style="490" customWidth="1"/>
    <col min="5122" max="5157" width="11.6640625" style="490" customWidth="1"/>
    <col min="5158" max="5376" width="11.44140625" style="490"/>
    <col min="5377" max="5377" width="62" style="490" customWidth="1"/>
    <col min="5378" max="5413" width="11.6640625" style="490" customWidth="1"/>
    <col min="5414" max="5632" width="11.44140625" style="490"/>
    <col min="5633" max="5633" width="62" style="490" customWidth="1"/>
    <col min="5634" max="5669" width="11.6640625" style="490" customWidth="1"/>
    <col min="5670" max="5888" width="11.44140625" style="490"/>
    <col min="5889" max="5889" width="62" style="490" customWidth="1"/>
    <col min="5890" max="5925" width="11.6640625" style="490" customWidth="1"/>
    <col min="5926" max="6144" width="11.44140625" style="490"/>
    <col min="6145" max="6145" width="62" style="490" customWidth="1"/>
    <col min="6146" max="6181" width="11.6640625" style="490" customWidth="1"/>
    <col min="6182" max="6400" width="11.44140625" style="490"/>
    <col min="6401" max="6401" width="62" style="490" customWidth="1"/>
    <col min="6402" max="6437" width="11.6640625" style="490" customWidth="1"/>
    <col min="6438" max="6656" width="11.44140625" style="490"/>
    <col min="6657" max="6657" width="62" style="490" customWidth="1"/>
    <col min="6658" max="6693" width="11.6640625" style="490" customWidth="1"/>
    <col min="6694" max="6912" width="11.44140625" style="490"/>
    <col min="6913" max="6913" width="62" style="490" customWidth="1"/>
    <col min="6914" max="6949" width="11.6640625" style="490" customWidth="1"/>
    <col min="6950" max="7168" width="11.44140625" style="490"/>
    <col min="7169" max="7169" width="62" style="490" customWidth="1"/>
    <col min="7170" max="7205" width="11.6640625" style="490" customWidth="1"/>
    <col min="7206" max="7424" width="11.44140625" style="490"/>
    <col min="7425" max="7425" width="62" style="490" customWidth="1"/>
    <col min="7426" max="7461" width="11.6640625" style="490" customWidth="1"/>
    <col min="7462" max="7680" width="11.44140625" style="490"/>
    <col min="7681" max="7681" width="62" style="490" customWidth="1"/>
    <col min="7682" max="7717" width="11.6640625" style="490" customWidth="1"/>
    <col min="7718" max="7936" width="11.44140625" style="490"/>
    <col min="7937" max="7937" width="62" style="490" customWidth="1"/>
    <col min="7938" max="7973" width="11.6640625" style="490" customWidth="1"/>
    <col min="7974" max="8192" width="11.44140625" style="490"/>
    <col min="8193" max="8193" width="62" style="490" customWidth="1"/>
    <col min="8194" max="8229" width="11.6640625" style="490" customWidth="1"/>
    <col min="8230" max="8448" width="11.44140625" style="490"/>
    <col min="8449" max="8449" width="62" style="490" customWidth="1"/>
    <col min="8450" max="8485" width="11.6640625" style="490" customWidth="1"/>
    <col min="8486" max="8704" width="11.44140625" style="490"/>
    <col min="8705" max="8705" width="62" style="490" customWidth="1"/>
    <col min="8706" max="8741" width="11.6640625" style="490" customWidth="1"/>
    <col min="8742" max="8960" width="11.44140625" style="490"/>
    <col min="8961" max="8961" width="62" style="490" customWidth="1"/>
    <col min="8962" max="8997" width="11.6640625" style="490" customWidth="1"/>
    <col min="8998" max="9216" width="11.44140625" style="490"/>
    <col min="9217" max="9217" width="62" style="490" customWidth="1"/>
    <col min="9218" max="9253" width="11.6640625" style="490" customWidth="1"/>
    <col min="9254" max="9472" width="11.44140625" style="490"/>
    <col min="9473" max="9473" width="62" style="490" customWidth="1"/>
    <col min="9474" max="9509" width="11.6640625" style="490" customWidth="1"/>
    <col min="9510" max="9728" width="11.44140625" style="490"/>
    <col min="9729" max="9729" width="62" style="490" customWidth="1"/>
    <col min="9730" max="9765" width="11.6640625" style="490" customWidth="1"/>
    <col min="9766" max="9984" width="11.44140625" style="490"/>
    <col min="9985" max="9985" width="62" style="490" customWidth="1"/>
    <col min="9986" max="10021" width="11.6640625" style="490" customWidth="1"/>
    <col min="10022" max="10240" width="11.44140625" style="490"/>
    <col min="10241" max="10241" width="62" style="490" customWidth="1"/>
    <col min="10242" max="10277" width="11.6640625" style="490" customWidth="1"/>
    <col min="10278" max="10496" width="11.44140625" style="490"/>
    <col min="10497" max="10497" width="62" style="490" customWidth="1"/>
    <col min="10498" max="10533" width="11.6640625" style="490" customWidth="1"/>
    <col min="10534" max="10752" width="11.44140625" style="490"/>
    <col min="10753" max="10753" width="62" style="490" customWidth="1"/>
    <col min="10754" max="10789" width="11.6640625" style="490" customWidth="1"/>
    <col min="10790" max="11008" width="11.44140625" style="490"/>
    <col min="11009" max="11009" width="62" style="490" customWidth="1"/>
    <col min="11010" max="11045" width="11.6640625" style="490" customWidth="1"/>
    <col min="11046" max="11264" width="11.44140625" style="490"/>
    <col min="11265" max="11265" width="62" style="490" customWidth="1"/>
    <col min="11266" max="11301" width="11.6640625" style="490" customWidth="1"/>
    <col min="11302" max="11520" width="11.44140625" style="490"/>
    <col min="11521" max="11521" width="62" style="490" customWidth="1"/>
    <col min="11522" max="11557" width="11.6640625" style="490" customWidth="1"/>
    <col min="11558" max="11776" width="11.44140625" style="490"/>
    <col min="11777" max="11777" width="62" style="490" customWidth="1"/>
    <col min="11778" max="11813" width="11.6640625" style="490" customWidth="1"/>
    <col min="11814" max="12032" width="11.44140625" style="490"/>
    <col min="12033" max="12033" width="62" style="490" customWidth="1"/>
    <col min="12034" max="12069" width="11.6640625" style="490" customWidth="1"/>
    <col min="12070" max="12288" width="11.44140625" style="490"/>
    <col min="12289" max="12289" width="62" style="490" customWidth="1"/>
    <col min="12290" max="12325" width="11.6640625" style="490" customWidth="1"/>
    <col min="12326" max="12544" width="11.44140625" style="490"/>
    <col min="12545" max="12545" width="62" style="490" customWidth="1"/>
    <col min="12546" max="12581" width="11.6640625" style="490" customWidth="1"/>
    <col min="12582" max="12800" width="11.44140625" style="490"/>
    <col min="12801" max="12801" width="62" style="490" customWidth="1"/>
    <col min="12802" max="12837" width="11.6640625" style="490" customWidth="1"/>
    <col min="12838" max="13056" width="11.44140625" style="490"/>
    <col min="13057" max="13057" width="62" style="490" customWidth="1"/>
    <col min="13058" max="13093" width="11.6640625" style="490" customWidth="1"/>
    <col min="13094" max="13312" width="11.44140625" style="490"/>
    <col min="13313" max="13313" width="62" style="490" customWidth="1"/>
    <col min="13314" max="13349" width="11.6640625" style="490" customWidth="1"/>
    <col min="13350" max="13568" width="11.44140625" style="490"/>
    <col min="13569" max="13569" width="62" style="490" customWidth="1"/>
    <col min="13570" max="13605" width="11.6640625" style="490" customWidth="1"/>
    <col min="13606" max="13824" width="11.44140625" style="490"/>
    <col min="13825" max="13825" width="62" style="490" customWidth="1"/>
    <col min="13826" max="13861" width="11.6640625" style="490" customWidth="1"/>
    <col min="13862" max="14080" width="11.44140625" style="490"/>
    <col min="14081" max="14081" width="62" style="490" customWidth="1"/>
    <col min="14082" max="14117" width="11.6640625" style="490" customWidth="1"/>
    <col min="14118" max="14336" width="11.44140625" style="490"/>
    <col min="14337" max="14337" width="62" style="490" customWidth="1"/>
    <col min="14338" max="14373" width="11.6640625" style="490" customWidth="1"/>
    <col min="14374" max="14592" width="11.44140625" style="490"/>
    <col min="14593" max="14593" width="62" style="490" customWidth="1"/>
    <col min="14594" max="14629" width="11.6640625" style="490" customWidth="1"/>
    <col min="14630" max="14848" width="11.44140625" style="490"/>
    <col min="14849" max="14849" width="62" style="490" customWidth="1"/>
    <col min="14850" max="14885" width="11.6640625" style="490" customWidth="1"/>
    <col min="14886" max="15104" width="11.44140625" style="490"/>
    <col min="15105" max="15105" width="62" style="490" customWidth="1"/>
    <col min="15106" max="15141" width="11.6640625" style="490" customWidth="1"/>
    <col min="15142" max="15360" width="11.44140625" style="490"/>
    <col min="15361" max="15361" width="62" style="490" customWidth="1"/>
    <col min="15362" max="15397" width="11.6640625" style="490" customWidth="1"/>
    <col min="15398" max="15616" width="11.44140625" style="490"/>
    <col min="15617" max="15617" width="62" style="490" customWidth="1"/>
    <col min="15618" max="15653" width="11.6640625" style="490" customWidth="1"/>
    <col min="15654" max="15872" width="11.44140625" style="490"/>
    <col min="15873" max="15873" width="62" style="490" customWidth="1"/>
    <col min="15874" max="15909" width="11.6640625" style="490" customWidth="1"/>
    <col min="15910" max="16128" width="11.44140625" style="490"/>
    <col min="16129" max="16129" width="62" style="490" customWidth="1"/>
    <col min="16130" max="16165" width="11.6640625" style="490" customWidth="1"/>
    <col min="16166" max="16384" width="11.44140625" style="490"/>
  </cols>
  <sheetData>
    <row r="1" spans="1:54" ht="20.25" customHeight="1" x14ac:dyDescent="0.35">
      <c r="A1" s="488" t="s">
        <v>173</v>
      </c>
      <c r="B1" s="466" t="s">
        <v>52</v>
      </c>
      <c r="AL1" s="742"/>
    </row>
    <row r="2" spans="1:54" ht="20.100000000000001" customHeight="1" x14ac:dyDescent="0.35">
      <c r="A2" s="488" t="s">
        <v>267</v>
      </c>
      <c r="C2" s="871"/>
      <c r="D2" s="871"/>
      <c r="E2" s="671"/>
      <c r="F2" s="671"/>
      <c r="G2" s="671"/>
      <c r="H2" s="871"/>
      <c r="I2" s="671"/>
      <c r="J2" s="671"/>
      <c r="K2" s="671"/>
      <c r="L2" s="671"/>
      <c r="M2" s="671"/>
      <c r="AL2" s="742"/>
    </row>
    <row r="3" spans="1:54" ht="20.100000000000001" customHeight="1" x14ac:dyDescent="0.3">
      <c r="A3" s="743" t="s">
        <v>335</v>
      </c>
      <c r="AL3" s="744"/>
    </row>
    <row r="4" spans="1:54" ht="20.100000000000001" customHeight="1" x14ac:dyDescent="0.3">
      <c r="A4" s="494" t="s">
        <v>360</v>
      </c>
      <c r="B4" s="499"/>
      <c r="C4" s="498"/>
      <c r="D4" s="500"/>
      <c r="E4" s="499"/>
      <c r="F4" s="498"/>
      <c r="G4" s="500"/>
      <c r="H4" s="499"/>
      <c r="I4" s="498"/>
      <c r="J4" s="500"/>
      <c r="K4" s="498"/>
      <c r="L4" s="498"/>
      <c r="M4" s="500"/>
      <c r="N4" s="498"/>
      <c r="O4" s="498"/>
      <c r="P4" s="500"/>
      <c r="Q4" s="499"/>
      <c r="R4" s="498"/>
      <c r="S4" s="500"/>
      <c r="T4" s="499"/>
      <c r="U4" s="498"/>
      <c r="V4" s="500"/>
      <c r="W4" s="499"/>
      <c r="X4" s="498"/>
      <c r="Y4" s="500"/>
      <c r="Z4" s="676"/>
      <c r="AA4" s="677"/>
      <c r="AB4" s="678"/>
      <c r="AC4" s="499"/>
      <c r="AD4" s="498"/>
      <c r="AE4" s="500"/>
      <c r="AF4" s="499"/>
      <c r="AG4" s="498"/>
      <c r="AH4" s="500"/>
      <c r="AI4" s="499"/>
      <c r="AJ4" s="745"/>
      <c r="AK4" s="500"/>
      <c r="AL4" s="746"/>
      <c r="AM4" s="747"/>
      <c r="AN4" s="747"/>
      <c r="AO4" s="747"/>
      <c r="AP4" s="747"/>
      <c r="AQ4" s="747"/>
      <c r="AR4" s="747"/>
      <c r="AS4" s="747"/>
      <c r="AT4" s="747"/>
      <c r="AU4" s="747"/>
      <c r="AV4" s="747"/>
      <c r="AW4" s="747"/>
      <c r="AX4" s="747"/>
      <c r="AY4" s="747"/>
      <c r="AZ4" s="747"/>
      <c r="BA4" s="747"/>
      <c r="BB4" s="747"/>
    </row>
    <row r="5" spans="1:54" ht="20.100000000000001" customHeight="1" x14ac:dyDescent="0.3">
      <c r="A5" s="505"/>
      <c r="B5" s="971" t="s">
        <v>176</v>
      </c>
      <c r="C5" s="972"/>
      <c r="D5" s="973"/>
      <c r="E5" s="971" t="s">
        <v>177</v>
      </c>
      <c r="F5" s="972"/>
      <c r="G5" s="973"/>
      <c r="H5" s="971" t="s">
        <v>177</v>
      </c>
      <c r="I5" s="972"/>
      <c r="J5" s="973"/>
      <c r="K5" s="972" t="s">
        <v>481</v>
      </c>
      <c r="L5" s="972"/>
      <c r="M5" s="973"/>
      <c r="N5" s="972" t="s">
        <v>178</v>
      </c>
      <c r="O5" s="972"/>
      <c r="P5" s="973"/>
      <c r="Q5" s="971" t="s">
        <v>179</v>
      </c>
      <c r="R5" s="972"/>
      <c r="S5" s="973"/>
      <c r="T5" s="855" t="s">
        <v>180</v>
      </c>
      <c r="U5" s="856"/>
      <c r="V5" s="857"/>
      <c r="W5" s="855"/>
      <c r="X5" s="856"/>
      <c r="Y5" s="857"/>
      <c r="Z5" s="971" t="s">
        <v>181</v>
      </c>
      <c r="AA5" s="972"/>
      <c r="AB5" s="973"/>
      <c r="AC5" s="971" t="s">
        <v>68</v>
      </c>
      <c r="AD5" s="972"/>
      <c r="AE5" s="973"/>
      <c r="AF5" s="971" t="s">
        <v>73</v>
      </c>
      <c r="AG5" s="972"/>
      <c r="AH5" s="973"/>
      <c r="AI5" s="971" t="s">
        <v>285</v>
      </c>
      <c r="AJ5" s="972"/>
      <c r="AK5" s="973"/>
      <c r="AL5" s="561"/>
      <c r="AM5" s="748"/>
      <c r="AN5" s="1012"/>
      <c r="AO5" s="1012"/>
      <c r="AP5" s="1012"/>
      <c r="AQ5" s="1012"/>
      <c r="AR5" s="1012"/>
      <c r="AS5" s="1012"/>
      <c r="AT5" s="1012"/>
      <c r="AU5" s="1012"/>
      <c r="AV5" s="1012"/>
      <c r="AW5" s="1012"/>
      <c r="AX5" s="1012"/>
      <c r="AY5" s="1012"/>
      <c r="AZ5" s="1012"/>
      <c r="BA5" s="1012"/>
      <c r="BB5" s="1012"/>
    </row>
    <row r="6" spans="1:54" ht="20.100000000000001" customHeight="1" x14ac:dyDescent="0.3">
      <c r="A6" s="506"/>
      <c r="B6" s="965" t="s">
        <v>182</v>
      </c>
      <c r="C6" s="966"/>
      <c r="D6" s="967"/>
      <c r="E6" s="965" t="s">
        <v>496</v>
      </c>
      <c r="F6" s="966"/>
      <c r="G6" s="967"/>
      <c r="H6" s="965" t="s">
        <v>183</v>
      </c>
      <c r="I6" s="966"/>
      <c r="J6" s="967"/>
      <c r="K6" s="966" t="s">
        <v>183</v>
      </c>
      <c r="L6" s="966"/>
      <c r="M6" s="967"/>
      <c r="N6" s="966" t="s">
        <v>183</v>
      </c>
      <c r="O6" s="966"/>
      <c r="P6" s="967"/>
      <c r="Q6" s="965" t="s">
        <v>184</v>
      </c>
      <c r="R6" s="966"/>
      <c r="S6" s="967"/>
      <c r="T6" s="965" t="s">
        <v>63</v>
      </c>
      <c r="U6" s="966"/>
      <c r="V6" s="967"/>
      <c r="W6" s="965" t="s">
        <v>66</v>
      </c>
      <c r="X6" s="966"/>
      <c r="Y6" s="967"/>
      <c r="Z6" s="965" t="s">
        <v>182</v>
      </c>
      <c r="AA6" s="966"/>
      <c r="AB6" s="967"/>
      <c r="AC6" s="965" t="s">
        <v>497</v>
      </c>
      <c r="AD6" s="966"/>
      <c r="AE6" s="967"/>
      <c r="AF6" s="965" t="s">
        <v>183</v>
      </c>
      <c r="AG6" s="966"/>
      <c r="AH6" s="967"/>
      <c r="AI6" s="965" t="s">
        <v>286</v>
      </c>
      <c r="AJ6" s="966"/>
      <c r="AK6" s="967"/>
      <c r="AL6" s="561"/>
      <c r="AM6" s="748"/>
      <c r="AN6" s="1012"/>
      <c r="AO6" s="1012"/>
      <c r="AP6" s="1012"/>
      <c r="AQ6" s="1012"/>
      <c r="AR6" s="1012"/>
      <c r="AS6" s="1012"/>
      <c r="AT6" s="1012"/>
      <c r="AU6" s="1012"/>
      <c r="AV6" s="1012"/>
      <c r="AW6" s="1012"/>
      <c r="AX6" s="1012"/>
      <c r="AY6" s="1012"/>
      <c r="AZ6" s="1012"/>
      <c r="BA6" s="1012"/>
      <c r="BB6" s="1012"/>
    </row>
    <row r="7" spans="1:54" ht="20.100000000000001" customHeight="1" x14ac:dyDescent="0.3">
      <c r="A7" s="506"/>
      <c r="B7" s="683"/>
      <c r="C7" s="683"/>
      <c r="D7" s="507" t="s">
        <v>81</v>
      </c>
      <c r="E7" s="683"/>
      <c r="F7" s="683"/>
      <c r="G7" s="507" t="s">
        <v>81</v>
      </c>
      <c r="H7" s="683"/>
      <c r="I7" s="683"/>
      <c r="J7" s="507" t="s">
        <v>81</v>
      </c>
      <c r="K7" s="683"/>
      <c r="L7" s="683"/>
      <c r="M7" s="507" t="s">
        <v>81</v>
      </c>
      <c r="N7" s="683"/>
      <c r="O7" s="683"/>
      <c r="P7" s="507" t="s">
        <v>81</v>
      </c>
      <c r="Q7" s="683"/>
      <c r="R7" s="683"/>
      <c r="S7" s="507" t="s">
        <v>81</v>
      </c>
      <c r="T7" s="683"/>
      <c r="U7" s="683"/>
      <c r="V7" s="507" t="s">
        <v>81</v>
      </c>
      <c r="W7" s="683"/>
      <c r="X7" s="683"/>
      <c r="Y7" s="507" t="s">
        <v>81</v>
      </c>
      <c r="Z7" s="683"/>
      <c r="AA7" s="683"/>
      <c r="AB7" s="507" t="s">
        <v>81</v>
      </c>
      <c r="AC7" s="683"/>
      <c r="AD7" s="683"/>
      <c r="AE7" s="507" t="s">
        <v>81</v>
      </c>
      <c r="AF7" s="683"/>
      <c r="AG7" s="683"/>
      <c r="AH7" s="507" t="s">
        <v>81</v>
      </c>
      <c r="AI7" s="683"/>
      <c r="AJ7" s="683"/>
      <c r="AK7" s="507" t="s">
        <v>81</v>
      </c>
      <c r="AL7" s="561"/>
      <c r="AM7" s="748"/>
      <c r="AN7" s="748"/>
      <c r="AO7" s="748"/>
      <c r="AP7" s="748"/>
      <c r="AQ7" s="748"/>
      <c r="AR7" s="748"/>
      <c r="AS7" s="748"/>
      <c r="AT7" s="748"/>
      <c r="AU7" s="748"/>
      <c r="AV7" s="748"/>
      <c r="AW7" s="748"/>
      <c r="AX7" s="748"/>
      <c r="AY7" s="748"/>
      <c r="AZ7" s="748"/>
      <c r="BA7" s="748"/>
      <c r="BB7" s="748"/>
    </row>
    <row r="8" spans="1:54" ht="20.100000000000001" customHeight="1" x14ac:dyDescent="0.35">
      <c r="A8" s="749" t="s">
        <v>288</v>
      </c>
      <c r="B8" s="685">
        <v>2020</v>
      </c>
      <c r="C8" s="685">
        <v>2021</v>
      </c>
      <c r="D8" s="509" t="s">
        <v>83</v>
      </c>
      <c r="E8" s="685">
        <f>$B$8</f>
        <v>2020</v>
      </c>
      <c r="F8" s="685">
        <f>$C$8</f>
        <v>2021</v>
      </c>
      <c r="G8" s="509" t="s">
        <v>83</v>
      </c>
      <c r="H8" s="685">
        <f>$B$8</f>
        <v>2020</v>
      </c>
      <c r="I8" s="685">
        <f>$C$8</f>
        <v>2021</v>
      </c>
      <c r="J8" s="509" t="s">
        <v>83</v>
      </c>
      <c r="K8" s="685">
        <f>$B$8</f>
        <v>2020</v>
      </c>
      <c r="L8" s="685">
        <f>$C$8</f>
        <v>2021</v>
      </c>
      <c r="M8" s="509" t="s">
        <v>83</v>
      </c>
      <c r="N8" s="685">
        <f>$B$8</f>
        <v>2020</v>
      </c>
      <c r="O8" s="685">
        <f>$C$8</f>
        <v>2021</v>
      </c>
      <c r="P8" s="509" t="s">
        <v>83</v>
      </c>
      <c r="Q8" s="685">
        <f>$B$8</f>
        <v>2020</v>
      </c>
      <c r="R8" s="685">
        <f>$C$8</f>
        <v>2021</v>
      </c>
      <c r="S8" s="509" t="s">
        <v>83</v>
      </c>
      <c r="T8" s="685">
        <f>$B$8</f>
        <v>2020</v>
      </c>
      <c r="U8" s="685">
        <f>$C$8</f>
        <v>2021</v>
      </c>
      <c r="V8" s="509" t="s">
        <v>83</v>
      </c>
      <c r="W8" s="685">
        <f>$B$8</f>
        <v>2020</v>
      </c>
      <c r="X8" s="685">
        <f>$C$8</f>
        <v>2021</v>
      </c>
      <c r="Y8" s="509" t="s">
        <v>83</v>
      </c>
      <c r="Z8" s="685">
        <f>$B$8</f>
        <v>2020</v>
      </c>
      <c r="AA8" s="685">
        <f>$C$8</f>
        <v>2021</v>
      </c>
      <c r="AB8" s="509" t="s">
        <v>83</v>
      </c>
      <c r="AC8" s="685">
        <f>$B$8</f>
        <v>2020</v>
      </c>
      <c r="AD8" s="685">
        <f>$C$8</f>
        <v>2021</v>
      </c>
      <c r="AE8" s="509" t="s">
        <v>83</v>
      </c>
      <c r="AF8" s="685">
        <f>$B$8</f>
        <v>2020</v>
      </c>
      <c r="AG8" s="685">
        <f>$C$8</f>
        <v>2021</v>
      </c>
      <c r="AH8" s="509" t="s">
        <v>83</v>
      </c>
      <c r="AI8" s="685">
        <f>$B$8</f>
        <v>2020</v>
      </c>
      <c r="AJ8" s="685">
        <f>$C$8</f>
        <v>2021</v>
      </c>
      <c r="AK8" s="509" t="s">
        <v>83</v>
      </c>
      <c r="AL8" s="561"/>
      <c r="AM8" s="750"/>
      <c r="AN8" s="751"/>
      <c r="AO8" s="751"/>
      <c r="AP8" s="750"/>
      <c r="AQ8" s="751"/>
      <c r="AR8" s="751"/>
      <c r="AS8" s="750"/>
      <c r="AT8" s="751"/>
      <c r="AU8" s="751"/>
      <c r="AV8" s="750"/>
      <c r="AW8" s="751"/>
      <c r="AX8" s="751"/>
      <c r="AY8" s="750"/>
      <c r="AZ8" s="751"/>
      <c r="BA8" s="751"/>
      <c r="BB8" s="750"/>
    </row>
    <row r="9" spans="1:54" s="757" customFormat="1" ht="20.100000000000001" customHeight="1" x14ac:dyDescent="0.35">
      <c r="A9" s="752"/>
      <c r="B9" s="806"/>
      <c r="C9" s="811"/>
      <c r="D9" s="754"/>
      <c r="E9" s="790"/>
      <c r="F9" s="790"/>
      <c r="G9" s="754"/>
      <c r="H9" s="811"/>
      <c r="I9" s="811"/>
      <c r="J9" s="754"/>
      <c r="K9" s="811"/>
      <c r="L9" s="811"/>
      <c r="M9" s="754"/>
      <c r="N9" s="806"/>
      <c r="O9" s="811"/>
      <c r="P9" s="754"/>
      <c r="Q9" s="790"/>
      <c r="R9" s="790"/>
      <c r="S9" s="754"/>
      <c r="T9" s="811"/>
      <c r="U9" s="811"/>
      <c r="V9" s="754"/>
      <c r="W9" s="790"/>
      <c r="X9" s="790"/>
      <c r="Y9" s="754"/>
      <c r="Z9" s="811"/>
      <c r="AA9" s="811"/>
      <c r="AB9" s="754"/>
      <c r="AC9" s="811"/>
      <c r="AD9" s="811"/>
      <c r="AE9" s="755"/>
      <c r="AF9" s="811"/>
      <c r="AG9" s="811"/>
      <c r="AH9" s="754"/>
      <c r="AI9" s="753"/>
      <c r="AJ9" s="754"/>
      <c r="AK9" s="754"/>
      <c r="AL9" s="756"/>
      <c r="AM9" s="756"/>
    </row>
    <row r="10" spans="1:54" s="761" customFormat="1" ht="20.100000000000001" customHeight="1" x14ac:dyDescent="0.35">
      <c r="A10" s="514" t="s">
        <v>437</v>
      </c>
      <c r="B10" s="806"/>
      <c r="C10" s="811"/>
      <c r="D10" s="754"/>
      <c r="E10" s="790">
        <v>49.8</v>
      </c>
      <c r="F10" s="790"/>
      <c r="G10" s="754">
        <f>IF(E10=0, "    ---- ", IF(ABS(ROUND(100/E10*F10-100,1))&lt;999,ROUND(100/E10*F10-100,1),IF(ROUND(100/E10*F10-100,1)&gt;999,999,-999)))</f>
        <v>-100</v>
      </c>
      <c r="H10" s="811">
        <v>24.835785914597899</v>
      </c>
      <c r="I10" s="811">
        <v>24.5590435653491</v>
      </c>
      <c r="J10" s="754">
        <f>IF(H10=0, "    ---- ", IF(ABS(ROUND(100/H10*I10-100,1))&lt;999,ROUND(100/H10*I10-100,1),IF(ROUND(100/H10*I10-100,1)&gt;999,999,-999)))</f>
        <v>-1.1000000000000001</v>
      </c>
      <c r="K10" s="811">
        <v>44.35</v>
      </c>
      <c r="L10" s="811">
        <v>39.869999999999997</v>
      </c>
      <c r="M10" s="754">
        <f t="shared" ref="M10:M12" si="0">IF(K10=0, "    ---- ", IF(ABS(ROUND(100/K10*L10-100,1))&lt;999,ROUND(100/K10*L10-100,1),IF(ROUND(100/K10*L10-100,1)&gt;999,999,-999)))</f>
        <v>-10.1</v>
      </c>
      <c r="N10" s="811">
        <v>75.5</v>
      </c>
      <c r="O10" s="811">
        <v>47.6</v>
      </c>
      <c r="P10" s="754">
        <f>IF(N10=0, "    ---- ", IF(ABS(ROUND(100/N10*O10-100,1))&lt;999,ROUND(100/N10*O10-100,1),IF(ROUND(100/N10*O10-100,1)&gt;999,999,-999)))</f>
        <v>-37</v>
      </c>
      <c r="Q10" s="790">
        <v>22.08</v>
      </c>
      <c r="R10" s="790">
        <v>18.010000000000002</v>
      </c>
      <c r="S10" s="754">
        <f>IF(Q10=0, "    ---- ", IF(ABS(ROUND(100/Q10*R10-100,1))&lt;999,ROUND(100/Q10*R10-100,1),IF(ROUND(100/Q10*R10-100,1)&gt;999,999,-999)))</f>
        <v>-18.399999999999999</v>
      </c>
      <c r="T10" s="811">
        <v>22.43</v>
      </c>
      <c r="U10" s="811">
        <f>0.300484037711967*100</f>
        <v>30.048403771196703</v>
      </c>
      <c r="V10" s="754">
        <f>IF(T10=0, "    ---- ", IF(ABS(ROUND(100/T10*U10-100,1))&lt;999,ROUND(100/T10*U10-100,1),IF(ROUND(100/T10*U10-100,1)&gt;999,999,-999)))</f>
        <v>34</v>
      </c>
      <c r="W10" s="811">
        <v>39.9</v>
      </c>
      <c r="X10" s="811">
        <v>42.1</v>
      </c>
      <c r="Y10" s="754">
        <f>IF(W10=0, "    ---- ", IF(ABS(ROUND(100/W10*X10-100,1))&lt;999,ROUND(100/W10*X10-100,1),IF(ROUND(100/W10*X10-100,1)&gt;999,999,-999)))</f>
        <v>5.5</v>
      </c>
      <c r="Z10" s="913">
        <f>(1430+9052+1240+7886+17605+1223)/(66749+7077)*100</f>
        <v>52.062958849185925</v>
      </c>
      <c r="AA10" s="913">
        <f>(1430+9909+1240+8555+21261+46)/(72092+9577)*100</f>
        <v>51.967086654667007</v>
      </c>
      <c r="AB10" s="754">
        <f>IF(Z10=0, "    ---- ", IF(ABS(ROUND(100/Z10*AA10-100,1))&lt;999,ROUND(100/Z10*AA10-100,1),IF(ROUND(100/Z10*AA10-100,1)&gt;999,999,-999)))</f>
        <v>-0.2</v>
      </c>
      <c r="AC10" s="843">
        <f>('[2]Tabell 6'!AI68+'[2]Tabell 6'!AI71+'[2]Tabell 6'!AI74+'[2]Tabell 6'!AI75+'[2]Tabell 6'!AI78+653.891)/('[2]Tabell 6'!AI79)*100</f>
        <v>32.962741744097137</v>
      </c>
      <c r="AD10" s="843">
        <f>('[3]Tabell 6'!AJ71+'[3]Tabell 6'!AJ74+'[3]Tabell 6'!AJ75+'[3]Tabell 6'!AJ78+272.972)/('[3]Tabell 6'!AJ79)*100</f>
        <v>18.844619865183905</v>
      </c>
      <c r="AE10" s="754">
        <f>IF(AC10=0, "    ---- ", IF(ABS(ROUND(100/AC10*AD10-100,1))&lt;999,ROUND(100/AC10*AD10-100,1),IF(ROUND(100/AC10*AD10-100,1)&gt;999,999,-999)))</f>
        <v>-42.8</v>
      </c>
      <c r="AF10" s="843">
        <v>28.2</v>
      </c>
      <c r="AG10" s="843">
        <v>27.3</v>
      </c>
      <c r="AH10" s="754">
        <f>IF(AF10=0, "    ---- ", IF(ABS(ROUND(100/AF10*AG10-100,1))&lt;999,ROUND(100/AF10*AG10-100,1),IF(ROUND(100/AF10*AG10-100,1)&gt;999,999,-999)))</f>
        <v>-3.2</v>
      </c>
      <c r="AI10" s="753"/>
      <c r="AJ10" s="754"/>
      <c r="AK10" s="754"/>
      <c r="AL10" s="760"/>
      <c r="AM10" s="760"/>
    </row>
    <row r="11" spans="1:54" s="761" customFormat="1" ht="20.100000000000001" customHeight="1" x14ac:dyDescent="0.35">
      <c r="A11" s="514" t="s">
        <v>344</v>
      </c>
      <c r="B11" s="877">
        <v>68.406000000000006</v>
      </c>
      <c r="C11" s="845">
        <v>53.637</v>
      </c>
      <c r="D11" s="516">
        <f>IF(B11=0, "    ---- ", IF(ABS(ROUND(100/B11*C11-100,1))&lt;999,ROUND(100/B11*C11-100,1),IF(ROUND(100/B11*C11-100,1)&gt;999,999,-999)))</f>
        <v>-21.6</v>
      </c>
      <c r="E11" s="791">
        <v>0</v>
      </c>
      <c r="F11" s="791"/>
      <c r="G11" s="754" t="str">
        <f>IF(E11=0, "    ---- ", IF(ABS(ROUND(100/E11*F11-100,1))&lt;999,ROUND(100/E11*F11-100,1),IF(ROUND(100/E11*F11-100,1)&gt;999,999,-999)))</f>
        <v xml:space="preserve">    ---- </v>
      </c>
      <c r="H11" s="812">
        <v>2626.89</v>
      </c>
      <c r="I11" s="812">
        <v>3204.3463927900002</v>
      </c>
      <c r="J11" s="516">
        <f>IF(H11=0, "    ---- ", IF(ABS(ROUND(100/H11*I11-100,1))&lt;999,ROUND(100/H11*I11-100,1),IF(ROUND(100/H11*I11-100,1)&gt;999,999,-999)))</f>
        <v>22</v>
      </c>
      <c r="K11" s="812">
        <v>46</v>
      </c>
      <c r="L11" s="812">
        <v>6</v>
      </c>
      <c r="M11" s="754">
        <f t="shared" si="0"/>
        <v>-87</v>
      </c>
      <c r="N11" s="807"/>
      <c r="O11" s="812"/>
      <c r="P11" s="516"/>
      <c r="Q11" s="791">
        <v>1.6</v>
      </c>
      <c r="R11" s="791">
        <v>11.8</v>
      </c>
      <c r="S11" s="516">
        <f>IF(Q11=0, "    ---- ", IF(ABS(ROUND(100/Q11*R11-100,1))&lt;999,ROUND(100/Q11*R11-100,1),IF(ROUND(100/Q11*R11-100,1)&gt;999,999,-999)))</f>
        <v>637.5</v>
      </c>
      <c r="T11" s="812">
        <v>55137</v>
      </c>
      <c r="U11" s="812">
        <v>77396.876943130002</v>
      </c>
      <c r="V11" s="516">
        <f>IF(T11=0, "    ---- ", IF(ABS(ROUND(100/T11*U11-100,1))&lt;999,ROUND(100/T11*U11-100,1),IF(ROUND(100/T11*U11-100,1)&gt;999,999,-999)))</f>
        <v>40.4</v>
      </c>
      <c r="W11" s="812">
        <v>2340</v>
      </c>
      <c r="X11" s="812">
        <v>3386</v>
      </c>
      <c r="Y11" s="516">
        <f>IF(W11=0, "    ---- ", IF(ABS(ROUND(100/W11*X11-100,1))&lt;999,ROUND(100/W11*X11-100,1),IF(ROUND(100/W11*X11-100,1)&gt;999,999,-999)))</f>
        <v>44.7</v>
      </c>
      <c r="Z11" s="812">
        <v>17605</v>
      </c>
      <c r="AA11" s="812">
        <v>21261</v>
      </c>
      <c r="AB11" s="516">
        <f>IF(Z11=0, "    ---- ", IF(ABS(ROUND(100/Z11*AA11-100,1))&lt;999,ROUND(100/Z11*AA11-100,1),IF(ROUND(100/Z11*AA11-100,1)&gt;999,999,-999)))</f>
        <v>20.8</v>
      </c>
      <c r="AC11" s="836">
        <v>2806.3910000000001</v>
      </c>
      <c r="AD11" s="836">
        <v>2736.431</v>
      </c>
      <c r="AE11" s="516">
        <f>IF(AC11=0, "    ---- ", IF(ABS(ROUND(100/AC11*AD11-100,1))&lt;999,ROUND(100/AC11*AD11-100,1),IF(ROUND(100/AC11*AD11-100,1)&gt;999,999,-999)))</f>
        <v>-2.5</v>
      </c>
      <c r="AF11" s="836">
        <v>7170</v>
      </c>
      <c r="AG11" s="836">
        <v>6309</v>
      </c>
      <c r="AH11" s="516">
        <f>IF(AF11=0, "    ---- ", IF(ABS(ROUND(100/AF11*AG11-100,1))&lt;999,ROUND(100/AF11*AG11-100,1),IF(ROUND(100/AF11*AG11-100,1)&gt;999,999,-999)))</f>
        <v>-12</v>
      </c>
      <c r="AI11" s="518">
        <f>B11+H11+K11+N11+Q11+T11+E11+W11+Z11+AC11+AF11</f>
        <v>87801.287000000011</v>
      </c>
      <c r="AJ11" s="518">
        <f>C11+I11+L11+O11+R11+U11+F11+X11+AA11+AD11+AG11</f>
        <v>114365.09133592001</v>
      </c>
      <c r="AK11" s="516">
        <f>IF(AI11=0, "    ---- ", IF(ABS(ROUND(100/AI11*AJ11-100,1))&lt;999,ROUND(100/AI11*AJ11-100,1),IF(ROUND(100/AI11*AJ11-100,1)&gt;999,999,-999)))</f>
        <v>30.3</v>
      </c>
      <c r="AL11" s="760"/>
      <c r="AM11" s="760"/>
    </row>
    <row r="12" spans="1:54" s="761" customFormat="1" ht="20.100000000000001" customHeight="1" x14ac:dyDescent="0.35">
      <c r="A12" s="698" t="s">
        <v>485</v>
      </c>
      <c r="B12" s="808"/>
      <c r="C12" s="813"/>
      <c r="D12" s="763"/>
      <c r="E12" s="792">
        <v>132</v>
      </c>
      <c r="F12" s="792"/>
      <c r="G12" s="763">
        <f>IF(E12=0, "    ---- ", IF(ABS(ROUND(100/E12*F12-100,1))&lt;999,ROUND(100/E12*F12-100,1),IF(ROUND(100/E12*F12-100,1)&gt;999,999,-999)))</f>
        <v>-100</v>
      </c>
      <c r="H12" s="813">
        <v>7525.1779999999999</v>
      </c>
      <c r="I12" s="813">
        <v>4169.2120488600003</v>
      </c>
      <c r="J12" s="763">
        <f>IF(H12=0, "    ---- ", IF(ABS(ROUND(100/H12*I12-100,1))&lt;999,ROUND(100/H12*I12-100,1),IF(ROUND(100/H12*I12-100,1)&gt;999,999,-999)))</f>
        <v>-44.6</v>
      </c>
      <c r="K12" s="815">
        <v>1.9</v>
      </c>
      <c r="L12" s="813">
        <v>1.9</v>
      </c>
      <c r="M12" s="754">
        <f t="shared" si="0"/>
        <v>0</v>
      </c>
      <c r="N12" s="808"/>
      <c r="O12" s="813"/>
      <c r="P12" s="763"/>
      <c r="Q12" s="792">
        <v>5.8760000000000003</v>
      </c>
      <c r="R12" s="792">
        <v>73.8</v>
      </c>
      <c r="S12" s="754">
        <f>IF(Q12=0, "    ---- ", IF(ABS(ROUND(100/Q12*R12-100,1))&lt;999,ROUND(100/Q12*R12-100,1),IF(ROUND(100/Q12*R12-100,1)&gt;999,999,-999)))</f>
        <v>999</v>
      </c>
      <c r="T12" s="813">
        <v>365</v>
      </c>
      <c r="U12" s="813">
        <v>550.89692222933297</v>
      </c>
      <c r="V12" s="763">
        <f>IF(T12=0, "    ---- ", IF(ABS(ROUND(100/T12*U12-100,1))&lt;999,ROUND(100/T12*U12-100,1),IF(ROUND(100/T12*U12-100,1)&gt;999,999,-999)))</f>
        <v>50.9</v>
      </c>
      <c r="W12" s="792">
        <v>2668</v>
      </c>
      <c r="X12" s="792">
        <v>1126</v>
      </c>
      <c r="Y12" s="763">
        <f>IF(W12=0, "    ---- ", IF(ABS(ROUND(100/W12*X12-100,1))&lt;999,ROUND(100/W12*X12-100,1),IF(ROUND(100/W12*X12-100,1)&gt;999,999,-999)))</f>
        <v>-57.8</v>
      </c>
      <c r="Z12" s="813">
        <v>1223</v>
      </c>
      <c r="AA12" s="813">
        <v>416</v>
      </c>
      <c r="AB12" s="763">
        <f>IF(Z12=0, "    ---- ", IF(ABS(ROUND(100/Z12*AA12-100,1))&lt;999,ROUND(100/Z12*AA12-100,1),IF(ROUND(100/Z12*AA12-100,1)&gt;999,999,-999)))</f>
        <v>-66</v>
      </c>
      <c r="AC12" s="838">
        <v>85.724999999999994</v>
      </c>
      <c r="AD12" s="838">
        <v>32.372</v>
      </c>
      <c r="AE12" s="763">
        <f>IF(AC12=0, "    ---- ", IF(ABS(ROUND(100/AC12*AD12-100,1))&lt;999,ROUND(100/AC12*AD12-100,1),IF(ROUND(100/AC12*AD12-100,1)&gt;999,999,-999)))</f>
        <v>-62.2</v>
      </c>
      <c r="AF12" s="838">
        <v>8832</v>
      </c>
      <c r="AG12" s="838">
        <v>3363</v>
      </c>
      <c r="AH12" s="763">
        <f>IF(AF12=0, "    ---- ", IF(ABS(ROUND(100/AF12*AG12-100,1))&lt;999,ROUND(100/AF12*AG12-100,1),IF(ROUND(100/AF12*AG12-100,1)&gt;999,999,-999)))</f>
        <v>-61.9</v>
      </c>
      <c r="AI12" s="762">
        <f>B12+H12+K12+N12+Q12+T12+E12+W12+Z12+AC12+AF12</f>
        <v>20838.679</v>
      </c>
      <c r="AJ12" s="762">
        <f>C12+I12+L12+O12+R12+U12+F12+X12+AA12+AD12+AG12</f>
        <v>9733.1809710893322</v>
      </c>
      <c r="AK12" s="763">
        <f>IF(AI12=0, "    ---- ", IF(ABS(ROUND(100/AI12*AJ12-100,1))&lt;999,ROUND(100/AI12*AJ12-100,1),IF(ROUND(100/AI12*AJ12-100,1)&gt;999,999,-999)))</f>
        <v>-53.3</v>
      </c>
      <c r="AL12" s="760"/>
      <c r="AM12" s="760"/>
    </row>
    <row r="13" spans="1:54" s="761" customFormat="1" ht="20.100000000000001" customHeight="1" x14ac:dyDescent="0.35">
      <c r="A13" s="872"/>
      <c r="B13" s="843"/>
      <c r="C13" s="843"/>
      <c r="D13" s="759"/>
      <c r="E13" s="841"/>
      <c r="F13" s="841"/>
      <c r="G13" s="759"/>
      <c r="H13" s="843"/>
      <c r="I13" s="843"/>
      <c r="J13" s="759"/>
      <c r="K13" s="895"/>
      <c r="L13" s="843"/>
      <c r="M13" s="759"/>
      <c r="N13" s="764"/>
      <c r="O13" s="759"/>
      <c r="P13" s="759"/>
      <c r="Q13" s="841"/>
      <c r="R13" s="841"/>
      <c r="S13" s="759"/>
      <c r="T13" s="843"/>
      <c r="U13" s="843"/>
      <c r="V13" s="759"/>
      <c r="W13" s="841"/>
      <c r="X13" s="841"/>
      <c r="Y13" s="759"/>
      <c r="Z13" s="843"/>
      <c r="AA13" s="843"/>
      <c r="AB13" s="759"/>
      <c r="AC13" s="843"/>
      <c r="AD13" s="843"/>
      <c r="AE13" s="759"/>
      <c r="AF13" s="843"/>
      <c r="AG13" s="843"/>
      <c r="AH13" s="759"/>
      <c r="AI13" s="759"/>
      <c r="AJ13" s="759"/>
      <c r="AK13" s="759"/>
      <c r="AL13" s="760"/>
      <c r="AM13" s="760"/>
    </row>
    <row r="14" spans="1:54" s="761" customFormat="1" ht="20.100000000000001" customHeight="1" x14ac:dyDescent="0.3">
      <c r="A14" s="873" t="s">
        <v>438</v>
      </c>
      <c r="B14" s="842"/>
      <c r="C14" s="842"/>
      <c r="D14" s="766"/>
      <c r="E14" s="842"/>
      <c r="F14" s="842"/>
      <c r="G14" s="766"/>
      <c r="H14" s="842"/>
      <c r="I14" s="842"/>
      <c r="J14" s="766"/>
      <c r="K14" s="896"/>
      <c r="L14" s="842"/>
      <c r="M14" s="766"/>
      <c r="N14" s="767"/>
      <c r="O14" s="766"/>
      <c r="P14" s="766"/>
      <c r="Q14" s="842"/>
      <c r="R14" s="842"/>
      <c r="S14" s="766"/>
      <c r="T14" s="842"/>
      <c r="U14" s="842"/>
      <c r="V14" s="766"/>
      <c r="W14" s="842"/>
      <c r="X14" s="842"/>
      <c r="Y14" s="766"/>
      <c r="Z14" s="842"/>
      <c r="AA14" s="842"/>
      <c r="AB14" s="766"/>
      <c r="AC14" s="842"/>
      <c r="AD14" s="842"/>
      <c r="AE14" s="766"/>
      <c r="AF14" s="842"/>
      <c r="AG14" s="842"/>
      <c r="AH14" s="766"/>
      <c r="AI14" s="693"/>
      <c r="AJ14" s="766"/>
      <c r="AK14" s="766"/>
      <c r="AL14" s="760"/>
      <c r="AM14" s="760"/>
    </row>
    <row r="15" spans="1:54" s="761" customFormat="1" ht="20.100000000000001" customHeight="1" x14ac:dyDescent="0.3">
      <c r="A15" s="873" t="s">
        <v>439</v>
      </c>
      <c r="B15" s="842"/>
      <c r="C15" s="842"/>
      <c r="D15" s="766"/>
      <c r="E15" s="842"/>
      <c r="F15" s="842"/>
      <c r="G15" s="766"/>
      <c r="H15" s="842"/>
      <c r="I15" s="842"/>
      <c r="J15" s="766"/>
      <c r="K15" s="896"/>
      <c r="L15" s="842"/>
      <c r="M15" s="766"/>
      <c r="N15" s="767"/>
      <c r="O15" s="766"/>
      <c r="P15" s="766"/>
      <c r="Q15" s="842"/>
      <c r="R15" s="842"/>
      <c r="S15" s="766"/>
      <c r="T15" s="842"/>
      <c r="U15" s="842"/>
      <c r="V15" s="766"/>
      <c r="W15" s="842"/>
      <c r="X15" s="842"/>
      <c r="Y15" s="766"/>
      <c r="Z15" s="842"/>
      <c r="AA15" s="842"/>
      <c r="AB15" s="766"/>
      <c r="AC15" s="842"/>
      <c r="AD15" s="842"/>
      <c r="AE15" s="766"/>
      <c r="AF15" s="842"/>
      <c r="AG15" s="842"/>
      <c r="AH15" s="766"/>
      <c r="AI15" s="693"/>
      <c r="AJ15" s="766"/>
      <c r="AK15" s="766"/>
      <c r="AL15" s="760"/>
      <c r="AM15" s="760"/>
    </row>
    <row r="16" spans="1:54" s="761" customFormat="1" ht="20.100000000000001" customHeight="1" x14ac:dyDescent="0.3">
      <c r="A16" s="874" t="s">
        <v>499</v>
      </c>
      <c r="B16" s="842"/>
      <c r="C16" s="842">
        <f>AVERAGE(C17:C21)</f>
        <v>2.4739999999999998</v>
      </c>
      <c r="D16" s="766"/>
      <c r="E16" s="842"/>
      <c r="F16" s="842">
        <f>AVERAGE(F17:F21)</f>
        <v>4.9250000000000007</v>
      </c>
      <c r="G16" s="766"/>
      <c r="H16" s="842"/>
      <c r="I16" s="842">
        <f>AVERAGE(I17:I21)</f>
        <v>3.8283623000977123</v>
      </c>
      <c r="J16" s="766"/>
      <c r="K16" s="842"/>
      <c r="L16" s="842">
        <f>AVERAGE(L17:L21)</f>
        <v>1.7250000000000001</v>
      </c>
      <c r="M16" s="766"/>
      <c r="N16" s="766"/>
      <c r="O16" s="766"/>
      <c r="P16" s="766"/>
      <c r="Q16" s="842"/>
      <c r="R16" s="842">
        <f>AVERAGE(R17:R21)</f>
        <v>4.0239999999999991</v>
      </c>
      <c r="S16" s="766"/>
      <c r="T16" s="842"/>
      <c r="U16" s="842">
        <f>AVERAGE(U17:U21)</f>
        <v>4.3466742927872364</v>
      </c>
      <c r="V16" s="766"/>
      <c r="W16" s="842"/>
      <c r="X16" s="842">
        <f>AVERAGE(X17:X21)</f>
        <v>4.7279999999999998</v>
      </c>
      <c r="Y16" s="766"/>
      <c r="Z16" s="842"/>
      <c r="AA16" s="842">
        <f>AVERAGE(AA17:AA21)</f>
        <v>6.1879999999999997</v>
      </c>
      <c r="AB16" s="766"/>
      <c r="AC16" s="842"/>
      <c r="AD16" s="842">
        <f>AVERAGE(AD17:AD21)</f>
        <v>6.3723646956899742</v>
      </c>
      <c r="AE16" s="766"/>
      <c r="AF16" s="842"/>
      <c r="AG16" s="842">
        <f>AVERAGE(AG17:AG21)</f>
        <v>4.2159999999999993</v>
      </c>
      <c r="AH16" s="766"/>
      <c r="AI16" s="693"/>
      <c r="AJ16" s="766"/>
      <c r="AK16" s="766"/>
      <c r="AL16" s="760"/>
      <c r="AM16" s="760"/>
    </row>
    <row r="17" spans="1:39" s="757" customFormat="1" ht="20.100000000000001" customHeight="1" x14ac:dyDescent="0.35">
      <c r="A17" s="875">
        <v>2021</v>
      </c>
      <c r="B17" s="842"/>
      <c r="C17" s="843">
        <v>2.5499999999999998</v>
      </c>
      <c r="D17" s="759"/>
      <c r="E17" s="842"/>
      <c r="F17" s="842"/>
      <c r="G17" s="759"/>
      <c r="H17" s="842"/>
      <c r="I17" s="843">
        <v>4.25</v>
      </c>
      <c r="J17" s="759"/>
      <c r="K17" s="895"/>
      <c r="L17" s="843">
        <v>1.86</v>
      </c>
      <c r="M17" s="759"/>
      <c r="N17" s="764"/>
      <c r="O17" s="759"/>
      <c r="P17" s="759"/>
      <c r="Q17" s="842"/>
      <c r="R17" s="843">
        <v>3.77</v>
      </c>
      <c r="S17" s="759"/>
      <c r="T17" s="842"/>
      <c r="U17" s="843">
        <v>4.972816929202617</v>
      </c>
      <c r="V17" s="759"/>
      <c r="W17" s="842"/>
      <c r="X17" s="843">
        <v>6.4</v>
      </c>
      <c r="Y17" s="759"/>
      <c r="Z17" s="842"/>
      <c r="AA17" s="843">
        <v>8.1</v>
      </c>
      <c r="AB17" s="759"/>
      <c r="AC17" s="842"/>
      <c r="AD17" s="843">
        <v>9.7832972045713404</v>
      </c>
      <c r="AE17" s="759"/>
      <c r="AF17" s="842"/>
      <c r="AG17" s="843">
        <v>4.5199999999999996</v>
      </c>
      <c r="AH17" s="759"/>
      <c r="AI17" s="520"/>
      <c r="AJ17" s="759"/>
      <c r="AK17" s="759"/>
      <c r="AL17" s="756"/>
      <c r="AM17" s="756"/>
    </row>
    <row r="18" spans="1:39" s="757" customFormat="1" ht="20.100000000000001" customHeight="1" x14ac:dyDescent="0.35">
      <c r="A18" s="875">
        <v>2020</v>
      </c>
      <c r="B18" s="843"/>
      <c r="C18" s="843">
        <v>2.39</v>
      </c>
      <c r="D18" s="758"/>
      <c r="E18" s="843"/>
      <c r="F18" s="843">
        <v>3.5</v>
      </c>
      <c r="G18" s="758"/>
      <c r="H18" s="843"/>
      <c r="I18" s="843">
        <v>2.9318115004885601</v>
      </c>
      <c r="J18" s="758"/>
      <c r="K18" s="897"/>
      <c r="L18" s="843">
        <v>1.59</v>
      </c>
      <c r="M18" s="758"/>
      <c r="N18" s="768"/>
      <c r="O18" s="758"/>
      <c r="P18" s="758"/>
      <c r="Q18" s="843"/>
      <c r="R18" s="843">
        <v>3.33</v>
      </c>
      <c r="S18" s="758"/>
      <c r="T18" s="843"/>
      <c r="U18" s="843">
        <v>4.815178754619609</v>
      </c>
      <c r="V18" s="758"/>
      <c r="W18" s="843"/>
      <c r="X18" s="843">
        <v>3.5</v>
      </c>
      <c r="Y18" s="758"/>
      <c r="Z18" s="843"/>
      <c r="AA18" s="843">
        <v>8.24</v>
      </c>
      <c r="AB18" s="758"/>
      <c r="AC18" s="843"/>
      <c r="AD18" s="843">
        <v>2.2770880867932601</v>
      </c>
      <c r="AE18" s="758"/>
      <c r="AF18" s="843"/>
      <c r="AG18" s="843">
        <v>4.76</v>
      </c>
      <c r="AH18" s="759"/>
      <c r="AI18" s="520"/>
      <c r="AJ18" s="759"/>
      <c r="AK18" s="759"/>
      <c r="AL18" s="756"/>
      <c r="AM18" s="756"/>
    </row>
    <row r="19" spans="1:39" s="761" customFormat="1" ht="20.100000000000001" customHeight="1" x14ac:dyDescent="0.35">
      <c r="A19" s="875">
        <v>2019</v>
      </c>
      <c r="B19" s="843"/>
      <c r="C19" s="843">
        <v>1.97</v>
      </c>
      <c r="D19" s="758"/>
      <c r="E19" s="843"/>
      <c r="F19" s="843">
        <v>3.4</v>
      </c>
      <c r="G19" s="758"/>
      <c r="H19" s="843"/>
      <c r="I19" s="843">
        <v>3.93</v>
      </c>
      <c r="J19" s="758"/>
      <c r="K19" s="897"/>
      <c r="L19" s="898"/>
      <c r="M19" s="758"/>
      <c r="N19" s="768"/>
      <c r="O19" s="758"/>
      <c r="P19" s="758"/>
      <c r="Q19" s="843"/>
      <c r="R19" s="843">
        <v>4.1399999999999997</v>
      </c>
      <c r="S19" s="758"/>
      <c r="T19" s="843"/>
      <c r="U19" s="843">
        <v>4.4943757801139572</v>
      </c>
      <c r="V19" s="758"/>
      <c r="W19" s="843"/>
      <c r="X19" s="843">
        <v>4.63</v>
      </c>
      <c r="Y19" s="758"/>
      <c r="Z19" s="843"/>
      <c r="AA19" s="843">
        <v>2.1</v>
      </c>
      <c r="AB19" s="758"/>
      <c r="AC19" s="843"/>
      <c r="AD19" s="843">
        <v>7.9659633792055002</v>
      </c>
      <c r="AE19" s="758"/>
      <c r="AF19" s="843"/>
      <c r="AG19" s="843">
        <v>3.78</v>
      </c>
      <c r="AH19" s="759"/>
      <c r="AI19" s="520"/>
      <c r="AJ19" s="759"/>
      <c r="AK19" s="759"/>
      <c r="AL19" s="760"/>
      <c r="AM19" s="760"/>
    </row>
    <row r="20" spans="1:39" s="761" customFormat="1" ht="20.100000000000001" customHeight="1" x14ac:dyDescent="0.35">
      <c r="A20" s="875">
        <v>2018</v>
      </c>
      <c r="B20" s="843"/>
      <c r="C20" s="843">
        <v>3.47</v>
      </c>
      <c r="D20" s="758"/>
      <c r="E20" s="843"/>
      <c r="F20" s="843">
        <v>4.5</v>
      </c>
      <c r="G20" s="758"/>
      <c r="H20" s="843"/>
      <c r="I20" s="843">
        <v>3.46</v>
      </c>
      <c r="J20" s="758"/>
      <c r="K20" s="897"/>
      <c r="L20" s="898"/>
      <c r="M20" s="758"/>
      <c r="N20" s="768"/>
      <c r="O20" s="758"/>
      <c r="P20" s="758"/>
      <c r="Q20" s="843"/>
      <c r="R20" s="843">
        <v>5.2</v>
      </c>
      <c r="S20" s="758"/>
      <c r="T20" s="843"/>
      <c r="U20" s="843">
        <v>3.5110000000000001</v>
      </c>
      <c r="V20" s="758"/>
      <c r="W20" s="843"/>
      <c r="X20" s="843">
        <v>4.83</v>
      </c>
      <c r="Y20" s="758"/>
      <c r="Z20" s="843"/>
      <c r="AA20" s="843">
        <v>4.5999999999999996</v>
      </c>
      <c r="AB20" s="758"/>
      <c r="AC20" s="843"/>
      <c r="AD20" s="843">
        <v>5.7548555647528596</v>
      </c>
      <c r="AE20" s="758"/>
      <c r="AF20" s="843"/>
      <c r="AG20" s="843">
        <v>3.21</v>
      </c>
      <c r="AH20" s="759"/>
      <c r="AI20" s="520"/>
      <c r="AJ20" s="759"/>
      <c r="AK20" s="759"/>
      <c r="AL20" s="760"/>
      <c r="AM20" s="760"/>
    </row>
    <row r="21" spans="1:39" s="761" customFormat="1" ht="20.100000000000001" customHeight="1" x14ac:dyDescent="0.35">
      <c r="A21" s="875">
        <v>2017</v>
      </c>
      <c r="B21" s="843"/>
      <c r="C21" s="843">
        <v>1.99</v>
      </c>
      <c r="D21" s="758"/>
      <c r="E21" s="843"/>
      <c r="F21" s="843">
        <v>8.3000000000000007</v>
      </c>
      <c r="G21" s="758"/>
      <c r="H21" s="843"/>
      <c r="I21" s="843">
        <v>4.57</v>
      </c>
      <c r="J21" s="758"/>
      <c r="K21" s="897"/>
      <c r="L21" s="898"/>
      <c r="M21" s="758"/>
      <c r="N21" s="768"/>
      <c r="O21" s="758"/>
      <c r="P21" s="758"/>
      <c r="Q21" s="843"/>
      <c r="R21" s="843">
        <v>3.68</v>
      </c>
      <c r="S21" s="758"/>
      <c r="T21" s="843"/>
      <c r="U21" s="843">
        <v>3.94</v>
      </c>
      <c r="V21" s="758"/>
      <c r="W21" s="843"/>
      <c r="X21" s="843">
        <v>4.28</v>
      </c>
      <c r="Y21" s="758"/>
      <c r="Z21" s="843"/>
      <c r="AA21" s="843">
        <v>7.9</v>
      </c>
      <c r="AB21" s="758"/>
      <c r="AC21" s="843"/>
      <c r="AD21" s="843">
        <v>6.0806192431269102</v>
      </c>
      <c r="AE21" s="758"/>
      <c r="AF21" s="843"/>
      <c r="AG21" s="843">
        <v>4.8099999999999996</v>
      </c>
      <c r="AH21" s="759"/>
      <c r="AI21" s="520"/>
      <c r="AJ21" s="759"/>
      <c r="AK21" s="759"/>
      <c r="AL21" s="760"/>
      <c r="AM21" s="760"/>
    </row>
    <row r="22" spans="1:39" s="761" customFormat="1" ht="20.100000000000001" customHeight="1" x14ac:dyDescent="0.35">
      <c r="A22" s="876" t="s">
        <v>440</v>
      </c>
      <c r="B22" s="843"/>
      <c r="C22" s="843"/>
      <c r="D22" s="759"/>
      <c r="E22" s="843"/>
      <c r="F22" s="843"/>
      <c r="G22" s="759"/>
      <c r="H22" s="843"/>
      <c r="I22" s="843"/>
      <c r="J22" s="759"/>
      <c r="K22" s="895"/>
      <c r="L22" s="843"/>
      <c r="M22" s="759"/>
      <c r="N22" s="764"/>
      <c r="O22" s="759"/>
      <c r="P22" s="759"/>
      <c r="Q22" s="843"/>
      <c r="R22" s="843"/>
      <c r="S22" s="759"/>
      <c r="T22" s="843"/>
      <c r="U22" s="843"/>
      <c r="V22" s="759"/>
      <c r="W22" s="843"/>
      <c r="X22" s="843"/>
      <c r="Y22" s="759"/>
      <c r="Z22" s="843"/>
      <c r="AA22" s="843"/>
      <c r="AB22" s="759"/>
      <c r="AC22" s="843"/>
      <c r="AD22" s="843"/>
      <c r="AE22" s="759"/>
      <c r="AF22" s="843"/>
      <c r="AG22" s="843"/>
      <c r="AH22" s="759"/>
      <c r="AI22" s="520"/>
      <c r="AJ22" s="759"/>
      <c r="AK22" s="759"/>
      <c r="AL22" s="760"/>
      <c r="AM22" s="760"/>
    </row>
    <row r="23" spans="1:39" s="761" customFormat="1" ht="20.100000000000001" customHeight="1" x14ac:dyDescent="0.35">
      <c r="A23" s="875">
        <v>2021</v>
      </c>
      <c r="B23" s="843"/>
      <c r="C23" s="843"/>
      <c r="D23" s="759"/>
      <c r="E23" s="843"/>
      <c r="F23" s="843"/>
      <c r="G23" s="759"/>
      <c r="H23" s="843"/>
      <c r="I23" s="843">
        <v>4.91</v>
      </c>
      <c r="J23" s="759"/>
      <c r="K23" s="895"/>
      <c r="L23" s="843"/>
      <c r="M23" s="759"/>
      <c r="N23" s="764"/>
      <c r="O23" s="759"/>
      <c r="P23" s="759"/>
      <c r="Q23" s="843"/>
      <c r="R23" s="843"/>
      <c r="S23" s="759"/>
      <c r="T23" s="843"/>
      <c r="U23" s="843"/>
      <c r="V23" s="759"/>
      <c r="W23" s="843"/>
      <c r="X23" s="843">
        <v>6.4</v>
      </c>
      <c r="Y23" s="759"/>
      <c r="Z23" s="843"/>
      <c r="AA23" s="843"/>
      <c r="AB23" s="759"/>
      <c r="AC23" s="843"/>
      <c r="AD23" s="843">
        <v>11.193545306355499</v>
      </c>
      <c r="AE23" s="759"/>
      <c r="AF23" s="843"/>
      <c r="AG23" s="843"/>
      <c r="AH23" s="759"/>
      <c r="AI23" s="520"/>
      <c r="AJ23" s="759"/>
      <c r="AK23" s="759"/>
      <c r="AL23" s="760"/>
      <c r="AM23" s="760"/>
    </row>
    <row r="24" spans="1:39" s="761" customFormat="1" ht="20.100000000000001" customHeight="1" x14ac:dyDescent="0.35">
      <c r="A24" s="875">
        <v>2020</v>
      </c>
      <c r="B24" s="843"/>
      <c r="C24" s="843"/>
      <c r="D24" s="758"/>
      <c r="E24" s="843"/>
      <c r="F24" s="843"/>
      <c r="G24" s="758"/>
      <c r="H24" s="843"/>
      <c r="I24" s="843">
        <v>1.99175835002305</v>
      </c>
      <c r="J24" s="758"/>
      <c r="K24" s="897"/>
      <c r="L24" s="898"/>
      <c r="M24" s="758"/>
      <c r="N24" s="768"/>
      <c r="O24" s="758"/>
      <c r="P24" s="758"/>
      <c r="Q24" s="843"/>
      <c r="R24" s="843"/>
      <c r="S24" s="758"/>
      <c r="T24" s="843"/>
      <c r="U24" s="843"/>
      <c r="V24" s="758"/>
      <c r="W24" s="843"/>
      <c r="X24" s="843">
        <v>3.5</v>
      </c>
      <c r="Y24" s="758"/>
      <c r="Z24" s="843"/>
      <c r="AA24" s="843"/>
      <c r="AB24" s="758"/>
      <c r="AC24" s="843"/>
      <c r="AD24" s="843">
        <v>4.6721988481442498</v>
      </c>
      <c r="AE24" s="758"/>
      <c r="AF24" s="843"/>
      <c r="AG24" s="843"/>
      <c r="AH24" s="759"/>
      <c r="AI24" s="520"/>
      <c r="AJ24" s="759"/>
      <c r="AK24" s="759"/>
      <c r="AL24" s="760"/>
      <c r="AM24" s="760"/>
    </row>
    <row r="25" spans="1:39" s="761" customFormat="1" ht="20.100000000000001" customHeight="1" x14ac:dyDescent="0.35">
      <c r="A25" s="875">
        <v>2019</v>
      </c>
      <c r="B25" s="843"/>
      <c r="C25" s="843"/>
      <c r="D25" s="758"/>
      <c r="E25" s="843"/>
      <c r="F25" s="843"/>
      <c r="G25" s="758"/>
      <c r="H25" s="843"/>
      <c r="I25" s="843">
        <v>5.66</v>
      </c>
      <c r="J25" s="758"/>
      <c r="K25" s="897"/>
      <c r="L25" s="898"/>
      <c r="M25" s="758"/>
      <c r="N25" s="768"/>
      <c r="O25" s="758"/>
      <c r="P25" s="758"/>
      <c r="Q25" s="843"/>
      <c r="R25" s="843"/>
      <c r="S25" s="758"/>
      <c r="T25" s="843"/>
      <c r="U25" s="843"/>
      <c r="V25" s="758"/>
      <c r="W25" s="843"/>
      <c r="X25" s="843">
        <v>4.63</v>
      </c>
      <c r="Y25" s="758"/>
      <c r="Z25" s="843"/>
      <c r="AA25" s="843"/>
      <c r="AB25" s="758"/>
      <c r="AC25" s="843"/>
      <c r="AD25" s="843">
        <v>10.5600917124546</v>
      </c>
      <c r="AE25" s="758"/>
      <c r="AF25" s="843"/>
      <c r="AG25" s="843"/>
      <c r="AH25" s="759"/>
      <c r="AI25" s="520"/>
      <c r="AJ25" s="759"/>
      <c r="AK25" s="759"/>
      <c r="AL25" s="760"/>
      <c r="AM25" s="760"/>
    </row>
    <row r="26" spans="1:39" s="761" customFormat="1" ht="20.100000000000001" customHeight="1" x14ac:dyDescent="0.35">
      <c r="A26" s="875">
        <v>2018</v>
      </c>
      <c r="B26" s="843"/>
      <c r="C26" s="843"/>
      <c r="D26" s="758"/>
      <c r="E26" s="843"/>
      <c r="F26" s="843"/>
      <c r="G26" s="758"/>
      <c r="H26" s="843"/>
      <c r="I26" s="843">
        <v>3.61</v>
      </c>
      <c r="J26" s="758"/>
      <c r="K26" s="897"/>
      <c r="L26" s="898"/>
      <c r="M26" s="758"/>
      <c r="N26" s="768"/>
      <c r="O26" s="758"/>
      <c r="P26" s="758"/>
      <c r="Q26" s="843"/>
      <c r="R26" s="843"/>
      <c r="S26" s="758"/>
      <c r="T26" s="843"/>
      <c r="U26" s="843"/>
      <c r="V26" s="758"/>
      <c r="W26" s="843"/>
      <c r="X26" s="843">
        <v>4.83</v>
      </c>
      <c r="Y26" s="758"/>
      <c r="Z26" s="843"/>
      <c r="AA26" s="843"/>
      <c r="AB26" s="758"/>
      <c r="AC26" s="843"/>
      <c r="AD26" s="843">
        <v>5.4919117102760797</v>
      </c>
      <c r="AE26" s="758"/>
      <c r="AF26" s="843"/>
      <c r="AG26" s="843"/>
      <c r="AH26" s="759"/>
      <c r="AI26" s="520"/>
      <c r="AJ26" s="759"/>
      <c r="AK26" s="759"/>
      <c r="AL26" s="760"/>
      <c r="AM26" s="760"/>
    </row>
    <row r="27" spans="1:39" s="761" customFormat="1" ht="20.100000000000001" customHeight="1" x14ac:dyDescent="0.35">
      <c r="A27" s="875">
        <v>2017</v>
      </c>
      <c r="B27" s="843"/>
      <c r="C27" s="843"/>
      <c r="D27" s="758"/>
      <c r="E27" s="843"/>
      <c r="F27" s="843"/>
      <c r="G27" s="758"/>
      <c r="H27" s="843"/>
      <c r="I27" s="843">
        <v>5.0199999999999996</v>
      </c>
      <c r="J27" s="758"/>
      <c r="K27" s="897"/>
      <c r="L27" s="898"/>
      <c r="M27" s="758"/>
      <c r="N27" s="768"/>
      <c r="O27" s="758"/>
      <c r="P27" s="758"/>
      <c r="Q27" s="843"/>
      <c r="R27" s="843"/>
      <c r="S27" s="758"/>
      <c r="T27" s="843"/>
      <c r="U27" s="843"/>
      <c r="V27" s="758"/>
      <c r="W27" s="843"/>
      <c r="X27" s="843">
        <v>4.28</v>
      </c>
      <c r="Y27" s="758"/>
      <c r="Z27" s="843"/>
      <c r="AA27" s="843"/>
      <c r="AB27" s="758"/>
      <c r="AC27" s="843"/>
      <c r="AD27" s="843">
        <v>7.2430320850932501</v>
      </c>
      <c r="AE27" s="758"/>
      <c r="AF27" s="843"/>
      <c r="AG27" s="843"/>
      <c r="AH27" s="759"/>
      <c r="AI27" s="520"/>
      <c r="AJ27" s="759"/>
      <c r="AK27" s="759"/>
      <c r="AL27" s="760"/>
      <c r="AM27" s="760"/>
    </row>
    <row r="28" spans="1:39" s="761" customFormat="1" ht="20.100000000000001" customHeight="1" x14ac:dyDescent="0.35">
      <c r="A28" s="876" t="s">
        <v>441</v>
      </c>
      <c r="B28" s="843"/>
      <c r="C28" s="843"/>
      <c r="D28" s="759"/>
      <c r="E28" s="843"/>
      <c r="F28" s="843"/>
      <c r="G28" s="759"/>
      <c r="H28" s="843"/>
      <c r="I28" s="843"/>
      <c r="J28" s="759"/>
      <c r="K28" s="895"/>
      <c r="L28" s="843"/>
      <c r="M28" s="759"/>
      <c r="N28" s="764"/>
      <c r="O28" s="759"/>
      <c r="P28" s="759"/>
      <c r="Q28" s="843"/>
      <c r="R28" s="843"/>
      <c r="S28" s="759"/>
      <c r="T28" s="843"/>
      <c r="U28" s="843"/>
      <c r="V28" s="759"/>
      <c r="W28" s="843"/>
      <c r="X28" s="843"/>
      <c r="Y28" s="759"/>
      <c r="Z28" s="843"/>
      <c r="AA28" s="843"/>
      <c r="AB28" s="759"/>
      <c r="AC28" s="843"/>
      <c r="AD28" s="843"/>
      <c r="AE28" s="759"/>
      <c r="AF28" s="843"/>
      <c r="AG28" s="843"/>
      <c r="AH28" s="759"/>
      <c r="AI28" s="520"/>
      <c r="AJ28" s="759"/>
      <c r="AK28" s="759"/>
      <c r="AL28" s="760"/>
      <c r="AM28" s="760"/>
    </row>
    <row r="29" spans="1:39" s="761" customFormat="1" ht="20.100000000000001" customHeight="1" x14ac:dyDescent="0.35">
      <c r="A29" s="875">
        <v>2021</v>
      </c>
      <c r="B29" s="843"/>
      <c r="C29" s="843">
        <v>2.5499999999999998</v>
      </c>
      <c r="D29" s="759"/>
      <c r="E29" s="843"/>
      <c r="F29" s="843"/>
      <c r="G29" s="759"/>
      <c r="H29" s="843"/>
      <c r="I29" s="843">
        <v>4.26</v>
      </c>
      <c r="J29" s="759"/>
      <c r="K29" s="895"/>
      <c r="L29" s="899"/>
      <c r="M29" s="759"/>
      <c r="N29" s="764"/>
      <c r="O29" s="769"/>
      <c r="P29" s="759"/>
      <c r="Q29" s="843"/>
      <c r="R29" s="843">
        <v>4.38</v>
      </c>
      <c r="S29" s="759"/>
      <c r="T29" s="843"/>
      <c r="U29" s="843"/>
      <c r="V29" s="759"/>
      <c r="W29" s="843"/>
      <c r="X29" s="843">
        <v>6.4</v>
      </c>
      <c r="Y29" s="759"/>
      <c r="Z29" s="843"/>
      <c r="AA29" s="843"/>
      <c r="AB29" s="759"/>
      <c r="AC29" s="843"/>
      <c r="AD29" s="843">
        <v>9.5524359778779608</v>
      </c>
      <c r="AE29" s="759"/>
      <c r="AF29" s="843"/>
      <c r="AG29" s="843"/>
      <c r="AH29" s="759"/>
      <c r="AI29" s="520"/>
      <c r="AJ29" s="759"/>
      <c r="AK29" s="759"/>
      <c r="AL29" s="760"/>
      <c r="AM29" s="760"/>
    </row>
    <row r="30" spans="1:39" s="761" customFormat="1" ht="20.100000000000001" customHeight="1" x14ac:dyDescent="0.35">
      <c r="A30" s="875">
        <v>2020</v>
      </c>
      <c r="B30" s="843"/>
      <c r="C30" s="843">
        <v>2.39</v>
      </c>
      <c r="D30" s="758"/>
      <c r="E30" s="843"/>
      <c r="F30" s="843">
        <v>3.5</v>
      </c>
      <c r="G30" s="758"/>
      <c r="H30" s="843"/>
      <c r="I30" s="843">
        <v>1.9570432727373399</v>
      </c>
      <c r="J30" s="758"/>
      <c r="K30" s="897"/>
      <c r="L30" s="900"/>
      <c r="M30" s="758"/>
      <c r="N30" s="768"/>
      <c r="O30" s="770"/>
      <c r="P30" s="758"/>
      <c r="Q30" s="843"/>
      <c r="R30" s="843">
        <v>3.48</v>
      </c>
      <c r="S30" s="758"/>
      <c r="T30" s="843"/>
      <c r="U30" s="843"/>
      <c r="V30" s="758"/>
      <c r="W30" s="843"/>
      <c r="X30" s="843">
        <v>3.5</v>
      </c>
      <c r="Y30" s="758"/>
      <c r="Z30" s="843"/>
      <c r="AA30" s="843"/>
      <c r="AB30" s="758"/>
      <c r="AC30" s="843"/>
      <c r="AD30" s="843">
        <v>1.8527955574985999</v>
      </c>
      <c r="AE30" s="758"/>
      <c r="AF30" s="843"/>
      <c r="AG30" s="843"/>
      <c r="AH30" s="759"/>
      <c r="AI30" s="520"/>
      <c r="AJ30" s="759"/>
      <c r="AK30" s="759"/>
      <c r="AL30" s="760"/>
      <c r="AM30" s="760"/>
    </row>
    <row r="31" spans="1:39" s="761" customFormat="1" ht="20.100000000000001" customHeight="1" x14ac:dyDescent="0.35">
      <c r="A31" s="875">
        <v>2019</v>
      </c>
      <c r="B31" s="843"/>
      <c r="C31" s="843">
        <v>1.97</v>
      </c>
      <c r="D31" s="758"/>
      <c r="E31" s="843"/>
      <c r="F31" s="843">
        <v>3.4</v>
      </c>
      <c r="G31" s="758"/>
      <c r="H31" s="843"/>
      <c r="I31" s="843">
        <v>4.7699999999999996</v>
      </c>
      <c r="J31" s="758"/>
      <c r="K31" s="897"/>
      <c r="L31" s="900"/>
      <c r="M31" s="758"/>
      <c r="N31" s="768"/>
      <c r="O31" s="770"/>
      <c r="P31" s="758"/>
      <c r="Q31" s="843"/>
      <c r="R31" s="843">
        <v>4.34</v>
      </c>
      <c r="S31" s="758"/>
      <c r="T31" s="843"/>
      <c r="U31" s="843"/>
      <c r="V31" s="758"/>
      <c r="W31" s="843"/>
      <c r="X31" s="843">
        <v>4.63</v>
      </c>
      <c r="Y31" s="758"/>
      <c r="Z31" s="843"/>
      <c r="AA31" s="843"/>
      <c r="AB31" s="758"/>
      <c r="AC31" s="843"/>
      <c r="AD31" s="843">
        <v>7.6999415752564602</v>
      </c>
      <c r="AE31" s="758"/>
      <c r="AF31" s="843"/>
      <c r="AG31" s="843"/>
      <c r="AH31" s="759"/>
      <c r="AI31" s="520"/>
      <c r="AJ31" s="759"/>
      <c r="AK31" s="759"/>
      <c r="AL31" s="760"/>
      <c r="AM31" s="760"/>
    </row>
    <row r="32" spans="1:39" s="761" customFormat="1" ht="20.100000000000001" customHeight="1" x14ac:dyDescent="0.35">
      <c r="A32" s="875">
        <v>2018</v>
      </c>
      <c r="B32" s="843"/>
      <c r="C32" s="843">
        <v>3.47</v>
      </c>
      <c r="D32" s="758"/>
      <c r="E32" s="843"/>
      <c r="F32" s="843">
        <v>4.5</v>
      </c>
      <c r="G32" s="758"/>
      <c r="H32" s="843"/>
      <c r="I32" s="843">
        <v>2.95</v>
      </c>
      <c r="J32" s="758"/>
      <c r="K32" s="897"/>
      <c r="L32" s="900"/>
      <c r="M32" s="758"/>
      <c r="N32" s="768"/>
      <c r="O32" s="770"/>
      <c r="P32" s="758"/>
      <c r="Q32" s="843"/>
      <c r="R32" s="843">
        <v>5.61</v>
      </c>
      <c r="S32" s="758"/>
      <c r="T32" s="843"/>
      <c r="U32" s="843"/>
      <c r="V32" s="758"/>
      <c r="W32" s="843"/>
      <c r="X32" s="843">
        <v>4.83</v>
      </c>
      <c r="Y32" s="758"/>
      <c r="Z32" s="843"/>
      <c r="AA32" s="843"/>
      <c r="AB32" s="758"/>
      <c r="AC32" s="843"/>
      <c r="AD32" s="843">
        <v>2.8899617646606801</v>
      </c>
      <c r="AE32" s="758"/>
      <c r="AF32" s="843"/>
      <c r="AG32" s="843"/>
      <c r="AH32" s="759"/>
      <c r="AI32" s="520"/>
      <c r="AJ32" s="759"/>
      <c r="AK32" s="759"/>
      <c r="AL32" s="760"/>
      <c r="AM32" s="760"/>
    </row>
    <row r="33" spans="1:39" s="761" customFormat="1" ht="20.100000000000001" customHeight="1" x14ac:dyDescent="0.35">
      <c r="A33" s="875">
        <v>2017</v>
      </c>
      <c r="B33" s="843"/>
      <c r="C33" s="843">
        <v>1.99</v>
      </c>
      <c r="D33" s="758"/>
      <c r="E33" s="843"/>
      <c r="F33" s="843">
        <v>8.3000000000000007</v>
      </c>
      <c r="G33" s="758"/>
      <c r="H33" s="843"/>
      <c r="I33" s="843">
        <v>4.74</v>
      </c>
      <c r="J33" s="758"/>
      <c r="K33" s="897"/>
      <c r="L33" s="900"/>
      <c r="M33" s="758"/>
      <c r="N33" s="768"/>
      <c r="O33" s="770"/>
      <c r="P33" s="758"/>
      <c r="Q33" s="843"/>
      <c r="R33" s="843">
        <v>3.75</v>
      </c>
      <c r="S33" s="758"/>
      <c r="T33" s="843"/>
      <c r="U33" s="843"/>
      <c r="V33" s="758"/>
      <c r="W33" s="843"/>
      <c r="X33" s="843">
        <v>4.28</v>
      </c>
      <c r="Y33" s="758"/>
      <c r="Z33" s="843"/>
      <c r="AA33" s="843"/>
      <c r="AB33" s="758"/>
      <c r="AC33" s="843"/>
      <c r="AD33" s="843">
        <v>5.7183720533544404</v>
      </c>
      <c r="AE33" s="758"/>
      <c r="AF33" s="843"/>
      <c r="AG33" s="843"/>
      <c r="AH33" s="759"/>
      <c r="AI33" s="520"/>
      <c r="AJ33" s="759"/>
      <c r="AK33" s="759"/>
      <c r="AL33" s="760"/>
      <c r="AM33" s="760"/>
    </row>
    <row r="34" spans="1:39" s="761" customFormat="1" ht="20.100000000000001" customHeight="1" x14ac:dyDescent="0.3">
      <c r="A34" s="873" t="s">
        <v>442</v>
      </c>
      <c r="B34" s="842"/>
      <c r="C34" s="842"/>
      <c r="D34" s="766"/>
      <c r="E34" s="842"/>
      <c r="F34" s="842"/>
      <c r="G34" s="766"/>
      <c r="H34" s="842"/>
      <c r="I34" s="842"/>
      <c r="J34" s="766"/>
      <c r="K34" s="896"/>
      <c r="L34" s="842"/>
      <c r="M34" s="766"/>
      <c r="N34" s="767"/>
      <c r="O34" s="766"/>
      <c r="P34" s="766"/>
      <c r="Q34" s="842"/>
      <c r="R34" s="842"/>
      <c r="S34" s="766"/>
      <c r="T34" s="842"/>
      <c r="U34" s="842"/>
      <c r="V34" s="766"/>
      <c r="W34" s="842"/>
      <c r="X34" s="842"/>
      <c r="Y34" s="766"/>
      <c r="Z34" s="842"/>
      <c r="AA34" s="842"/>
      <c r="AB34" s="766"/>
      <c r="AC34" s="842"/>
      <c r="AD34" s="842"/>
      <c r="AE34" s="766"/>
      <c r="AF34" s="842"/>
      <c r="AG34" s="842"/>
      <c r="AH34" s="766"/>
      <c r="AI34" s="693"/>
      <c r="AJ34" s="766"/>
      <c r="AK34" s="766"/>
      <c r="AL34" s="760"/>
      <c r="AM34" s="760"/>
    </row>
    <row r="35" spans="1:39" s="761" customFormat="1" ht="20.100000000000001" customHeight="1" x14ac:dyDescent="0.3">
      <c r="A35" s="874" t="s">
        <v>499</v>
      </c>
      <c r="B35" s="846"/>
      <c r="C35" s="842">
        <f>AVERAGE(C36:C40)</f>
        <v>3.0540000000000003</v>
      </c>
      <c r="D35" s="766"/>
      <c r="E35" s="842"/>
      <c r="F35" s="842">
        <f>AVERAGE(F36:F40)</f>
        <v>3.7749999999999999</v>
      </c>
      <c r="G35" s="766"/>
      <c r="H35" s="846"/>
      <c r="I35" s="842">
        <f>AVERAGE(I36:I40)</f>
        <v>3.8482381627391136</v>
      </c>
      <c r="J35" s="766"/>
      <c r="K35" s="842"/>
      <c r="L35" s="842">
        <f>AVERAGE(L36:L40)</f>
        <v>1.7799999999999998</v>
      </c>
      <c r="M35" s="766"/>
      <c r="N35" s="766"/>
      <c r="O35" s="842"/>
      <c r="P35" s="766"/>
      <c r="Q35" s="842"/>
      <c r="R35" s="842">
        <f>AVERAGE(R36:R40)</f>
        <v>3.8979999999999997</v>
      </c>
      <c r="S35" s="766"/>
      <c r="T35" s="846"/>
      <c r="U35" s="842">
        <f>AVERAGE(U36:U40)</f>
        <v>5.7166906697489921</v>
      </c>
      <c r="V35" s="766"/>
      <c r="W35" s="842"/>
      <c r="X35" s="842">
        <f>AVERAGE(X36:X40)</f>
        <v>5.4859999999999989</v>
      </c>
      <c r="Y35" s="766"/>
      <c r="Z35" s="846"/>
      <c r="AA35" s="842">
        <f>AVERAGE(AA36:AA40)</f>
        <v>7.9219999999999997</v>
      </c>
      <c r="AB35" s="766"/>
      <c r="AC35" s="846"/>
      <c r="AD35" s="842">
        <f>AVERAGE(AD36:AD40)</f>
        <v>7.1817600915081004</v>
      </c>
      <c r="AE35" s="766"/>
      <c r="AF35" s="846"/>
      <c r="AG35" s="842">
        <f>AVERAGE(AG36:AG40)</f>
        <v>4.968</v>
      </c>
      <c r="AH35" s="766"/>
      <c r="AI35" s="693"/>
      <c r="AJ35" s="766"/>
      <c r="AK35" s="766"/>
      <c r="AL35" s="760"/>
      <c r="AM35" s="760"/>
    </row>
    <row r="36" spans="1:39" s="757" customFormat="1" ht="20.100000000000001" customHeight="1" x14ac:dyDescent="0.35">
      <c r="A36" s="875">
        <v>2021</v>
      </c>
      <c r="B36" s="846"/>
      <c r="C36" s="841">
        <v>1.32</v>
      </c>
      <c r="D36" s="759"/>
      <c r="E36" s="842"/>
      <c r="F36" s="842"/>
      <c r="G36" s="759"/>
      <c r="H36" s="846"/>
      <c r="I36" s="841">
        <v>4.5199999999999996</v>
      </c>
      <c r="J36" s="759"/>
      <c r="K36" s="899"/>
      <c r="L36" s="841">
        <v>1.28</v>
      </c>
      <c r="M36" s="759"/>
      <c r="N36" s="769"/>
      <c r="O36" s="765"/>
      <c r="P36" s="759"/>
      <c r="Q36" s="842"/>
      <c r="R36" s="843">
        <v>3.9</v>
      </c>
      <c r="S36" s="759"/>
      <c r="T36" s="846"/>
      <c r="U36" s="841">
        <v>8.3589403494660708</v>
      </c>
      <c r="V36" s="759"/>
      <c r="W36" s="842"/>
      <c r="X36" s="843">
        <v>8.1</v>
      </c>
      <c r="Y36" s="759"/>
      <c r="Z36" s="846"/>
      <c r="AA36" s="841">
        <v>10.24</v>
      </c>
      <c r="AB36" s="759"/>
      <c r="AC36" s="846"/>
      <c r="AD36" s="841">
        <v>9.4496512474785899</v>
      </c>
      <c r="AE36" s="759"/>
      <c r="AF36" s="846"/>
      <c r="AG36" s="841">
        <v>3.94</v>
      </c>
      <c r="AH36" s="759"/>
      <c r="AI36" s="520"/>
      <c r="AJ36" s="759"/>
      <c r="AK36" s="759"/>
      <c r="AL36" s="756"/>
      <c r="AM36" s="756"/>
    </row>
    <row r="37" spans="1:39" s="757" customFormat="1" ht="20.100000000000001" customHeight="1" x14ac:dyDescent="0.35">
      <c r="A37" s="875">
        <v>2020</v>
      </c>
      <c r="B37" s="841"/>
      <c r="C37" s="841">
        <v>4.59</v>
      </c>
      <c r="D37" s="758"/>
      <c r="E37" s="843"/>
      <c r="F37" s="843">
        <v>2.4</v>
      </c>
      <c r="G37" s="758"/>
      <c r="H37" s="841"/>
      <c r="I37" s="841">
        <v>1.38119081369557</v>
      </c>
      <c r="J37" s="758"/>
      <c r="K37" s="900"/>
      <c r="L37" s="843">
        <v>2.2799999999999998</v>
      </c>
      <c r="M37" s="758"/>
      <c r="N37" s="770"/>
      <c r="O37" s="771"/>
      <c r="P37" s="758"/>
      <c r="Q37" s="843"/>
      <c r="R37" s="843">
        <v>3.04</v>
      </c>
      <c r="S37" s="758"/>
      <c r="T37" s="841"/>
      <c r="U37" s="841">
        <v>4.2251351311435315</v>
      </c>
      <c r="V37" s="758"/>
      <c r="W37" s="843"/>
      <c r="X37" s="843">
        <v>4.8</v>
      </c>
      <c r="Y37" s="758"/>
      <c r="Z37" s="841"/>
      <c r="AA37" s="841">
        <v>7.87</v>
      </c>
      <c r="AB37" s="758"/>
      <c r="AC37" s="841"/>
      <c r="AD37" s="841">
        <v>4.58146534626405</v>
      </c>
      <c r="AE37" s="758"/>
      <c r="AF37" s="841"/>
      <c r="AG37" s="841">
        <v>5.5</v>
      </c>
      <c r="AH37" s="759"/>
      <c r="AI37" s="520"/>
      <c r="AJ37" s="759"/>
      <c r="AK37" s="759"/>
      <c r="AL37" s="756"/>
      <c r="AM37" s="756"/>
    </row>
    <row r="38" spans="1:39" s="761" customFormat="1" ht="20.100000000000001" customHeight="1" x14ac:dyDescent="0.35">
      <c r="A38" s="875">
        <v>2019</v>
      </c>
      <c r="B38" s="841"/>
      <c r="C38" s="841">
        <v>4.62</v>
      </c>
      <c r="D38" s="758"/>
      <c r="E38" s="843"/>
      <c r="F38" s="843">
        <v>4.0999999999999996</v>
      </c>
      <c r="G38" s="758"/>
      <c r="H38" s="841"/>
      <c r="I38" s="841">
        <v>5.92</v>
      </c>
      <c r="J38" s="758"/>
      <c r="K38" s="900"/>
      <c r="L38" s="901"/>
      <c r="M38" s="758"/>
      <c r="N38" s="770"/>
      <c r="O38" s="771"/>
      <c r="P38" s="758"/>
      <c r="Q38" s="843"/>
      <c r="R38" s="843">
        <v>4.38</v>
      </c>
      <c r="S38" s="758"/>
      <c r="T38" s="841"/>
      <c r="U38" s="841">
        <v>8.5483778681353595</v>
      </c>
      <c r="V38" s="758"/>
      <c r="W38" s="843"/>
      <c r="X38" s="843">
        <v>5.81</v>
      </c>
      <c r="Y38" s="758"/>
      <c r="Z38" s="841"/>
      <c r="AA38" s="841">
        <v>10.3</v>
      </c>
      <c r="AB38" s="758"/>
      <c r="AC38" s="841"/>
      <c r="AD38" s="841">
        <v>11.5251573312757</v>
      </c>
      <c r="AE38" s="758"/>
      <c r="AF38" s="841"/>
      <c r="AG38" s="841">
        <v>4.8099999999999996</v>
      </c>
      <c r="AH38" s="759"/>
      <c r="AI38" s="520"/>
      <c r="AJ38" s="759"/>
      <c r="AK38" s="759"/>
      <c r="AL38" s="760"/>
      <c r="AM38" s="760"/>
    </row>
    <row r="39" spans="1:39" s="761" customFormat="1" ht="20.100000000000001" customHeight="1" x14ac:dyDescent="0.35">
      <c r="A39" s="875">
        <v>2018</v>
      </c>
      <c r="B39" s="841"/>
      <c r="C39" s="841">
        <v>0.59</v>
      </c>
      <c r="D39" s="758"/>
      <c r="E39" s="843"/>
      <c r="F39" s="843">
        <v>3</v>
      </c>
      <c r="G39" s="758"/>
      <c r="H39" s="841"/>
      <c r="I39" s="841">
        <v>2.5</v>
      </c>
      <c r="J39" s="758"/>
      <c r="K39" s="900"/>
      <c r="L39" s="901"/>
      <c r="M39" s="758"/>
      <c r="N39" s="770"/>
      <c r="O39" s="771"/>
      <c r="P39" s="758"/>
      <c r="Q39" s="843"/>
      <c r="R39" s="843">
        <v>3.95</v>
      </c>
      <c r="S39" s="758"/>
      <c r="T39" s="841"/>
      <c r="U39" s="841">
        <v>3.5110000000000001</v>
      </c>
      <c r="V39" s="758"/>
      <c r="W39" s="843"/>
      <c r="X39" s="843">
        <v>3.9</v>
      </c>
      <c r="Y39" s="758"/>
      <c r="Z39" s="841"/>
      <c r="AA39" s="841">
        <v>2</v>
      </c>
      <c r="AB39" s="758"/>
      <c r="AC39" s="841"/>
      <c r="AD39" s="841">
        <v>2.3197820675014702</v>
      </c>
      <c r="AE39" s="758"/>
      <c r="AF39" s="841"/>
      <c r="AG39" s="841">
        <v>4.34</v>
      </c>
      <c r="AH39" s="759"/>
      <c r="AI39" s="520"/>
      <c r="AJ39" s="759"/>
      <c r="AK39" s="759"/>
      <c r="AL39" s="760"/>
      <c r="AM39" s="760"/>
    </row>
    <row r="40" spans="1:39" s="761" customFormat="1" ht="20.100000000000001" customHeight="1" x14ac:dyDescent="0.35">
      <c r="A40" s="875">
        <v>2017</v>
      </c>
      <c r="B40" s="841"/>
      <c r="C40" s="841">
        <v>4.1500000000000004</v>
      </c>
      <c r="D40" s="758"/>
      <c r="E40" s="843"/>
      <c r="F40" s="843">
        <v>5.6</v>
      </c>
      <c r="G40" s="758"/>
      <c r="H40" s="841"/>
      <c r="I40" s="841">
        <v>4.92</v>
      </c>
      <c r="J40" s="758"/>
      <c r="K40" s="900"/>
      <c r="L40" s="901"/>
      <c r="M40" s="758"/>
      <c r="N40" s="770"/>
      <c r="O40" s="771"/>
      <c r="P40" s="758"/>
      <c r="Q40" s="843"/>
      <c r="R40" s="843">
        <v>4.22</v>
      </c>
      <c r="S40" s="758"/>
      <c r="T40" s="841"/>
      <c r="U40" s="841">
        <v>3.94</v>
      </c>
      <c r="V40" s="758"/>
      <c r="W40" s="843"/>
      <c r="X40" s="843">
        <v>4.82</v>
      </c>
      <c r="Y40" s="758"/>
      <c r="Z40" s="841"/>
      <c r="AA40" s="841">
        <v>9.1999999999999993</v>
      </c>
      <c r="AB40" s="758"/>
      <c r="AC40" s="841"/>
      <c r="AD40" s="841">
        <v>8.0327444650206896</v>
      </c>
      <c r="AE40" s="758"/>
      <c r="AF40" s="841"/>
      <c r="AG40" s="841">
        <v>6.25</v>
      </c>
      <c r="AH40" s="759"/>
      <c r="AI40" s="520"/>
      <c r="AJ40" s="759"/>
      <c r="AK40" s="759"/>
      <c r="AL40" s="760"/>
      <c r="AM40" s="760"/>
    </row>
    <row r="41" spans="1:39" s="761" customFormat="1" ht="20.100000000000001" customHeight="1" x14ac:dyDescent="0.35">
      <c r="A41" s="876" t="s">
        <v>440</v>
      </c>
      <c r="B41" s="843"/>
      <c r="C41" s="843"/>
      <c r="D41" s="759"/>
      <c r="E41" s="843"/>
      <c r="F41" s="843"/>
      <c r="G41" s="759"/>
      <c r="H41" s="843"/>
      <c r="I41" s="843"/>
      <c r="J41" s="759"/>
      <c r="K41" s="895"/>
      <c r="L41" s="843"/>
      <c r="M41" s="759"/>
      <c r="N41" s="764"/>
      <c r="O41" s="759"/>
      <c r="P41" s="759"/>
      <c r="Q41" s="843"/>
      <c r="R41" s="843"/>
      <c r="S41" s="759"/>
      <c r="T41" s="843"/>
      <c r="U41" s="843"/>
      <c r="V41" s="759"/>
      <c r="W41" s="843"/>
      <c r="X41" s="843"/>
      <c r="Y41" s="759"/>
      <c r="Z41" s="843"/>
      <c r="AA41" s="843"/>
      <c r="AB41" s="759"/>
      <c r="AC41" s="843"/>
      <c r="AD41" s="843"/>
      <c r="AE41" s="759"/>
      <c r="AF41" s="843"/>
      <c r="AG41" s="843"/>
      <c r="AH41" s="759"/>
      <c r="AI41" s="520"/>
      <c r="AJ41" s="759"/>
      <c r="AK41" s="759"/>
      <c r="AL41" s="760"/>
      <c r="AM41" s="760"/>
    </row>
    <row r="42" spans="1:39" s="761" customFormat="1" ht="20.100000000000001" customHeight="1" x14ac:dyDescent="0.35">
      <c r="A42" s="875">
        <v>2021</v>
      </c>
      <c r="B42" s="843"/>
      <c r="C42" s="843"/>
      <c r="D42" s="759"/>
      <c r="E42" s="843"/>
      <c r="F42" s="843"/>
      <c r="G42" s="759"/>
      <c r="H42" s="843"/>
      <c r="I42" s="843">
        <v>5.07</v>
      </c>
      <c r="J42" s="759"/>
      <c r="K42" s="895"/>
      <c r="L42" s="843"/>
      <c r="M42" s="759"/>
      <c r="N42" s="764"/>
      <c r="O42" s="759"/>
      <c r="P42" s="759"/>
      <c r="Q42" s="843"/>
      <c r="R42" s="843"/>
      <c r="S42" s="759"/>
      <c r="T42" s="843"/>
      <c r="U42" s="843"/>
      <c r="V42" s="759"/>
      <c r="W42" s="843"/>
      <c r="X42" s="843">
        <v>8.1</v>
      </c>
      <c r="Y42" s="759"/>
      <c r="Z42" s="843"/>
      <c r="AA42" s="843"/>
      <c r="AB42" s="759"/>
      <c r="AC42" s="843"/>
      <c r="AD42" s="843">
        <v>9.4582857477536297</v>
      </c>
      <c r="AE42" s="759"/>
      <c r="AF42" s="843"/>
      <c r="AG42" s="843"/>
      <c r="AH42" s="759"/>
      <c r="AI42" s="520"/>
      <c r="AJ42" s="759"/>
      <c r="AK42" s="759"/>
      <c r="AL42" s="760"/>
      <c r="AM42" s="760"/>
    </row>
    <row r="43" spans="1:39" s="761" customFormat="1" ht="20.100000000000001" customHeight="1" x14ac:dyDescent="0.35">
      <c r="A43" s="875">
        <v>2020</v>
      </c>
      <c r="B43" s="843"/>
      <c r="C43" s="843"/>
      <c r="D43" s="758"/>
      <c r="E43" s="843"/>
      <c r="F43" s="843"/>
      <c r="G43" s="758"/>
      <c r="H43" s="843"/>
      <c r="I43" s="843">
        <v>1.54511464901146</v>
      </c>
      <c r="J43" s="758"/>
      <c r="K43" s="897"/>
      <c r="L43" s="898"/>
      <c r="M43" s="758"/>
      <c r="N43" s="768"/>
      <c r="O43" s="758"/>
      <c r="P43" s="758"/>
      <c r="Q43" s="843"/>
      <c r="R43" s="843"/>
      <c r="S43" s="758"/>
      <c r="T43" s="843"/>
      <c r="U43" s="843"/>
      <c r="V43" s="758"/>
      <c r="W43" s="843"/>
      <c r="X43" s="843">
        <v>4.8</v>
      </c>
      <c r="Y43" s="758"/>
      <c r="Z43" s="843"/>
      <c r="AA43" s="843"/>
      <c r="AB43" s="758"/>
      <c r="AC43" s="843"/>
      <c r="AD43" s="843">
        <v>4.6074355643218201</v>
      </c>
      <c r="AE43" s="758"/>
      <c r="AF43" s="843"/>
      <c r="AG43" s="843"/>
      <c r="AH43" s="759"/>
      <c r="AI43" s="520"/>
      <c r="AJ43" s="759"/>
      <c r="AK43" s="759"/>
      <c r="AL43" s="760"/>
      <c r="AM43" s="760"/>
    </row>
    <row r="44" spans="1:39" s="761" customFormat="1" ht="20.100000000000001" customHeight="1" x14ac:dyDescent="0.35">
      <c r="A44" s="875">
        <v>2019</v>
      </c>
      <c r="B44" s="843"/>
      <c r="C44" s="843"/>
      <c r="D44" s="758"/>
      <c r="E44" s="843"/>
      <c r="F44" s="843"/>
      <c r="G44" s="758"/>
      <c r="H44" s="843"/>
      <c r="I44" s="843">
        <v>6.56</v>
      </c>
      <c r="J44" s="758"/>
      <c r="K44" s="897"/>
      <c r="L44" s="898"/>
      <c r="M44" s="758"/>
      <c r="N44" s="768"/>
      <c r="O44" s="758"/>
      <c r="P44" s="758"/>
      <c r="Q44" s="843"/>
      <c r="R44" s="843"/>
      <c r="S44" s="758"/>
      <c r="T44" s="843"/>
      <c r="U44" s="843"/>
      <c r="V44" s="758"/>
      <c r="W44" s="843"/>
      <c r="X44" s="843">
        <v>5.81</v>
      </c>
      <c r="Y44" s="758"/>
      <c r="Z44" s="843"/>
      <c r="AA44" s="843"/>
      <c r="AB44" s="758"/>
      <c r="AC44" s="843"/>
      <c r="AD44" s="843">
        <v>14.544672445740501</v>
      </c>
      <c r="AE44" s="758"/>
      <c r="AF44" s="843"/>
      <c r="AG44" s="843"/>
      <c r="AH44" s="759"/>
      <c r="AI44" s="520"/>
      <c r="AJ44" s="759"/>
      <c r="AK44" s="759"/>
      <c r="AL44" s="760"/>
      <c r="AM44" s="760"/>
    </row>
    <row r="45" spans="1:39" s="761" customFormat="1" ht="19.5" customHeight="1" x14ac:dyDescent="0.35">
      <c r="A45" s="875">
        <v>2018</v>
      </c>
      <c r="B45" s="843"/>
      <c r="C45" s="843"/>
      <c r="D45" s="758"/>
      <c r="E45" s="843"/>
      <c r="F45" s="843"/>
      <c r="G45" s="758"/>
      <c r="H45" s="843"/>
      <c r="I45" s="843">
        <v>2.5299999999999998</v>
      </c>
      <c r="J45" s="758"/>
      <c r="K45" s="897"/>
      <c r="L45" s="898"/>
      <c r="M45" s="758"/>
      <c r="N45" s="768"/>
      <c r="O45" s="758"/>
      <c r="P45" s="758"/>
      <c r="Q45" s="843"/>
      <c r="R45" s="843"/>
      <c r="S45" s="758"/>
      <c r="T45" s="843"/>
      <c r="U45" s="843"/>
      <c r="V45" s="758"/>
      <c r="W45" s="843"/>
      <c r="X45" s="843">
        <v>3.9</v>
      </c>
      <c r="Y45" s="758"/>
      <c r="Z45" s="843"/>
      <c r="AA45" s="843"/>
      <c r="AB45" s="758"/>
      <c r="AC45" s="843"/>
      <c r="AD45" s="843">
        <v>2.1130300921210501</v>
      </c>
      <c r="AE45" s="758"/>
      <c r="AF45" s="843"/>
      <c r="AG45" s="843"/>
      <c r="AH45" s="759"/>
      <c r="AI45" s="520"/>
      <c r="AJ45" s="759"/>
      <c r="AK45" s="759"/>
      <c r="AL45" s="760"/>
      <c r="AM45" s="760"/>
    </row>
    <row r="46" spans="1:39" ht="19.5" customHeight="1" x14ac:dyDescent="0.35">
      <c r="A46" s="875">
        <v>2017</v>
      </c>
      <c r="B46" s="843"/>
      <c r="C46" s="843"/>
      <c r="D46" s="758"/>
      <c r="E46" s="843"/>
      <c r="F46" s="843"/>
      <c r="G46" s="758"/>
      <c r="H46" s="843"/>
      <c r="I46" s="843">
        <v>5.69</v>
      </c>
      <c r="J46" s="758"/>
      <c r="K46" s="897"/>
      <c r="L46" s="898"/>
      <c r="M46" s="758"/>
      <c r="N46" s="768"/>
      <c r="O46" s="758"/>
      <c r="P46" s="758"/>
      <c r="Q46" s="843"/>
      <c r="R46" s="843"/>
      <c r="S46" s="758"/>
      <c r="T46" s="843"/>
      <c r="U46" s="843"/>
      <c r="V46" s="758"/>
      <c r="W46" s="843"/>
      <c r="X46" s="843">
        <v>4.82</v>
      </c>
      <c r="Y46" s="758"/>
      <c r="Z46" s="843"/>
      <c r="AA46" s="843"/>
      <c r="AB46" s="758"/>
      <c r="AC46" s="843"/>
      <c r="AD46" s="843">
        <v>8.5075958174620503</v>
      </c>
      <c r="AE46" s="758"/>
      <c r="AF46" s="843"/>
      <c r="AG46" s="843"/>
      <c r="AH46" s="759"/>
      <c r="AI46" s="520"/>
      <c r="AJ46" s="759"/>
      <c r="AK46" s="759"/>
      <c r="AM46" s="561"/>
    </row>
    <row r="47" spans="1:39" s="543" customFormat="1" ht="18" x14ac:dyDescent="0.35">
      <c r="A47" s="876" t="s">
        <v>441</v>
      </c>
      <c r="B47" s="843"/>
      <c r="C47" s="843"/>
      <c r="D47" s="759"/>
      <c r="E47" s="843"/>
      <c r="F47" s="843"/>
      <c r="G47" s="759"/>
      <c r="H47" s="843"/>
      <c r="I47" s="843"/>
      <c r="J47" s="759"/>
      <c r="K47" s="895"/>
      <c r="L47" s="843"/>
      <c r="M47" s="759"/>
      <c r="N47" s="764"/>
      <c r="O47" s="759"/>
      <c r="P47" s="759"/>
      <c r="Q47" s="843"/>
      <c r="R47" s="843"/>
      <c r="S47" s="759"/>
      <c r="T47" s="843"/>
      <c r="U47" s="843"/>
      <c r="V47" s="759"/>
      <c r="W47" s="843"/>
      <c r="X47" s="843"/>
      <c r="Y47" s="759"/>
      <c r="Z47" s="841"/>
      <c r="AA47" s="841"/>
      <c r="AB47" s="759"/>
      <c r="AC47" s="841"/>
      <c r="AD47" s="841"/>
      <c r="AE47" s="759"/>
      <c r="AF47" s="843"/>
      <c r="AG47" s="843"/>
      <c r="AH47" s="759"/>
      <c r="AI47" s="520"/>
      <c r="AJ47" s="759"/>
      <c r="AK47" s="759"/>
    </row>
    <row r="48" spans="1:39" s="543" customFormat="1" ht="18" x14ac:dyDescent="0.35">
      <c r="A48" s="875">
        <v>2021</v>
      </c>
      <c r="B48" s="843"/>
      <c r="C48" s="843">
        <v>1.32</v>
      </c>
      <c r="D48" s="759"/>
      <c r="E48" s="843"/>
      <c r="F48" s="843"/>
      <c r="G48" s="759"/>
      <c r="H48" s="843"/>
      <c r="I48" s="843">
        <v>4.46</v>
      </c>
      <c r="J48" s="759"/>
      <c r="K48" s="895"/>
      <c r="L48" s="843"/>
      <c r="M48" s="759"/>
      <c r="N48" s="764"/>
      <c r="O48" s="759"/>
      <c r="P48" s="759"/>
      <c r="Q48" s="843"/>
      <c r="R48" s="843">
        <v>4.63</v>
      </c>
      <c r="S48" s="759"/>
      <c r="T48" s="843"/>
      <c r="U48" s="843"/>
      <c r="V48" s="759"/>
      <c r="W48" s="843"/>
      <c r="X48" s="843">
        <v>8.1</v>
      </c>
      <c r="Y48" s="759"/>
      <c r="Z48" s="841"/>
      <c r="AA48" s="841"/>
      <c r="AB48" s="759"/>
      <c r="AC48" s="841"/>
      <c r="AD48" s="841">
        <v>9.4482270924385308</v>
      </c>
      <c r="AE48" s="759"/>
      <c r="AF48" s="843"/>
      <c r="AG48" s="843"/>
      <c r="AH48" s="759"/>
      <c r="AI48" s="520"/>
      <c r="AJ48" s="759"/>
      <c r="AK48" s="759"/>
    </row>
    <row r="49" spans="1:37" s="543" customFormat="1" ht="18" x14ac:dyDescent="0.35">
      <c r="A49" s="875">
        <v>2020</v>
      </c>
      <c r="B49" s="843"/>
      <c r="C49" s="843">
        <v>4.59</v>
      </c>
      <c r="D49" s="759"/>
      <c r="E49" s="843"/>
      <c r="F49" s="843">
        <v>2.4</v>
      </c>
      <c r="G49" s="758"/>
      <c r="H49" s="843"/>
      <c r="I49" s="843">
        <v>-0.58810640830035998</v>
      </c>
      <c r="J49" s="758"/>
      <c r="K49" s="897"/>
      <c r="L49" s="898"/>
      <c r="M49" s="758"/>
      <c r="N49" s="768"/>
      <c r="O49" s="758"/>
      <c r="P49" s="758"/>
      <c r="Q49" s="843"/>
      <c r="R49" s="843">
        <v>2.99</v>
      </c>
      <c r="S49" s="758"/>
      <c r="T49" s="843"/>
      <c r="U49" s="843"/>
      <c r="V49" s="758"/>
      <c r="W49" s="843"/>
      <c r="X49" s="843">
        <v>4.8</v>
      </c>
      <c r="Y49" s="758"/>
      <c r="Z49" s="841"/>
      <c r="AA49" s="841"/>
      <c r="AB49" s="758"/>
      <c r="AC49" s="841"/>
      <c r="AD49" s="841">
        <v>4.6702930831617797</v>
      </c>
      <c r="AE49" s="758"/>
      <c r="AF49" s="843"/>
      <c r="AG49" s="843"/>
      <c r="AH49" s="759"/>
      <c r="AI49" s="520"/>
      <c r="AJ49" s="759"/>
      <c r="AK49" s="759"/>
    </row>
    <row r="50" spans="1:37" s="543" customFormat="1" ht="18" x14ac:dyDescent="0.35">
      <c r="A50" s="875">
        <v>2019</v>
      </c>
      <c r="B50" s="843"/>
      <c r="C50" s="843">
        <v>4.62</v>
      </c>
      <c r="D50" s="759"/>
      <c r="E50" s="843"/>
      <c r="F50" s="843">
        <v>4.0999999999999996</v>
      </c>
      <c r="G50" s="758"/>
      <c r="H50" s="843"/>
      <c r="I50" s="843">
        <v>6.94</v>
      </c>
      <c r="J50" s="758"/>
      <c r="K50" s="897"/>
      <c r="L50" s="898"/>
      <c r="M50" s="758"/>
      <c r="N50" s="768"/>
      <c r="O50" s="758"/>
      <c r="P50" s="758"/>
      <c r="Q50" s="843"/>
      <c r="R50" s="843">
        <v>4.72</v>
      </c>
      <c r="S50" s="758"/>
      <c r="T50" s="843"/>
      <c r="U50" s="843"/>
      <c r="V50" s="758"/>
      <c r="W50" s="843"/>
      <c r="X50" s="843">
        <v>5.81</v>
      </c>
      <c r="Y50" s="758"/>
      <c r="Z50" s="841"/>
      <c r="AA50" s="841"/>
      <c r="AB50" s="758"/>
      <c r="AC50" s="841"/>
      <c r="AD50" s="841">
        <v>12.781629706371699</v>
      </c>
      <c r="AE50" s="758"/>
      <c r="AF50" s="843"/>
      <c r="AG50" s="843"/>
      <c r="AH50" s="759"/>
      <c r="AI50" s="520"/>
      <c r="AJ50" s="759"/>
      <c r="AK50" s="759"/>
    </row>
    <row r="51" spans="1:37" s="543" customFormat="1" ht="18" x14ac:dyDescent="0.35">
      <c r="A51" s="875">
        <v>2018</v>
      </c>
      <c r="B51" s="843"/>
      <c r="C51" s="843">
        <v>0.59</v>
      </c>
      <c r="D51" s="759"/>
      <c r="E51" s="843"/>
      <c r="F51" s="843">
        <v>3</v>
      </c>
      <c r="G51" s="758"/>
      <c r="H51" s="843"/>
      <c r="I51" s="843">
        <v>1.55</v>
      </c>
      <c r="J51" s="758"/>
      <c r="K51" s="897"/>
      <c r="L51" s="898"/>
      <c r="M51" s="758"/>
      <c r="N51" s="768"/>
      <c r="O51" s="758"/>
      <c r="P51" s="758"/>
      <c r="Q51" s="843"/>
      <c r="R51" s="843">
        <v>4.3</v>
      </c>
      <c r="S51" s="758"/>
      <c r="T51" s="843"/>
      <c r="U51" s="843"/>
      <c r="V51" s="758"/>
      <c r="W51" s="843"/>
      <c r="X51" s="843">
        <v>3.9</v>
      </c>
      <c r="Y51" s="758"/>
      <c r="Z51" s="841"/>
      <c r="AA51" s="841"/>
      <c r="AB51" s="758"/>
      <c r="AC51" s="841"/>
      <c r="AD51" s="841">
        <v>1.37514717427514</v>
      </c>
      <c r="AE51" s="758"/>
      <c r="AF51" s="843"/>
      <c r="AG51" s="843"/>
      <c r="AH51" s="759"/>
      <c r="AI51" s="520"/>
      <c r="AJ51" s="759"/>
      <c r="AK51" s="759"/>
    </row>
    <row r="52" spans="1:37" s="543" customFormat="1" ht="18" x14ac:dyDescent="0.35">
      <c r="A52" s="875">
        <v>2017</v>
      </c>
      <c r="B52" s="844"/>
      <c r="C52" s="844">
        <v>4.1500000000000004</v>
      </c>
      <c r="D52" s="772"/>
      <c r="E52" s="844"/>
      <c r="F52" s="844">
        <v>5.6</v>
      </c>
      <c r="G52" s="773"/>
      <c r="H52" s="844"/>
      <c r="I52" s="844">
        <v>5.43</v>
      </c>
      <c r="J52" s="773"/>
      <c r="K52" s="902"/>
      <c r="L52" s="903"/>
      <c r="M52" s="773"/>
      <c r="N52" s="774"/>
      <c r="O52" s="773"/>
      <c r="P52" s="773"/>
      <c r="Q52" s="844"/>
      <c r="R52" s="844">
        <v>4.47</v>
      </c>
      <c r="S52" s="773"/>
      <c r="T52" s="844"/>
      <c r="U52" s="844">
        <v>5.83</v>
      </c>
      <c r="V52" s="773"/>
      <c r="W52" s="844"/>
      <c r="X52" s="844">
        <v>4.82</v>
      </c>
      <c r="Y52" s="773"/>
      <c r="Z52" s="847"/>
      <c r="AA52" s="847"/>
      <c r="AB52" s="773"/>
      <c r="AC52" s="847"/>
      <c r="AD52" s="847">
        <v>7.7392028099042101</v>
      </c>
      <c r="AE52" s="773"/>
      <c r="AF52" s="844"/>
      <c r="AG52" s="844"/>
      <c r="AH52" s="772"/>
      <c r="AI52" s="699"/>
      <c r="AJ52" s="772"/>
      <c r="AK52" s="772"/>
    </row>
    <row r="53" spans="1:37" s="543" customFormat="1" ht="18" x14ac:dyDescent="0.35">
      <c r="A53" s="789"/>
      <c r="E53" s="789"/>
      <c r="F53" s="789"/>
      <c r="H53" s="789"/>
      <c r="I53" s="789"/>
    </row>
    <row r="54" spans="1:37" s="543" customFormat="1" ht="18" x14ac:dyDescent="0.35"/>
    <row r="55" spans="1:37" s="543" customFormat="1" ht="18" x14ac:dyDescent="0.35"/>
    <row r="56" spans="1:37" s="543" customFormat="1" ht="18" x14ac:dyDescent="0.35"/>
    <row r="57" spans="1:37" s="543" customFormat="1" ht="18" x14ac:dyDescent="0.35"/>
    <row r="58" spans="1:37" s="543" customFormat="1" ht="18" x14ac:dyDescent="0.35"/>
    <row r="59" spans="1:37" s="543" customFormat="1" ht="18" x14ac:dyDescent="0.35"/>
  </sheetData>
  <mergeCells count="32">
    <mergeCell ref="H5:J5"/>
    <mergeCell ref="N5:P5"/>
    <mergeCell ref="Q5:S5"/>
    <mergeCell ref="K5:M5"/>
    <mergeCell ref="E5:G5"/>
    <mergeCell ref="AT5:AV5"/>
    <mergeCell ref="AW5:AY5"/>
    <mergeCell ref="AZ5:BB5"/>
    <mergeCell ref="B6:D6"/>
    <mergeCell ref="H6:J6"/>
    <mergeCell ref="N6:P6"/>
    <mergeCell ref="Q6:S6"/>
    <mergeCell ref="T6:V6"/>
    <mergeCell ref="W6:Y6"/>
    <mergeCell ref="AC5:AE5"/>
    <mergeCell ref="AF5:AH5"/>
    <mergeCell ref="AI5:AK5"/>
    <mergeCell ref="AN5:AP5"/>
    <mergeCell ref="AQ5:AS5"/>
    <mergeCell ref="Z5:AB5"/>
    <mergeCell ref="B5:D5"/>
    <mergeCell ref="AZ6:BB6"/>
    <mergeCell ref="Z6:AB6"/>
    <mergeCell ref="AC6:AE6"/>
    <mergeCell ref="AF6:AH6"/>
    <mergeCell ref="AI6:AK6"/>
    <mergeCell ref="AN6:AP6"/>
    <mergeCell ref="E6:G6"/>
    <mergeCell ref="K6:M6"/>
    <mergeCell ref="AQ6:AS6"/>
    <mergeCell ref="AT6:AV6"/>
    <mergeCell ref="AW6:AY6"/>
  </mergeCells>
  <hyperlinks>
    <hyperlink ref="B1" location="Innhold!A1" display="Tilbake" xr:uid="{00000000-0004-0000-25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6" min="1" max="72" man="1"/>
    <brk id="22" min="1" max="72" man="1"/>
    <brk id="28" min="1" max="72" man="1"/>
    <brk id="40"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4140625" defaultRowHeight="13.2" x14ac:dyDescent="0.25"/>
  <cols>
    <col min="1" max="1" width="66.33203125" style="1" customWidth="1"/>
    <col min="2" max="2" width="4.33203125" style="50" customWidth="1"/>
    <col min="3" max="3" width="105.33203125" style="1" customWidth="1"/>
    <col min="4" max="8" width="12.6640625" style="1" customWidth="1"/>
    <col min="9" max="257" width="11.44140625" style="1"/>
    <col min="258" max="258" width="2.6640625" style="1" customWidth="1"/>
    <col min="259" max="259" width="176.6640625" style="1" customWidth="1"/>
    <col min="260" max="260" width="11.44140625" style="1"/>
    <col min="261" max="261" width="176.6640625" style="1" customWidth="1"/>
    <col min="262" max="262" width="11.44140625" style="1"/>
    <col min="263" max="263" width="88.6640625" style="1" customWidth="1"/>
    <col min="264" max="513" width="11.44140625" style="1"/>
    <col min="514" max="514" width="2.6640625" style="1" customWidth="1"/>
    <col min="515" max="515" width="176.6640625" style="1" customWidth="1"/>
    <col min="516" max="516" width="11.44140625" style="1"/>
    <col min="517" max="517" width="176.6640625" style="1" customWidth="1"/>
    <col min="518" max="518" width="11.44140625" style="1"/>
    <col min="519" max="519" width="88.6640625" style="1" customWidth="1"/>
    <col min="520" max="769" width="11.44140625" style="1"/>
    <col min="770" max="770" width="2.6640625" style="1" customWidth="1"/>
    <col min="771" max="771" width="176.6640625" style="1" customWidth="1"/>
    <col min="772" max="772" width="11.44140625" style="1"/>
    <col min="773" max="773" width="176.6640625" style="1" customWidth="1"/>
    <col min="774" max="774" width="11.44140625" style="1"/>
    <col min="775" max="775" width="88.6640625" style="1" customWidth="1"/>
    <col min="776" max="1025" width="11.44140625" style="1"/>
    <col min="1026" max="1026" width="2.6640625" style="1" customWidth="1"/>
    <col min="1027" max="1027" width="176.6640625" style="1" customWidth="1"/>
    <col min="1028" max="1028" width="11.44140625" style="1"/>
    <col min="1029" max="1029" width="176.6640625" style="1" customWidth="1"/>
    <col min="1030" max="1030" width="11.44140625" style="1"/>
    <col min="1031" max="1031" width="88.6640625" style="1" customWidth="1"/>
    <col min="1032" max="1281" width="11.44140625" style="1"/>
    <col min="1282" max="1282" width="2.6640625" style="1" customWidth="1"/>
    <col min="1283" max="1283" width="176.6640625" style="1" customWidth="1"/>
    <col min="1284" max="1284" width="11.44140625" style="1"/>
    <col min="1285" max="1285" width="176.6640625" style="1" customWidth="1"/>
    <col min="1286" max="1286" width="11.44140625" style="1"/>
    <col min="1287" max="1287" width="88.6640625" style="1" customWidth="1"/>
    <col min="1288" max="1537" width="11.44140625" style="1"/>
    <col min="1538" max="1538" width="2.6640625" style="1" customWidth="1"/>
    <col min="1539" max="1539" width="176.6640625" style="1" customWidth="1"/>
    <col min="1540" max="1540" width="11.44140625" style="1"/>
    <col min="1541" max="1541" width="176.6640625" style="1" customWidth="1"/>
    <col min="1542" max="1542" width="11.44140625" style="1"/>
    <col min="1543" max="1543" width="88.6640625" style="1" customWidth="1"/>
    <col min="1544" max="1793" width="11.44140625" style="1"/>
    <col min="1794" max="1794" width="2.6640625" style="1" customWidth="1"/>
    <col min="1795" max="1795" width="176.6640625" style="1" customWidth="1"/>
    <col min="1796" max="1796" width="11.44140625" style="1"/>
    <col min="1797" max="1797" width="176.6640625" style="1" customWidth="1"/>
    <col min="1798" max="1798" width="11.44140625" style="1"/>
    <col min="1799" max="1799" width="88.6640625" style="1" customWidth="1"/>
    <col min="1800" max="2049" width="11.44140625" style="1"/>
    <col min="2050" max="2050" width="2.6640625" style="1" customWidth="1"/>
    <col min="2051" max="2051" width="176.6640625" style="1" customWidth="1"/>
    <col min="2052" max="2052" width="11.44140625" style="1"/>
    <col min="2053" max="2053" width="176.6640625" style="1" customWidth="1"/>
    <col min="2054" max="2054" width="11.44140625" style="1"/>
    <col min="2055" max="2055" width="88.6640625" style="1" customWidth="1"/>
    <col min="2056" max="2305" width="11.44140625" style="1"/>
    <col min="2306" max="2306" width="2.6640625" style="1" customWidth="1"/>
    <col min="2307" max="2307" width="176.6640625" style="1" customWidth="1"/>
    <col min="2308" max="2308" width="11.44140625" style="1"/>
    <col min="2309" max="2309" width="176.6640625" style="1" customWidth="1"/>
    <col min="2310" max="2310" width="11.44140625" style="1"/>
    <col min="2311" max="2311" width="88.6640625" style="1" customWidth="1"/>
    <col min="2312" max="2561" width="11.44140625" style="1"/>
    <col min="2562" max="2562" width="2.6640625" style="1" customWidth="1"/>
    <col min="2563" max="2563" width="176.6640625" style="1" customWidth="1"/>
    <col min="2564" max="2564" width="11.44140625" style="1"/>
    <col min="2565" max="2565" width="176.6640625" style="1" customWidth="1"/>
    <col min="2566" max="2566" width="11.44140625" style="1"/>
    <col min="2567" max="2567" width="88.6640625" style="1" customWidth="1"/>
    <col min="2568" max="2817" width="11.44140625" style="1"/>
    <col min="2818" max="2818" width="2.6640625" style="1" customWidth="1"/>
    <col min="2819" max="2819" width="176.6640625" style="1" customWidth="1"/>
    <col min="2820" max="2820" width="11.44140625" style="1"/>
    <col min="2821" max="2821" width="176.6640625" style="1" customWidth="1"/>
    <col min="2822" max="2822" width="11.44140625" style="1"/>
    <col min="2823" max="2823" width="88.6640625" style="1" customWidth="1"/>
    <col min="2824" max="3073" width="11.44140625" style="1"/>
    <col min="3074" max="3074" width="2.6640625" style="1" customWidth="1"/>
    <col min="3075" max="3075" width="176.6640625" style="1" customWidth="1"/>
    <col min="3076" max="3076" width="11.44140625" style="1"/>
    <col min="3077" max="3077" width="176.6640625" style="1" customWidth="1"/>
    <col min="3078" max="3078" width="11.44140625" style="1"/>
    <col min="3079" max="3079" width="88.6640625" style="1" customWidth="1"/>
    <col min="3080" max="3329" width="11.44140625" style="1"/>
    <col min="3330" max="3330" width="2.6640625" style="1" customWidth="1"/>
    <col min="3331" max="3331" width="176.6640625" style="1" customWidth="1"/>
    <col min="3332" max="3332" width="11.44140625" style="1"/>
    <col min="3333" max="3333" width="176.6640625" style="1" customWidth="1"/>
    <col min="3334" max="3334" width="11.44140625" style="1"/>
    <col min="3335" max="3335" width="88.6640625" style="1" customWidth="1"/>
    <col min="3336" max="3585" width="11.44140625" style="1"/>
    <col min="3586" max="3586" width="2.6640625" style="1" customWidth="1"/>
    <col min="3587" max="3587" width="176.6640625" style="1" customWidth="1"/>
    <col min="3588" max="3588" width="11.44140625" style="1"/>
    <col min="3589" max="3589" width="176.6640625" style="1" customWidth="1"/>
    <col min="3590" max="3590" width="11.44140625" style="1"/>
    <col min="3591" max="3591" width="88.6640625" style="1" customWidth="1"/>
    <col min="3592" max="3841" width="11.44140625" style="1"/>
    <col min="3842" max="3842" width="2.6640625" style="1" customWidth="1"/>
    <col min="3843" max="3843" width="176.6640625" style="1" customWidth="1"/>
    <col min="3844" max="3844" width="11.44140625" style="1"/>
    <col min="3845" max="3845" width="176.6640625" style="1" customWidth="1"/>
    <col min="3846" max="3846" width="11.44140625" style="1"/>
    <col min="3847" max="3847" width="88.6640625" style="1" customWidth="1"/>
    <col min="3848" max="4097" width="11.44140625" style="1"/>
    <col min="4098" max="4098" width="2.6640625" style="1" customWidth="1"/>
    <col min="4099" max="4099" width="176.6640625" style="1" customWidth="1"/>
    <col min="4100" max="4100" width="11.44140625" style="1"/>
    <col min="4101" max="4101" width="176.6640625" style="1" customWidth="1"/>
    <col min="4102" max="4102" width="11.44140625" style="1"/>
    <col min="4103" max="4103" width="88.6640625" style="1" customWidth="1"/>
    <col min="4104" max="4353" width="11.44140625" style="1"/>
    <col min="4354" max="4354" width="2.6640625" style="1" customWidth="1"/>
    <col min="4355" max="4355" width="176.6640625" style="1" customWidth="1"/>
    <col min="4356" max="4356" width="11.44140625" style="1"/>
    <col min="4357" max="4357" width="176.6640625" style="1" customWidth="1"/>
    <col min="4358" max="4358" width="11.44140625" style="1"/>
    <col min="4359" max="4359" width="88.6640625" style="1" customWidth="1"/>
    <col min="4360" max="4609" width="11.44140625" style="1"/>
    <col min="4610" max="4610" width="2.6640625" style="1" customWidth="1"/>
    <col min="4611" max="4611" width="176.6640625" style="1" customWidth="1"/>
    <col min="4612" max="4612" width="11.44140625" style="1"/>
    <col min="4613" max="4613" width="176.6640625" style="1" customWidth="1"/>
    <col min="4614" max="4614" width="11.44140625" style="1"/>
    <col min="4615" max="4615" width="88.6640625" style="1" customWidth="1"/>
    <col min="4616" max="4865" width="11.44140625" style="1"/>
    <col min="4866" max="4866" width="2.6640625" style="1" customWidth="1"/>
    <col min="4867" max="4867" width="176.6640625" style="1" customWidth="1"/>
    <col min="4868" max="4868" width="11.44140625" style="1"/>
    <col min="4869" max="4869" width="176.6640625" style="1" customWidth="1"/>
    <col min="4870" max="4870" width="11.44140625" style="1"/>
    <col min="4871" max="4871" width="88.6640625" style="1" customWidth="1"/>
    <col min="4872" max="5121" width="11.44140625" style="1"/>
    <col min="5122" max="5122" width="2.6640625" style="1" customWidth="1"/>
    <col min="5123" max="5123" width="176.6640625" style="1" customWidth="1"/>
    <col min="5124" max="5124" width="11.44140625" style="1"/>
    <col min="5125" max="5125" width="176.6640625" style="1" customWidth="1"/>
    <col min="5126" max="5126" width="11.44140625" style="1"/>
    <col min="5127" max="5127" width="88.6640625" style="1" customWidth="1"/>
    <col min="5128" max="5377" width="11.44140625" style="1"/>
    <col min="5378" max="5378" width="2.6640625" style="1" customWidth="1"/>
    <col min="5379" max="5379" width="176.6640625" style="1" customWidth="1"/>
    <col min="5380" max="5380" width="11.44140625" style="1"/>
    <col min="5381" max="5381" width="176.6640625" style="1" customWidth="1"/>
    <col min="5382" max="5382" width="11.44140625" style="1"/>
    <col min="5383" max="5383" width="88.6640625" style="1" customWidth="1"/>
    <col min="5384" max="5633" width="11.44140625" style="1"/>
    <col min="5634" max="5634" width="2.6640625" style="1" customWidth="1"/>
    <col min="5635" max="5635" width="176.6640625" style="1" customWidth="1"/>
    <col min="5636" max="5636" width="11.44140625" style="1"/>
    <col min="5637" max="5637" width="176.6640625" style="1" customWidth="1"/>
    <col min="5638" max="5638" width="11.44140625" style="1"/>
    <col min="5639" max="5639" width="88.6640625" style="1" customWidth="1"/>
    <col min="5640" max="5889" width="11.44140625" style="1"/>
    <col min="5890" max="5890" width="2.6640625" style="1" customWidth="1"/>
    <col min="5891" max="5891" width="176.6640625" style="1" customWidth="1"/>
    <col min="5892" max="5892" width="11.44140625" style="1"/>
    <col min="5893" max="5893" width="176.6640625" style="1" customWidth="1"/>
    <col min="5894" max="5894" width="11.44140625" style="1"/>
    <col min="5895" max="5895" width="88.6640625" style="1" customWidth="1"/>
    <col min="5896" max="6145" width="11.44140625" style="1"/>
    <col min="6146" max="6146" width="2.6640625" style="1" customWidth="1"/>
    <col min="6147" max="6147" width="176.6640625" style="1" customWidth="1"/>
    <col min="6148" max="6148" width="11.44140625" style="1"/>
    <col min="6149" max="6149" width="176.6640625" style="1" customWidth="1"/>
    <col min="6150" max="6150" width="11.44140625" style="1"/>
    <col min="6151" max="6151" width="88.6640625" style="1" customWidth="1"/>
    <col min="6152" max="6401" width="11.44140625" style="1"/>
    <col min="6402" max="6402" width="2.6640625" style="1" customWidth="1"/>
    <col min="6403" max="6403" width="176.6640625" style="1" customWidth="1"/>
    <col min="6404" max="6404" width="11.44140625" style="1"/>
    <col min="6405" max="6405" width="176.6640625" style="1" customWidth="1"/>
    <col min="6406" max="6406" width="11.44140625" style="1"/>
    <col min="6407" max="6407" width="88.6640625" style="1" customWidth="1"/>
    <col min="6408" max="6657" width="11.44140625" style="1"/>
    <col min="6658" max="6658" width="2.6640625" style="1" customWidth="1"/>
    <col min="6659" max="6659" width="176.6640625" style="1" customWidth="1"/>
    <col min="6660" max="6660" width="11.44140625" style="1"/>
    <col min="6661" max="6661" width="176.6640625" style="1" customWidth="1"/>
    <col min="6662" max="6662" width="11.44140625" style="1"/>
    <col min="6663" max="6663" width="88.6640625" style="1" customWidth="1"/>
    <col min="6664" max="6913" width="11.44140625" style="1"/>
    <col min="6914" max="6914" width="2.6640625" style="1" customWidth="1"/>
    <col min="6915" max="6915" width="176.6640625" style="1" customWidth="1"/>
    <col min="6916" max="6916" width="11.44140625" style="1"/>
    <col min="6917" max="6917" width="176.6640625" style="1" customWidth="1"/>
    <col min="6918" max="6918" width="11.44140625" style="1"/>
    <col min="6919" max="6919" width="88.6640625" style="1" customWidth="1"/>
    <col min="6920" max="7169" width="11.44140625" style="1"/>
    <col min="7170" max="7170" width="2.6640625" style="1" customWidth="1"/>
    <col min="7171" max="7171" width="176.6640625" style="1" customWidth="1"/>
    <col min="7172" max="7172" width="11.44140625" style="1"/>
    <col min="7173" max="7173" width="176.6640625" style="1" customWidth="1"/>
    <col min="7174" max="7174" width="11.44140625" style="1"/>
    <col min="7175" max="7175" width="88.6640625" style="1" customWidth="1"/>
    <col min="7176" max="7425" width="11.44140625" style="1"/>
    <col min="7426" max="7426" width="2.6640625" style="1" customWidth="1"/>
    <col min="7427" max="7427" width="176.6640625" style="1" customWidth="1"/>
    <col min="7428" max="7428" width="11.44140625" style="1"/>
    <col min="7429" max="7429" width="176.6640625" style="1" customWidth="1"/>
    <col min="7430" max="7430" width="11.44140625" style="1"/>
    <col min="7431" max="7431" width="88.6640625" style="1" customWidth="1"/>
    <col min="7432" max="7681" width="11.44140625" style="1"/>
    <col min="7682" max="7682" width="2.6640625" style="1" customWidth="1"/>
    <col min="7683" max="7683" width="176.6640625" style="1" customWidth="1"/>
    <col min="7684" max="7684" width="11.44140625" style="1"/>
    <col min="7685" max="7685" width="176.6640625" style="1" customWidth="1"/>
    <col min="7686" max="7686" width="11.44140625" style="1"/>
    <col min="7687" max="7687" width="88.6640625" style="1" customWidth="1"/>
    <col min="7688" max="7937" width="11.44140625" style="1"/>
    <col min="7938" max="7938" width="2.6640625" style="1" customWidth="1"/>
    <col min="7939" max="7939" width="176.6640625" style="1" customWidth="1"/>
    <col min="7940" max="7940" width="11.44140625" style="1"/>
    <col min="7941" max="7941" width="176.6640625" style="1" customWidth="1"/>
    <col min="7942" max="7942" width="11.44140625" style="1"/>
    <col min="7943" max="7943" width="88.6640625" style="1" customWidth="1"/>
    <col min="7944" max="8193" width="11.44140625" style="1"/>
    <col min="8194" max="8194" width="2.6640625" style="1" customWidth="1"/>
    <col min="8195" max="8195" width="176.6640625" style="1" customWidth="1"/>
    <col min="8196" max="8196" width="11.44140625" style="1"/>
    <col min="8197" max="8197" width="176.6640625" style="1" customWidth="1"/>
    <col min="8198" max="8198" width="11.44140625" style="1"/>
    <col min="8199" max="8199" width="88.6640625" style="1" customWidth="1"/>
    <col min="8200" max="8449" width="11.44140625" style="1"/>
    <col min="8450" max="8450" width="2.6640625" style="1" customWidth="1"/>
    <col min="8451" max="8451" width="176.6640625" style="1" customWidth="1"/>
    <col min="8452" max="8452" width="11.44140625" style="1"/>
    <col min="8453" max="8453" width="176.6640625" style="1" customWidth="1"/>
    <col min="8454" max="8454" width="11.44140625" style="1"/>
    <col min="8455" max="8455" width="88.6640625" style="1" customWidth="1"/>
    <col min="8456" max="8705" width="11.44140625" style="1"/>
    <col min="8706" max="8706" width="2.6640625" style="1" customWidth="1"/>
    <col min="8707" max="8707" width="176.6640625" style="1" customWidth="1"/>
    <col min="8708" max="8708" width="11.44140625" style="1"/>
    <col min="8709" max="8709" width="176.6640625" style="1" customWidth="1"/>
    <col min="8710" max="8710" width="11.44140625" style="1"/>
    <col min="8711" max="8711" width="88.6640625" style="1" customWidth="1"/>
    <col min="8712" max="8961" width="11.44140625" style="1"/>
    <col min="8962" max="8962" width="2.6640625" style="1" customWidth="1"/>
    <col min="8963" max="8963" width="176.6640625" style="1" customWidth="1"/>
    <col min="8964" max="8964" width="11.44140625" style="1"/>
    <col min="8965" max="8965" width="176.6640625" style="1" customWidth="1"/>
    <col min="8966" max="8966" width="11.44140625" style="1"/>
    <col min="8967" max="8967" width="88.6640625" style="1" customWidth="1"/>
    <col min="8968" max="9217" width="11.44140625" style="1"/>
    <col min="9218" max="9218" width="2.6640625" style="1" customWidth="1"/>
    <col min="9219" max="9219" width="176.6640625" style="1" customWidth="1"/>
    <col min="9220" max="9220" width="11.44140625" style="1"/>
    <col min="9221" max="9221" width="176.6640625" style="1" customWidth="1"/>
    <col min="9222" max="9222" width="11.44140625" style="1"/>
    <col min="9223" max="9223" width="88.6640625" style="1" customWidth="1"/>
    <col min="9224" max="9473" width="11.44140625" style="1"/>
    <col min="9474" max="9474" width="2.6640625" style="1" customWidth="1"/>
    <col min="9475" max="9475" width="176.6640625" style="1" customWidth="1"/>
    <col min="9476" max="9476" width="11.44140625" style="1"/>
    <col min="9477" max="9477" width="176.6640625" style="1" customWidth="1"/>
    <col min="9478" max="9478" width="11.44140625" style="1"/>
    <col min="9479" max="9479" width="88.6640625" style="1" customWidth="1"/>
    <col min="9480" max="9729" width="11.44140625" style="1"/>
    <col min="9730" max="9730" width="2.6640625" style="1" customWidth="1"/>
    <col min="9731" max="9731" width="176.6640625" style="1" customWidth="1"/>
    <col min="9732" max="9732" width="11.44140625" style="1"/>
    <col min="9733" max="9733" width="176.6640625" style="1" customWidth="1"/>
    <col min="9734" max="9734" width="11.44140625" style="1"/>
    <col min="9735" max="9735" width="88.6640625" style="1" customWidth="1"/>
    <col min="9736" max="9985" width="11.44140625" style="1"/>
    <col min="9986" max="9986" width="2.6640625" style="1" customWidth="1"/>
    <col min="9987" max="9987" width="176.6640625" style="1" customWidth="1"/>
    <col min="9988" max="9988" width="11.44140625" style="1"/>
    <col min="9989" max="9989" width="176.6640625" style="1" customWidth="1"/>
    <col min="9990" max="9990" width="11.44140625" style="1"/>
    <col min="9991" max="9991" width="88.6640625" style="1" customWidth="1"/>
    <col min="9992" max="10241" width="11.44140625" style="1"/>
    <col min="10242" max="10242" width="2.6640625" style="1" customWidth="1"/>
    <col min="10243" max="10243" width="176.6640625" style="1" customWidth="1"/>
    <col min="10244" max="10244" width="11.44140625" style="1"/>
    <col min="10245" max="10245" width="176.6640625" style="1" customWidth="1"/>
    <col min="10246" max="10246" width="11.44140625" style="1"/>
    <col min="10247" max="10247" width="88.6640625" style="1" customWidth="1"/>
    <col min="10248" max="10497" width="11.44140625" style="1"/>
    <col min="10498" max="10498" width="2.6640625" style="1" customWidth="1"/>
    <col min="10499" max="10499" width="176.6640625" style="1" customWidth="1"/>
    <col min="10500" max="10500" width="11.44140625" style="1"/>
    <col min="10501" max="10501" width="176.6640625" style="1" customWidth="1"/>
    <col min="10502" max="10502" width="11.44140625" style="1"/>
    <col min="10503" max="10503" width="88.6640625" style="1" customWidth="1"/>
    <col min="10504" max="10753" width="11.44140625" style="1"/>
    <col min="10754" max="10754" width="2.6640625" style="1" customWidth="1"/>
    <col min="10755" max="10755" width="176.6640625" style="1" customWidth="1"/>
    <col min="10756" max="10756" width="11.44140625" style="1"/>
    <col min="10757" max="10757" width="176.6640625" style="1" customWidth="1"/>
    <col min="10758" max="10758" width="11.44140625" style="1"/>
    <col min="10759" max="10759" width="88.6640625" style="1" customWidth="1"/>
    <col min="10760" max="11009" width="11.44140625" style="1"/>
    <col min="11010" max="11010" width="2.6640625" style="1" customWidth="1"/>
    <col min="11011" max="11011" width="176.6640625" style="1" customWidth="1"/>
    <col min="11012" max="11012" width="11.44140625" style="1"/>
    <col min="11013" max="11013" width="176.6640625" style="1" customWidth="1"/>
    <col min="11014" max="11014" width="11.44140625" style="1"/>
    <col min="11015" max="11015" width="88.6640625" style="1" customWidth="1"/>
    <col min="11016" max="11265" width="11.44140625" style="1"/>
    <col min="11266" max="11266" width="2.6640625" style="1" customWidth="1"/>
    <col min="11267" max="11267" width="176.6640625" style="1" customWidth="1"/>
    <col min="11268" max="11268" width="11.44140625" style="1"/>
    <col min="11269" max="11269" width="176.6640625" style="1" customWidth="1"/>
    <col min="11270" max="11270" width="11.44140625" style="1"/>
    <col min="11271" max="11271" width="88.6640625" style="1" customWidth="1"/>
    <col min="11272" max="11521" width="11.44140625" style="1"/>
    <col min="11522" max="11522" width="2.6640625" style="1" customWidth="1"/>
    <col min="11523" max="11523" width="176.6640625" style="1" customWidth="1"/>
    <col min="11524" max="11524" width="11.44140625" style="1"/>
    <col min="11525" max="11525" width="176.6640625" style="1" customWidth="1"/>
    <col min="11526" max="11526" width="11.44140625" style="1"/>
    <col min="11527" max="11527" width="88.6640625" style="1" customWidth="1"/>
    <col min="11528" max="11777" width="11.44140625" style="1"/>
    <col min="11778" max="11778" width="2.6640625" style="1" customWidth="1"/>
    <col min="11779" max="11779" width="176.6640625" style="1" customWidth="1"/>
    <col min="11780" max="11780" width="11.44140625" style="1"/>
    <col min="11781" max="11781" width="176.6640625" style="1" customWidth="1"/>
    <col min="11782" max="11782" width="11.44140625" style="1"/>
    <col min="11783" max="11783" width="88.6640625" style="1" customWidth="1"/>
    <col min="11784" max="12033" width="11.44140625" style="1"/>
    <col min="12034" max="12034" width="2.6640625" style="1" customWidth="1"/>
    <col min="12035" max="12035" width="176.6640625" style="1" customWidth="1"/>
    <col min="12036" max="12036" width="11.44140625" style="1"/>
    <col min="12037" max="12037" width="176.6640625" style="1" customWidth="1"/>
    <col min="12038" max="12038" width="11.44140625" style="1"/>
    <col min="12039" max="12039" width="88.6640625" style="1" customWidth="1"/>
    <col min="12040" max="12289" width="11.44140625" style="1"/>
    <col min="12290" max="12290" width="2.6640625" style="1" customWidth="1"/>
    <col min="12291" max="12291" width="176.6640625" style="1" customWidth="1"/>
    <col min="12292" max="12292" width="11.44140625" style="1"/>
    <col min="12293" max="12293" width="176.6640625" style="1" customWidth="1"/>
    <col min="12294" max="12294" width="11.44140625" style="1"/>
    <col min="12295" max="12295" width="88.6640625" style="1" customWidth="1"/>
    <col min="12296" max="12545" width="11.44140625" style="1"/>
    <col min="12546" max="12546" width="2.6640625" style="1" customWidth="1"/>
    <col min="12547" max="12547" width="176.6640625" style="1" customWidth="1"/>
    <col min="12548" max="12548" width="11.44140625" style="1"/>
    <col min="12549" max="12549" width="176.6640625" style="1" customWidth="1"/>
    <col min="12550" max="12550" width="11.44140625" style="1"/>
    <col min="12551" max="12551" width="88.6640625" style="1" customWidth="1"/>
    <col min="12552" max="12801" width="11.44140625" style="1"/>
    <col min="12802" max="12802" width="2.6640625" style="1" customWidth="1"/>
    <col min="12803" max="12803" width="176.6640625" style="1" customWidth="1"/>
    <col min="12804" max="12804" width="11.44140625" style="1"/>
    <col min="12805" max="12805" width="176.6640625" style="1" customWidth="1"/>
    <col min="12806" max="12806" width="11.44140625" style="1"/>
    <col min="12807" max="12807" width="88.6640625" style="1" customWidth="1"/>
    <col min="12808" max="13057" width="11.44140625" style="1"/>
    <col min="13058" max="13058" width="2.6640625" style="1" customWidth="1"/>
    <col min="13059" max="13059" width="176.6640625" style="1" customWidth="1"/>
    <col min="13060" max="13060" width="11.44140625" style="1"/>
    <col min="13061" max="13061" width="176.6640625" style="1" customWidth="1"/>
    <col min="13062" max="13062" width="11.44140625" style="1"/>
    <col min="13063" max="13063" width="88.6640625" style="1" customWidth="1"/>
    <col min="13064" max="13313" width="11.44140625" style="1"/>
    <col min="13314" max="13314" width="2.6640625" style="1" customWidth="1"/>
    <col min="13315" max="13315" width="176.6640625" style="1" customWidth="1"/>
    <col min="13316" max="13316" width="11.44140625" style="1"/>
    <col min="13317" max="13317" width="176.6640625" style="1" customWidth="1"/>
    <col min="13318" max="13318" width="11.44140625" style="1"/>
    <col min="13319" max="13319" width="88.6640625" style="1" customWidth="1"/>
    <col min="13320" max="13569" width="11.44140625" style="1"/>
    <col min="13570" max="13570" width="2.6640625" style="1" customWidth="1"/>
    <col min="13571" max="13571" width="176.6640625" style="1" customWidth="1"/>
    <col min="13572" max="13572" width="11.44140625" style="1"/>
    <col min="13573" max="13573" width="176.6640625" style="1" customWidth="1"/>
    <col min="13574" max="13574" width="11.44140625" style="1"/>
    <col min="13575" max="13575" width="88.6640625" style="1" customWidth="1"/>
    <col min="13576" max="13825" width="11.44140625" style="1"/>
    <col min="13826" max="13826" width="2.6640625" style="1" customWidth="1"/>
    <col min="13827" max="13827" width="176.6640625" style="1" customWidth="1"/>
    <col min="13828" max="13828" width="11.44140625" style="1"/>
    <col min="13829" max="13829" width="176.6640625" style="1" customWidth="1"/>
    <col min="13830" max="13830" width="11.44140625" style="1"/>
    <col min="13831" max="13831" width="88.6640625" style="1" customWidth="1"/>
    <col min="13832" max="14081" width="11.44140625" style="1"/>
    <col min="14082" max="14082" width="2.6640625" style="1" customWidth="1"/>
    <col min="14083" max="14083" width="176.6640625" style="1" customWidth="1"/>
    <col min="14084" max="14084" width="11.44140625" style="1"/>
    <col min="14085" max="14085" width="176.6640625" style="1" customWidth="1"/>
    <col min="14086" max="14086" width="11.44140625" style="1"/>
    <col min="14087" max="14087" width="88.6640625" style="1" customWidth="1"/>
    <col min="14088" max="14337" width="11.44140625" style="1"/>
    <col min="14338" max="14338" width="2.6640625" style="1" customWidth="1"/>
    <col min="14339" max="14339" width="176.6640625" style="1" customWidth="1"/>
    <col min="14340" max="14340" width="11.44140625" style="1"/>
    <col min="14341" max="14341" width="176.6640625" style="1" customWidth="1"/>
    <col min="14342" max="14342" width="11.44140625" style="1"/>
    <col min="14343" max="14343" width="88.6640625" style="1" customWidth="1"/>
    <col min="14344" max="14593" width="11.44140625" style="1"/>
    <col min="14594" max="14594" width="2.6640625" style="1" customWidth="1"/>
    <col min="14595" max="14595" width="176.6640625" style="1" customWidth="1"/>
    <col min="14596" max="14596" width="11.44140625" style="1"/>
    <col min="14597" max="14597" width="176.6640625" style="1" customWidth="1"/>
    <col min="14598" max="14598" width="11.44140625" style="1"/>
    <col min="14599" max="14599" width="88.6640625" style="1" customWidth="1"/>
    <col min="14600" max="14849" width="11.44140625" style="1"/>
    <col min="14850" max="14850" width="2.6640625" style="1" customWidth="1"/>
    <col min="14851" max="14851" width="176.6640625" style="1" customWidth="1"/>
    <col min="14852" max="14852" width="11.44140625" style="1"/>
    <col min="14853" max="14853" width="176.6640625" style="1" customWidth="1"/>
    <col min="14854" max="14854" width="11.44140625" style="1"/>
    <col min="14855" max="14855" width="88.6640625" style="1" customWidth="1"/>
    <col min="14856" max="15105" width="11.44140625" style="1"/>
    <col min="15106" max="15106" width="2.6640625" style="1" customWidth="1"/>
    <col min="15107" max="15107" width="176.6640625" style="1" customWidth="1"/>
    <col min="15108" max="15108" width="11.44140625" style="1"/>
    <col min="15109" max="15109" width="176.6640625" style="1" customWidth="1"/>
    <col min="15110" max="15110" width="11.44140625" style="1"/>
    <col min="15111" max="15111" width="88.6640625" style="1" customWidth="1"/>
    <col min="15112" max="15361" width="11.44140625" style="1"/>
    <col min="15362" max="15362" width="2.6640625" style="1" customWidth="1"/>
    <col min="15363" max="15363" width="176.6640625" style="1" customWidth="1"/>
    <col min="15364" max="15364" width="11.44140625" style="1"/>
    <col min="15365" max="15365" width="176.6640625" style="1" customWidth="1"/>
    <col min="15366" max="15366" width="11.44140625" style="1"/>
    <col min="15367" max="15367" width="88.6640625" style="1" customWidth="1"/>
    <col min="15368" max="15617" width="11.44140625" style="1"/>
    <col min="15618" max="15618" width="2.6640625" style="1" customWidth="1"/>
    <col min="15619" max="15619" width="176.6640625" style="1" customWidth="1"/>
    <col min="15620" max="15620" width="11.44140625" style="1"/>
    <col min="15621" max="15621" width="176.6640625" style="1" customWidth="1"/>
    <col min="15622" max="15622" width="11.44140625" style="1"/>
    <col min="15623" max="15623" width="88.6640625" style="1" customWidth="1"/>
    <col min="15624" max="15873" width="11.44140625" style="1"/>
    <col min="15874" max="15874" width="2.6640625" style="1" customWidth="1"/>
    <col min="15875" max="15875" width="176.6640625" style="1" customWidth="1"/>
    <col min="15876" max="15876" width="11.44140625" style="1"/>
    <col min="15877" max="15877" width="176.6640625" style="1" customWidth="1"/>
    <col min="15878" max="15878" width="11.44140625" style="1"/>
    <col min="15879" max="15879" width="88.6640625" style="1" customWidth="1"/>
    <col min="15880" max="16129" width="11.44140625" style="1"/>
    <col min="16130" max="16130" width="2.6640625" style="1" customWidth="1"/>
    <col min="16131" max="16131" width="176.6640625" style="1" customWidth="1"/>
    <col min="16132" max="16132" width="11.44140625" style="1"/>
    <col min="16133" max="16133" width="176.6640625" style="1" customWidth="1"/>
    <col min="16134" max="16134" width="11.44140625" style="1"/>
    <col min="16135" max="16135" width="88.6640625" style="1" customWidth="1"/>
    <col min="16136" max="16384" width="11.44140625" style="1"/>
  </cols>
  <sheetData>
    <row r="2" spans="1:17" x14ac:dyDescent="0.25">
      <c r="C2" s="326"/>
      <c r="D2" s="326"/>
      <c r="E2" s="326"/>
    </row>
    <row r="3" spans="1:17" x14ac:dyDescent="0.25">
      <c r="A3" s="43" t="s">
        <v>51</v>
      </c>
    </row>
    <row r="4" spans="1:17" x14ac:dyDescent="0.25">
      <c r="C4" s="326"/>
      <c r="D4" s="326"/>
      <c r="E4" s="326"/>
      <c r="F4" s="326"/>
      <c r="G4" s="326"/>
      <c r="H4" s="326"/>
      <c r="I4" s="326"/>
      <c r="J4" s="326"/>
      <c r="K4" s="326"/>
    </row>
    <row r="6" spans="1:17" ht="15.6" x14ac:dyDescent="0.3">
      <c r="C6" s="333" t="s">
        <v>16</v>
      </c>
      <c r="D6" s="3"/>
      <c r="E6" s="333"/>
    </row>
    <row r="7" spans="1:17" ht="18.75" customHeight="1" x14ac:dyDescent="0.25">
      <c r="C7" s="3"/>
      <c r="D7" s="3"/>
      <c r="E7" s="50"/>
    </row>
    <row r="8" spans="1:17" ht="15.6" x14ac:dyDescent="0.3">
      <c r="B8" s="327">
        <v>1</v>
      </c>
      <c r="C8" s="328" t="s">
        <v>349</v>
      </c>
      <c r="E8" s="337"/>
    </row>
    <row r="9" spans="1:17" ht="31.2" x14ac:dyDescent="0.25">
      <c r="B9" s="327">
        <v>2</v>
      </c>
      <c r="C9" s="330" t="s">
        <v>275</v>
      </c>
      <c r="E9" s="8"/>
      <c r="Q9" s="3"/>
    </row>
    <row r="10" spans="1:17" ht="46.8" x14ac:dyDescent="0.25">
      <c r="B10" s="327">
        <v>3</v>
      </c>
      <c r="C10" s="328" t="s">
        <v>276</v>
      </c>
      <c r="E10" s="8"/>
    </row>
    <row r="11" spans="1:17" ht="46.8" x14ac:dyDescent="0.25">
      <c r="B11" s="327">
        <v>4</v>
      </c>
      <c r="C11" s="330" t="s">
        <v>277</v>
      </c>
      <c r="E11" s="8"/>
    </row>
    <row r="12" spans="1:17" ht="31.2" x14ac:dyDescent="0.25">
      <c r="B12" s="327">
        <v>5</v>
      </c>
      <c r="C12" s="328" t="s">
        <v>21</v>
      </c>
      <c r="E12" s="3"/>
    </row>
    <row r="13" spans="1:17" ht="15.6" x14ac:dyDescent="0.25">
      <c r="B13" s="327">
        <v>6</v>
      </c>
      <c r="C13" s="328" t="s">
        <v>350</v>
      </c>
      <c r="E13" s="3"/>
    </row>
    <row r="14" spans="1:17" ht="15.6" x14ac:dyDescent="0.25">
      <c r="B14" s="327">
        <v>7</v>
      </c>
      <c r="C14" s="328" t="s">
        <v>17</v>
      </c>
    </row>
    <row r="15" spans="1:17" ht="18.75" customHeight="1" x14ac:dyDescent="0.25">
      <c r="B15" s="327">
        <v>8</v>
      </c>
      <c r="C15" s="328" t="s">
        <v>18</v>
      </c>
    </row>
    <row r="16" spans="1:17" ht="18.75" customHeight="1" x14ac:dyDescent="0.25">
      <c r="B16" s="327">
        <v>9</v>
      </c>
      <c r="C16" s="328" t="s">
        <v>22</v>
      </c>
    </row>
    <row r="17" spans="2:9" ht="62.4" x14ac:dyDescent="0.3">
      <c r="B17" s="327">
        <v>10</v>
      </c>
      <c r="C17" s="328" t="s">
        <v>359</v>
      </c>
      <c r="E17" s="333"/>
    </row>
    <row r="18" spans="2:9" ht="15.6" x14ac:dyDescent="0.25">
      <c r="B18" s="327">
        <v>11</v>
      </c>
      <c r="C18" s="328" t="s">
        <v>19</v>
      </c>
      <c r="E18" s="8"/>
    </row>
    <row r="19" spans="2:9" ht="15.6" x14ac:dyDescent="0.25">
      <c r="B19" s="327">
        <v>12</v>
      </c>
      <c r="C19" s="328" t="s">
        <v>279</v>
      </c>
      <c r="E19" s="8"/>
    </row>
    <row r="20" spans="2:9" ht="15.6" x14ac:dyDescent="0.25">
      <c r="B20" s="327">
        <v>13</v>
      </c>
      <c r="C20" s="328" t="s">
        <v>20</v>
      </c>
      <c r="E20" s="3"/>
    </row>
    <row r="21" spans="2:9" ht="46.8" x14ac:dyDescent="0.25">
      <c r="B21" s="327">
        <v>14</v>
      </c>
      <c r="C21" s="328" t="s">
        <v>280</v>
      </c>
      <c r="E21" s="338"/>
    </row>
    <row r="22" spans="2:9" ht="31.2" x14ac:dyDescent="0.25">
      <c r="B22" s="327">
        <v>15</v>
      </c>
      <c r="C22" s="330" t="s">
        <v>338</v>
      </c>
      <c r="E22" s="3"/>
    </row>
    <row r="23" spans="2:9" ht="15.6" x14ac:dyDescent="0.3">
      <c r="B23" s="327">
        <v>16</v>
      </c>
      <c r="C23" s="332" t="s">
        <v>278</v>
      </c>
      <c r="D23" s="331"/>
      <c r="E23" s="326"/>
      <c r="F23" s="331"/>
      <c r="G23" s="2"/>
      <c r="H23" s="2"/>
      <c r="I23" s="2"/>
    </row>
    <row r="24" spans="2:9" ht="18.75" customHeight="1" x14ac:dyDescent="0.3">
      <c r="B24" s="329">
        <v>17</v>
      </c>
      <c r="C24" s="332" t="s">
        <v>281</v>
      </c>
    </row>
    <row r="25" spans="2:9" ht="18.75" customHeight="1" x14ac:dyDescent="0.3">
      <c r="B25" s="329">
        <v>18</v>
      </c>
      <c r="C25" s="1013" t="s">
        <v>511</v>
      </c>
    </row>
    <row r="26" spans="2:9" ht="18.75" customHeight="1" x14ac:dyDescent="0.3">
      <c r="B26" s="329"/>
      <c r="C26" s="1013"/>
    </row>
    <row r="27" spans="2:9" ht="18.75" customHeight="1" x14ac:dyDescent="0.25">
      <c r="C27" s="335"/>
    </row>
    <row r="28" spans="2:9" ht="18.75" customHeight="1" x14ac:dyDescent="0.25">
      <c r="C28" s="335"/>
    </row>
    <row r="29" spans="2:9" ht="18.75" customHeight="1" x14ac:dyDescent="0.25">
      <c r="C29" s="335"/>
    </row>
    <row r="31" spans="2:9" ht="18.75" customHeight="1" x14ac:dyDescent="0.25"/>
    <row r="32" spans="2:9" ht="18.75" customHeight="1" x14ac:dyDescent="0.25"/>
    <row r="33" spans="1:14" ht="18.75" customHeight="1" x14ac:dyDescent="0.25"/>
    <row r="34" spans="1:14" ht="18.75" customHeight="1" x14ac:dyDescent="0.25"/>
    <row r="35" spans="1:14" ht="18.75" customHeight="1" x14ac:dyDescent="0.25"/>
    <row r="36" spans="1:14" ht="18.75" customHeight="1" x14ac:dyDescent="0.25"/>
    <row r="37" spans="1:14" ht="18.75" customHeight="1" x14ac:dyDescent="0.25">
      <c r="D37" s="3"/>
      <c r="E37" s="3"/>
      <c r="F37" s="3"/>
      <c r="G37" s="3"/>
      <c r="H37" s="3"/>
      <c r="I37" s="3"/>
      <c r="J37" s="3"/>
      <c r="K37" s="3"/>
      <c r="L37" s="3"/>
      <c r="M37" s="3"/>
      <c r="N37" s="3"/>
    </row>
    <row r="38" spans="1:14" ht="18.75" customHeight="1" x14ac:dyDescent="0.25">
      <c r="D38" s="3"/>
      <c r="E38" s="3"/>
      <c r="F38" s="3"/>
      <c r="G38" s="3"/>
      <c r="H38" s="3"/>
      <c r="I38" s="3"/>
      <c r="J38" s="3"/>
      <c r="K38" s="3"/>
      <c r="L38" s="3"/>
      <c r="M38" s="3"/>
      <c r="N38" s="3"/>
    </row>
    <row r="39" spans="1:14" ht="18.75" customHeight="1" x14ac:dyDescent="0.25">
      <c r="A39" s="4"/>
      <c r="D39" s="3"/>
      <c r="E39" s="3"/>
      <c r="F39" s="3"/>
      <c r="G39" s="3"/>
      <c r="H39" s="3"/>
      <c r="I39" s="3"/>
      <c r="J39" s="3"/>
      <c r="K39" s="3"/>
      <c r="L39" s="3"/>
      <c r="M39" s="3"/>
      <c r="N39" s="3"/>
    </row>
    <row r="40" spans="1:14" ht="18.75" customHeight="1" x14ac:dyDescent="0.25">
      <c r="A40" s="4"/>
      <c r="B40" s="8"/>
      <c r="D40" s="3"/>
      <c r="E40" s="3"/>
      <c r="F40" s="3"/>
      <c r="G40" s="3"/>
      <c r="H40" s="3"/>
      <c r="I40" s="3"/>
      <c r="J40" s="3"/>
      <c r="K40" s="3"/>
      <c r="L40" s="3"/>
      <c r="M40" s="3"/>
      <c r="N40" s="3"/>
    </row>
    <row r="41" spans="1:14" ht="18.75" customHeight="1" x14ac:dyDescent="0.25">
      <c r="A41" s="4"/>
      <c r="B41" s="8"/>
      <c r="D41" s="3"/>
      <c r="E41" s="3"/>
      <c r="F41" s="3"/>
      <c r="G41" s="3"/>
      <c r="H41" s="3"/>
      <c r="I41" s="3"/>
      <c r="J41" s="3"/>
      <c r="K41" s="3"/>
      <c r="L41" s="3"/>
      <c r="M41" s="3"/>
      <c r="N41" s="3"/>
    </row>
    <row r="42" spans="1:14" ht="18.75" customHeight="1" x14ac:dyDescent="0.25">
      <c r="A42" s="4"/>
      <c r="B42" s="8"/>
      <c r="C42" s="4"/>
      <c r="D42" s="3"/>
      <c r="E42" s="3"/>
      <c r="F42" s="3"/>
      <c r="G42" s="3"/>
      <c r="H42" s="3"/>
      <c r="I42" s="3"/>
      <c r="J42" s="3"/>
      <c r="K42" s="3"/>
      <c r="L42" s="3"/>
      <c r="M42" s="3"/>
      <c r="N42" s="3"/>
    </row>
    <row r="43" spans="1:14" ht="18.75" customHeight="1" x14ac:dyDescent="0.25">
      <c r="A43" s="4"/>
      <c r="B43" s="336"/>
      <c r="D43" s="3"/>
      <c r="E43" s="3"/>
      <c r="F43" s="3"/>
      <c r="G43" s="3"/>
      <c r="H43" s="3"/>
      <c r="I43" s="3"/>
      <c r="J43" s="3"/>
      <c r="K43" s="3"/>
      <c r="L43" s="3"/>
      <c r="M43" s="3"/>
      <c r="N43" s="3"/>
    </row>
    <row r="44" spans="1:14" ht="18.75" customHeight="1" x14ac:dyDescent="0.25">
      <c r="B44" s="8"/>
      <c r="D44" s="3"/>
      <c r="E44" s="3"/>
      <c r="F44" s="3"/>
      <c r="G44" s="3"/>
      <c r="H44" s="3"/>
      <c r="I44" s="3"/>
      <c r="J44" s="3"/>
      <c r="K44" s="3"/>
      <c r="L44" s="3"/>
      <c r="M44" s="3"/>
      <c r="N44" s="3"/>
    </row>
    <row r="45" spans="1:14" ht="18.75" customHeight="1" x14ac:dyDescent="0.25">
      <c r="B45" s="8"/>
      <c r="D45" s="3"/>
      <c r="E45" s="3"/>
      <c r="F45" s="3"/>
      <c r="G45" s="3"/>
      <c r="H45" s="3"/>
      <c r="I45" s="3"/>
      <c r="J45" s="3"/>
      <c r="K45" s="3"/>
      <c r="L45" s="3"/>
      <c r="M45" s="3"/>
      <c r="N45" s="3"/>
    </row>
    <row r="46" spans="1:14" ht="18.75" customHeight="1" x14ac:dyDescent="0.25">
      <c r="D46" s="3"/>
      <c r="E46" s="3"/>
      <c r="F46" s="3"/>
      <c r="G46" s="3"/>
      <c r="H46" s="3"/>
      <c r="I46" s="3"/>
      <c r="J46" s="3"/>
      <c r="K46" s="3"/>
      <c r="L46" s="3"/>
      <c r="M46" s="3"/>
      <c r="N46" s="3"/>
    </row>
    <row r="47" spans="1:14" ht="18.75" customHeight="1" x14ac:dyDescent="0.25">
      <c r="D47" s="3"/>
      <c r="E47" s="3"/>
      <c r="F47" s="3"/>
      <c r="G47" s="3"/>
      <c r="H47" s="3"/>
      <c r="I47" s="3"/>
      <c r="J47" s="3"/>
      <c r="K47" s="3"/>
      <c r="L47" s="3"/>
      <c r="M47" s="3"/>
      <c r="N47" s="3"/>
    </row>
    <row r="48" spans="1:14" ht="18.75" customHeight="1" x14ac:dyDescent="0.25">
      <c r="D48" s="3"/>
      <c r="E48" s="3"/>
      <c r="F48" s="3"/>
      <c r="G48" s="3"/>
      <c r="H48" s="3"/>
      <c r="I48" s="3"/>
      <c r="J48" s="3"/>
      <c r="K48" s="3"/>
      <c r="L48" s="3"/>
      <c r="M48" s="3"/>
      <c r="N48" s="3"/>
    </row>
    <row r="49" spans="4:14" ht="18.75" customHeight="1" x14ac:dyDescent="0.25">
      <c r="D49" s="3"/>
      <c r="E49" s="3"/>
      <c r="F49" s="3"/>
      <c r="G49" s="3"/>
      <c r="H49" s="3"/>
      <c r="I49" s="3"/>
      <c r="J49" s="3"/>
      <c r="K49" s="3"/>
      <c r="L49" s="3"/>
      <c r="M49" s="3"/>
      <c r="N49" s="3"/>
    </row>
    <row r="50" spans="4:14" ht="18.75" customHeight="1" x14ac:dyDescent="0.25">
      <c r="D50" s="326"/>
      <c r="E50" s="326"/>
      <c r="F50" s="326"/>
      <c r="G50" s="326"/>
      <c r="H50" s="326"/>
      <c r="I50" s="326"/>
      <c r="J50" s="326"/>
      <c r="K50" s="326"/>
      <c r="L50" s="326"/>
      <c r="M50" s="326"/>
      <c r="N50" s="326"/>
    </row>
    <row r="51" spans="4:14" ht="18.75" customHeight="1" x14ac:dyDescent="0.25"/>
    <row r="52" spans="4:14" ht="18.75" customHeight="1" x14ac:dyDescent="0.25"/>
    <row r="53" spans="4:14" ht="18.75" customHeight="1" x14ac:dyDescent="0.25"/>
    <row r="54" spans="4:14" ht="18.75" customHeight="1" x14ac:dyDescent="0.25"/>
    <row r="55" spans="4:14" ht="18.75" customHeight="1" x14ac:dyDescent="0.25"/>
    <row r="56" spans="4:14" ht="18.75" customHeight="1" x14ac:dyDescent="0.25"/>
    <row r="57" spans="4:14" ht="18.75" customHeight="1" x14ac:dyDescent="0.25"/>
    <row r="58" spans="4:14" ht="18.75" customHeight="1" x14ac:dyDescent="0.25"/>
    <row r="59" spans="4:14" ht="18.75" customHeight="1" x14ac:dyDescent="0.25"/>
    <row r="60" spans="4:14" ht="18.75" customHeight="1" x14ac:dyDescent="0.25"/>
    <row r="61" spans="4:14" ht="18.75" customHeight="1" x14ac:dyDescent="0.25"/>
    <row r="62" spans="4:14" ht="18.75" customHeight="1" x14ac:dyDescent="0.25"/>
    <row r="63" spans="4:14" ht="18.75" customHeight="1" x14ac:dyDescent="0.25"/>
    <row r="64" spans="4:14" ht="18.75" customHeight="1" x14ac:dyDescent="0.25"/>
    <row r="65" ht="18.75" customHeight="1" x14ac:dyDescent="0.25"/>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K22" sqref="K22"/>
    </sheetView>
  </sheetViews>
  <sheetFormatPr baseColWidth="10" defaultColWidth="11.44140625" defaultRowHeight="17.399999999999999" x14ac:dyDescent="0.3"/>
  <cols>
    <col min="1" max="1" width="51" style="80" customWidth="1"/>
    <col min="2" max="3" width="17.88671875" style="80" bestFit="1" customWidth="1"/>
    <col min="4" max="4" width="9.33203125" style="80" bestFit="1" customWidth="1"/>
    <col min="5" max="5" width="4.6640625" style="80" customWidth="1"/>
    <col min="6" max="7" width="16.6640625" style="80" customWidth="1"/>
    <col min="8" max="8" width="9.33203125" style="80" bestFit="1" customWidth="1"/>
    <col min="9" max="9" width="4.6640625" style="80" customWidth="1"/>
    <col min="10" max="10" width="18.6640625" style="80" customWidth="1"/>
    <col min="11" max="11" width="18" style="80" bestFit="1" customWidth="1"/>
    <col min="12" max="12" width="9.33203125" style="80" bestFit="1" customWidth="1"/>
    <col min="13" max="13" width="11.44140625" style="80"/>
    <col min="14" max="15" width="17.33203125" style="80" bestFit="1" customWidth="1"/>
    <col min="16" max="16384" width="11.44140625" style="80"/>
  </cols>
  <sheetData>
    <row r="1" spans="1:13" ht="20.399999999999999" x14ac:dyDescent="0.35">
      <c r="A1" s="79" t="s">
        <v>77</v>
      </c>
      <c r="B1" s="73" t="s">
        <v>52</v>
      </c>
      <c r="C1" s="74"/>
      <c r="D1" s="74"/>
      <c r="E1" s="74"/>
      <c r="F1" s="74"/>
      <c r="G1" s="74"/>
      <c r="H1" s="74"/>
      <c r="I1" s="74"/>
      <c r="J1" s="74"/>
      <c r="K1" s="74"/>
      <c r="L1" s="74"/>
      <c r="M1" s="74"/>
    </row>
    <row r="2" spans="1:13" ht="20.399999999999999" x14ac:dyDescent="0.35">
      <c r="A2" s="79" t="s">
        <v>103</v>
      </c>
      <c r="B2" s="73"/>
      <c r="C2" s="74"/>
      <c r="D2" s="74"/>
      <c r="E2" s="74"/>
      <c r="F2" s="74"/>
      <c r="G2" s="74"/>
      <c r="H2" s="74"/>
      <c r="I2" s="74"/>
      <c r="J2" s="74"/>
      <c r="K2" s="74"/>
      <c r="L2" s="74"/>
      <c r="M2" s="74"/>
    </row>
    <row r="3" spans="1:13" ht="18" x14ac:dyDescent="0.35">
      <c r="A3" s="75" t="s">
        <v>104</v>
      </c>
      <c r="B3" s="74"/>
      <c r="C3" s="74"/>
      <c r="D3" s="74"/>
      <c r="E3" s="74"/>
      <c r="F3" s="74"/>
      <c r="G3" s="74"/>
      <c r="H3" s="74"/>
      <c r="I3" s="74"/>
      <c r="J3" s="74"/>
      <c r="K3" s="74"/>
      <c r="L3" s="74"/>
      <c r="M3" s="74"/>
    </row>
    <row r="4" spans="1:13" ht="18" x14ac:dyDescent="0.35">
      <c r="A4" s="81" t="s">
        <v>360</v>
      </c>
      <c r="B4" s="101"/>
      <c r="C4" s="117"/>
      <c r="D4" s="118"/>
      <c r="E4" s="111"/>
      <c r="F4" s="82"/>
      <c r="G4" s="83"/>
      <c r="H4" s="84"/>
      <c r="I4" s="111"/>
      <c r="J4" s="82"/>
      <c r="K4" s="83"/>
      <c r="L4" s="84"/>
      <c r="M4" s="74"/>
    </row>
    <row r="5" spans="1:13" ht="18" x14ac:dyDescent="0.35">
      <c r="A5" s="119"/>
      <c r="B5" s="940" t="s">
        <v>0</v>
      </c>
      <c r="C5" s="941"/>
      <c r="D5" s="942"/>
      <c r="E5" s="88"/>
      <c r="F5" s="940" t="s">
        <v>1</v>
      </c>
      <c r="G5" s="941"/>
      <c r="H5" s="942"/>
      <c r="I5" s="120"/>
      <c r="J5" s="940" t="s">
        <v>105</v>
      </c>
      <c r="K5" s="941"/>
      <c r="L5" s="942"/>
      <c r="M5" s="74"/>
    </row>
    <row r="6" spans="1:13" ht="18" x14ac:dyDescent="0.35">
      <c r="A6" s="121"/>
      <c r="B6" s="122"/>
      <c r="C6" s="123"/>
      <c r="D6" s="93" t="s">
        <v>106</v>
      </c>
      <c r="E6" s="99"/>
      <c r="F6" s="122"/>
      <c r="G6" s="123"/>
      <c r="H6" s="93" t="s">
        <v>106</v>
      </c>
      <c r="I6" s="124"/>
      <c r="J6" s="122"/>
      <c r="K6" s="123"/>
      <c r="L6" s="93" t="s">
        <v>106</v>
      </c>
      <c r="M6" s="74"/>
    </row>
    <row r="7" spans="1:13" ht="18" x14ac:dyDescent="0.35">
      <c r="A7" s="125" t="s">
        <v>107</v>
      </c>
      <c r="B7" s="126">
        <v>2020</v>
      </c>
      <c r="C7" s="183">
        <v>2021</v>
      </c>
      <c r="D7" s="98" t="s">
        <v>83</v>
      </c>
      <c r="E7" s="99"/>
      <c r="F7" s="96">
        <v>2020</v>
      </c>
      <c r="G7" s="126">
        <v>2021</v>
      </c>
      <c r="H7" s="98" t="s">
        <v>83</v>
      </c>
      <c r="I7" s="127"/>
      <c r="J7" s="182">
        <v>2020</v>
      </c>
      <c r="K7" s="183">
        <v>2021</v>
      </c>
      <c r="L7" s="98" t="s">
        <v>83</v>
      </c>
      <c r="M7" s="74"/>
    </row>
    <row r="8" spans="1:13" ht="20.399999999999999" x14ac:dyDescent="0.35">
      <c r="A8" s="190" t="s">
        <v>108</v>
      </c>
      <c r="B8" s="230"/>
      <c r="C8" s="199"/>
      <c r="D8" s="199"/>
      <c r="E8" s="180"/>
      <c r="F8" s="199"/>
      <c r="G8" s="199"/>
      <c r="H8" s="199"/>
      <c r="I8" s="200"/>
      <c r="J8" s="199"/>
      <c r="K8" s="199"/>
      <c r="L8" s="199"/>
      <c r="M8" s="74"/>
    </row>
    <row r="9" spans="1:13" ht="18" x14ac:dyDescent="0.35">
      <c r="A9" s="191" t="s">
        <v>109</v>
      </c>
      <c r="B9" s="103">
        <f>'Skjema total MA'!B7</f>
        <v>4754287.8764549326</v>
      </c>
      <c r="C9" s="103">
        <f>'Skjema total MA'!C7</f>
        <v>4921399.6243089605</v>
      </c>
      <c r="D9" s="231">
        <f>IF(B9=0, "    ---- ", IF(ABS(ROUND(100/B9*C9-100,1))&lt;999,ROUND(100/B9*C9-100,1),IF(ROUND(100/B9*C9-100,1)&gt;999,999,-999)))</f>
        <v>3.5</v>
      </c>
      <c r="E9" s="180"/>
      <c r="F9" s="194">
        <f>'Skjema total MA'!E7</f>
        <v>10300600.243620001</v>
      </c>
      <c r="G9" s="194">
        <f>'Skjema total MA'!F7</f>
        <v>14737501.114489999</v>
      </c>
      <c r="H9" s="231">
        <f>IF(F9=0, "    ---- ", IF(ABS(ROUND(100/F9*G9-100,1))&lt;999,ROUND(100/F9*G9-100,1),IF(ROUND(100/F9*G9-100,1)&gt;999,999,-999)))</f>
        <v>43.1</v>
      </c>
      <c r="I9" s="180"/>
      <c r="J9" s="194">
        <f t="shared" ref="J9:K60" si="0">SUM(B9+F9)</f>
        <v>15054888.120074933</v>
      </c>
      <c r="K9" s="194">
        <f t="shared" si="0"/>
        <v>19658900.738798961</v>
      </c>
      <c r="L9" s="229">
        <f>IF(J9=0, "    ---- ", IF(ABS(ROUND(100/J9*K9-100,1))&lt;999,ROUND(100/J9*K9-100,1),IF(ROUND(100/J9*K9-100,1)&gt;999,999,-999)))</f>
        <v>30.6</v>
      </c>
      <c r="M9" s="74"/>
    </row>
    <row r="10" spans="1:13" ht="18" x14ac:dyDescent="0.35">
      <c r="A10" s="191" t="s">
        <v>110</v>
      </c>
      <c r="B10" s="103">
        <f>'Skjema total MA'!B22</f>
        <v>1774136.4186500001</v>
      </c>
      <c r="C10" s="103">
        <f>'Skjema total MA'!C22</f>
        <v>1931431.0115700001</v>
      </c>
      <c r="D10" s="231">
        <f t="shared" ref="D10:D17" si="1">IF(B10=0, "    ---- ", IF(ABS(ROUND(100/B10*C10-100,1))&lt;999,ROUND(100/B10*C10-100,1),IF(ROUND(100/B10*C10-100,1)&gt;999,999,-999)))</f>
        <v>8.9</v>
      </c>
      <c r="E10" s="180"/>
      <c r="F10" s="194">
        <f>'Skjema total MA'!E22</f>
        <v>1487806.4715799999</v>
      </c>
      <c r="G10" s="194">
        <f>'Skjema total MA'!F22</f>
        <v>1715884.02777</v>
      </c>
      <c r="H10" s="231">
        <f t="shared" ref="H10:H57" si="2">IF(F10=0, "    ---- ", IF(ABS(ROUND(100/F10*G10-100,1))&lt;999,ROUND(100/F10*G10-100,1),IF(ROUND(100/F10*G10-100,1)&gt;999,999,-999)))</f>
        <v>15.3</v>
      </c>
      <c r="I10" s="180"/>
      <c r="J10" s="194">
        <f t="shared" si="0"/>
        <v>3261942.89023</v>
      </c>
      <c r="K10" s="194">
        <f t="shared" si="0"/>
        <v>3647315.0393400001</v>
      </c>
      <c r="L10" s="229">
        <f t="shared" ref="L10:L60" si="3">IF(J10=0, "    ---- ", IF(ABS(ROUND(100/J10*K10-100,1))&lt;999,ROUND(100/J10*K10-100,1),IF(ROUND(100/J10*K10-100,1)&gt;999,999,-999)))</f>
        <v>11.8</v>
      </c>
      <c r="M10" s="74"/>
    </row>
    <row r="11" spans="1:13" ht="18" x14ac:dyDescent="0.35">
      <c r="A11" s="191" t="s">
        <v>111</v>
      </c>
      <c r="B11" s="103">
        <f>'Skjema total MA'!B47</f>
        <v>4777075.9113196395</v>
      </c>
      <c r="C11" s="103">
        <f>'Skjema total MA'!C47</f>
        <v>5094004.6205929341</v>
      </c>
      <c r="D11" s="231">
        <f t="shared" si="1"/>
        <v>6.6</v>
      </c>
      <c r="E11" s="180"/>
      <c r="F11" s="194"/>
      <c r="G11" s="194"/>
      <c r="H11" s="231"/>
      <c r="I11" s="180"/>
      <c r="J11" s="194">
        <f t="shared" si="0"/>
        <v>4777075.9113196395</v>
      </c>
      <c r="K11" s="194">
        <f t="shared" si="0"/>
        <v>5094004.6205929341</v>
      </c>
      <c r="L11" s="229">
        <f t="shared" si="3"/>
        <v>6.6</v>
      </c>
      <c r="M11" s="74"/>
    </row>
    <row r="12" spans="1:13" ht="18" x14ac:dyDescent="0.35">
      <c r="A12" s="191" t="s">
        <v>112</v>
      </c>
      <c r="B12" s="103">
        <f>'Skjema total MA'!B66</f>
        <v>7426995.2183599994</v>
      </c>
      <c r="C12" s="103">
        <f>'Skjema total MA'!C66</f>
        <v>7601221.4551599994</v>
      </c>
      <c r="D12" s="231">
        <f t="shared" si="1"/>
        <v>2.2999999999999998</v>
      </c>
      <c r="E12" s="180"/>
      <c r="F12" s="194">
        <f>'Skjema total MA'!E66</f>
        <v>35012148.002570003</v>
      </c>
      <c r="G12" s="194">
        <f>'Skjema total MA'!F66</f>
        <v>38178258.521789998</v>
      </c>
      <c r="H12" s="231">
        <f t="shared" si="2"/>
        <v>9</v>
      </c>
      <c r="I12" s="180"/>
      <c r="J12" s="194">
        <f t="shared" si="0"/>
        <v>42439143.220930003</v>
      </c>
      <c r="K12" s="194">
        <f t="shared" si="0"/>
        <v>45779479.976949997</v>
      </c>
      <c r="L12" s="229">
        <f t="shared" si="3"/>
        <v>7.9</v>
      </c>
      <c r="M12" s="74"/>
    </row>
    <row r="13" spans="1:13" ht="18" x14ac:dyDescent="0.35">
      <c r="A13" s="191" t="s">
        <v>113</v>
      </c>
      <c r="B13" s="103">
        <f>'Skjema total MA'!B68</f>
        <v>123280.45339000001</v>
      </c>
      <c r="C13" s="103">
        <f>'Skjema total MA'!C68</f>
        <v>45700.668400000002</v>
      </c>
      <c r="D13" s="231">
        <f t="shared" si="1"/>
        <v>-62.9</v>
      </c>
      <c r="E13" s="180"/>
      <c r="F13" s="194">
        <f>'Skjema total MA'!E68</f>
        <v>33633161.564300001</v>
      </c>
      <c r="G13" s="194">
        <f>'Skjema total MA'!F68</f>
        <v>36662264.570779994</v>
      </c>
      <c r="H13" s="231">
        <f t="shared" si="2"/>
        <v>9</v>
      </c>
      <c r="I13" s="180"/>
      <c r="J13" s="194">
        <f t="shared" si="0"/>
        <v>33756442.017690003</v>
      </c>
      <c r="K13" s="194">
        <f t="shared" si="0"/>
        <v>36707965.239179991</v>
      </c>
      <c r="L13" s="229">
        <f t="shared" si="3"/>
        <v>8.6999999999999993</v>
      </c>
      <c r="M13" s="74"/>
    </row>
    <row r="14" spans="1:13" s="132" customFormat="1" ht="18" x14ac:dyDescent="0.35">
      <c r="A14" s="192" t="s">
        <v>114</v>
      </c>
      <c r="B14" s="130">
        <f>'Skjema total MA'!B75</f>
        <v>451485.31695000001</v>
      </c>
      <c r="C14" s="130">
        <f>'Skjema total MA'!C75</f>
        <v>532842.79666999995</v>
      </c>
      <c r="D14" s="231">
        <f t="shared" si="1"/>
        <v>18</v>
      </c>
      <c r="E14" s="181"/>
      <c r="F14" s="195">
        <f>'Skjema total MA'!E75</f>
        <v>1378986.4382699998</v>
      </c>
      <c r="G14" s="195">
        <f>'Skjema total MA'!F75</f>
        <v>1515993.95101</v>
      </c>
      <c r="H14" s="231">
        <f t="shared" si="2"/>
        <v>9.9</v>
      </c>
      <c r="I14" s="181"/>
      <c r="J14" s="194">
        <f t="shared" si="0"/>
        <v>1830471.7552199997</v>
      </c>
      <c r="K14" s="194">
        <f t="shared" si="0"/>
        <v>2048836.74768</v>
      </c>
      <c r="L14" s="229">
        <f t="shared" si="3"/>
        <v>11.9</v>
      </c>
      <c r="M14" s="131"/>
    </row>
    <row r="15" spans="1:13" ht="20.399999999999999" x14ac:dyDescent="0.35">
      <c r="A15" s="191" t="s">
        <v>351</v>
      </c>
      <c r="B15" s="103">
        <f>'Skjema total MA'!B134</f>
        <v>38438729.1369</v>
      </c>
      <c r="C15" s="103">
        <f>'Skjema total MA'!C134</f>
        <v>58360698.621179998</v>
      </c>
      <c r="D15" s="231">
        <f t="shared" si="1"/>
        <v>51.8</v>
      </c>
      <c r="E15" s="180"/>
      <c r="F15" s="194">
        <f>'Skjema total MA'!E134</f>
        <v>74308.707999999999</v>
      </c>
      <c r="G15" s="194">
        <f>'Skjema total MA'!F134</f>
        <v>135009.071</v>
      </c>
      <c r="H15" s="231">
        <f t="shared" si="2"/>
        <v>81.7</v>
      </c>
      <c r="I15" s="180"/>
      <c r="J15" s="194">
        <f t="shared" si="0"/>
        <v>38513037.844899997</v>
      </c>
      <c r="K15" s="194">
        <f t="shared" si="0"/>
        <v>58495707.69218</v>
      </c>
      <c r="L15" s="229">
        <f t="shared" si="3"/>
        <v>51.9</v>
      </c>
      <c r="M15" s="74"/>
    </row>
    <row r="16" spans="1:13" ht="18" x14ac:dyDescent="0.35">
      <c r="A16" s="191" t="s">
        <v>115</v>
      </c>
      <c r="B16" s="103">
        <f>'Skjema total MA'!B36</f>
        <v>11513.33</v>
      </c>
      <c r="C16" s="103">
        <f>'Skjema total MA'!C36</f>
        <v>9151.0755000000008</v>
      </c>
      <c r="D16" s="231">
        <f t="shared" si="1"/>
        <v>-20.5</v>
      </c>
      <c r="E16" s="180"/>
      <c r="F16" s="194">
        <f>'Skjema total MA'!E36</f>
        <v>0</v>
      </c>
      <c r="G16" s="194">
        <f>'Skjema total MA'!F36</f>
        <v>0</v>
      </c>
      <c r="H16" s="231"/>
      <c r="I16" s="180"/>
      <c r="J16" s="194">
        <f t="shared" si="0"/>
        <v>11513.33</v>
      </c>
      <c r="K16" s="194">
        <f t="shared" si="0"/>
        <v>9151.0755000000008</v>
      </c>
      <c r="L16" s="229">
        <f t="shared" si="3"/>
        <v>-20.5</v>
      </c>
      <c r="M16" s="74"/>
    </row>
    <row r="17" spans="1:23" s="134" customFormat="1" ht="18.75" customHeight="1" x14ac:dyDescent="0.35">
      <c r="A17" s="136" t="s">
        <v>116</v>
      </c>
      <c r="B17" s="109">
        <f>'Tabel 1.1'!B34</f>
        <v>57182737.891684577</v>
      </c>
      <c r="C17" s="196">
        <f>'Tabel 1.1'!C34</f>
        <v>77917906.408311874</v>
      </c>
      <c r="D17" s="231">
        <f t="shared" si="1"/>
        <v>36.299999999999997</v>
      </c>
      <c r="E17" s="137"/>
      <c r="F17" s="196">
        <f>'Tabel 1.1'!B47</f>
        <v>46874863.42577</v>
      </c>
      <c r="G17" s="196">
        <f>'Tabel 1.1'!C47</f>
        <v>54766652.73505</v>
      </c>
      <c r="H17" s="231">
        <f t="shared" si="2"/>
        <v>16.8</v>
      </c>
      <c r="I17" s="137"/>
      <c r="J17" s="196">
        <f t="shared" si="0"/>
        <v>104057601.31745458</v>
      </c>
      <c r="K17" s="196">
        <f t="shared" si="0"/>
        <v>132684559.14336187</v>
      </c>
      <c r="L17" s="229">
        <f t="shared" si="3"/>
        <v>27.5</v>
      </c>
      <c r="M17" s="75"/>
      <c r="N17" s="133"/>
      <c r="O17" s="133"/>
      <c r="Q17" s="135"/>
      <c r="R17" s="135"/>
      <c r="S17" s="135"/>
      <c r="T17" s="135"/>
      <c r="U17" s="135"/>
      <c r="V17" s="135"/>
      <c r="W17" s="135"/>
    </row>
    <row r="18" spans="1:23" ht="18.75" customHeight="1" x14ac:dyDescent="0.35">
      <c r="A18" s="136"/>
      <c r="B18" s="103"/>
      <c r="C18" s="194"/>
      <c r="D18" s="194"/>
      <c r="E18" s="180"/>
      <c r="F18" s="194"/>
      <c r="G18" s="194"/>
      <c r="H18" s="231"/>
      <c r="I18" s="180"/>
      <c r="J18" s="194"/>
      <c r="K18" s="194"/>
      <c r="L18" s="229"/>
      <c r="M18" s="74"/>
    </row>
    <row r="19" spans="1:23" ht="18.75" customHeight="1" x14ac:dyDescent="0.35">
      <c r="A19" s="190" t="s">
        <v>352</v>
      </c>
      <c r="B19" s="198"/>
      <c r="C19" s="201"/>
      <c r="D19" s="194"/>
      <c r="E19" s="180"/>
      <c r="F19" s="201"/>
      <c r="G19" s="201"/>
      <c r="H19" s="231"/>
      <c r="I19" s="180"/>
      <c r="J19" s="194"/>
      <c r="K19" s="194"/>
      <c r="L19" s="229"/>
      <c r="M19" s="74"/>
    </row>
    <row r="20" spans="1:23" ht="18.75" customHeight="1" x14ac:dyDescent="0.35">
      <c r="A20" s="191" t="s">
        <v>109</v>
      </c>
      <c r="B20" s="103">
        <f>'Skjema total MA'!B10</f>
        <v>19728456.856805526</v>
      </c>
      <c r="C20" s="103">
        <f>'Skjema total MA'!C10</f>
        <v>18862715.228700001</v>
      </c>
      <c r="D20" s="231">
        <f>IF(B20=0, "    ---- ", IF(ABS(ROUND(100/B20*C20-100,1))&lt;999,ROUND(100/B20*C20-100,1),IF(ROUND(100/B20*C20-100,1)&gt;999,999,-999)))</f>
        <v>-4.4000000000000004</v>
      </c>
      <c r="E20" s="180"/>
      <c r="F20" s="194">
        <f>'Skjema total MA'!E10</f>
        <v>60691386.425099999</v>
      </c>
      <c r="G20" s="194">
        <f>'Skjema total MA'!F10</f>
        <v>77324438.96676001</v>
      </c>
      <c r="H20" s="231">
        <f t="shared" si="2"/>
        <v>27.4</v>
      </c>
      <c r="I20" s="180"/>
      <c r="J20" s="194">
        <f t="shared" si="0"/>
        <v>80419843.281905532</v>
      </c>
      <c r="K20" s="194">
        <f t="shared" si="0"/>
        <v>96187154.195460007</v>
      </c>
      <c r="L20" s="229">
        <f t="shared" si="3"/>
        <v>19.600000000000001</v>
      </c>
      <c r="M20" s="74"/>
    </row>
    <row r="21" spans="1:23" ht="18.75" customHeight="1" x14ac:dyDescent="0.35">
      <c r="A21" s="191" t="s">
        <v>110</v>
      </c>
      <c r="B21" s="103">
        <f>'Skjema total MA'!B29</f>
        <v>45749749.547602929</v>
      </c>
      <c r="C21" s="103">
        <f>'Skjema total MA'!C29</f>
        <v>45317230.929219998</v>
      </c>
      <c r="D21" s="231">
        <f t="shared" ref="D21:D27" si="4">IF(B21=0, "    ---- ", IF(ABS(ROUND(100/B21*C21-100,1))&lt;999,ROUND(100/B21*C21-100,1),IF(ROUND(100/B21*C21-100,1)&gt;999,999,-999)))</f>
        <v>-0.9</v>
      </c>
      <c r="E21" s="180"/>
      <c r="F21" s="194">
        <f>'Skjema total MA'!E29</f>
        <v>24538391.578740001</v>
      </c>
      <c r="G21" s="194">
        <f>'Skjema total MA'!F29</f>
        <v>26735503.8587</v>
      </c>
      <c r="H21" s="231">
        <f t="shared" si="2"/>
        <v>9</v>
      </c>
      <c r="I21" s="180"/>
      <c r="J21" s="194">
        <f t="shared" si="0"/>
        <v>70288141.126342922</v>
      </c>
      <c r="K21" s="194">
        <f t="shared" si="0"/>
        <v>72052734.787919998</v>
      </c>
      <c r="L21" s="229">
        <f t="shared" si="3"/>
        <v>2.5</v>
      </c>
      <c r="M21" s="74"/>
    </row>
    <row r="22" spans="1:23" ht="18" x14ac:dyDescent="0.35">
      <c r="A22" s="191" t="s">
        <v>112</v>
      </c>
      <c r="B22" s="103">
        <f>'Skjema total MA'!B87</f>
        <v>395207470.63050002</v>
      </c>
      <c r="C22" s="103">
        <f>'Skjema total MA'!C87</f>
        <v>404437490.50348002</v>
      </c>
      <c r="D22" s="231">
        <f t="shared" si="4"/>
        <v>2.2999999999999998</v>
      </c>
      <c r="E22" s="180"/>
      <c r="F22" s="194">
        <f>'Skjema total MA'!E87</f>
        <v>372803555.49048001</v>
      </c>
      <c r="G22" s="194">
        <f>'Skjema total MA'!F87</f>
        <v>449882436.57108998</v>
      </c>
      <c r="H22" s="231">
        <f t="shared" si="2"/>
        <v>20.7</v>
      </c>
      <c r="I22" s="180"/>
      <c r="J22" s="194">
        <f t="shared" si="0"/>
        <v>768011026.12098002</v>
      </c>
      <c r="K22" s="194">
        <f t="shared" si="0"/>
        <v>854319927.07456994</v>
      </c>
      <c r="L22" s="229">
        <f t="shared" si="3"/>
        <v>11.2</v>
      </c>
      <c r="M22" s="74"/>
    </row>
    <row r="23" spans="1:23" ht="20.399999999999999" x14ac:dyDescent="0.35">
      <c r="A23" s="191" t="s">
        <v>117</v>
      </c>
      <c r="B23" s="103">
        <f>'Skjema total MA'!B89</f>
        <v>3052182.9967</v>
      </c>
      <c r="C23" s="103">
        <f>'Skjema total MA'!C89</f>
        <v>3168532.6383400001</v>
      </c>
      <c r="D23" s="231">
        <f t="shared" si="4"/>
        <v>3.8</v>
      </c>
      <c r="E23" s="180"/>
      <c r="F23" s="194">
        <f>'Skjema total MA'!E89</f>
        <v>369671484.44926</v>
      </c>
      <c r="G23" s="194">
        <f>'Skjema total MA'!F89</f>
        <v>445034746.03806996</v>
      </c>
      <c r="H23" s="231">
        <f t="shared" si="2"/>
        <v>20.399999999999999</v>
      </c>
      <c r="I23" s="180"/>
      <c r="J23" s="194">
        <f t="shared" si="0"/>
        <v>372723667.44595999</v>
      </c>
      <c r="K23" s="194">
        <f t="shared" si="0"/>
        <v>448203278.67640996</v>
      </c>
      <c r="L23" s="229">
        <f t="shared" si="3"/>
        <v>20.3</v>
      </c>
      <c r="M23" s="74"/>
    </row>
    <row r="24" spans="1:23" ht="18" x14ac:dyDescent="0.35">
      <c r="A24" s="192" t="s">
        <v>114</v>
      </c>
      <c r="B24" s="103">
        <f>'Skjema total MA'!B96</f>
        <v>1999308.8924400001</v>
      </c>
      <c r="C24" s="103">
        <f>'Skjema total MA'!C96</f>
        <v>2858183.9760099999</v>
      </c>
      <c r="D24" s="231">
        <f t="shared" si="4"/>
        <v>43</v>
      </c>
      <c r="E24" s="180"/>
      <c r="F24" s="194">
        <f>'Skjema total MA'!E96</f>
        <v>3132071.04122</v>
      </c>
      <c r="G24" s="194">
        <f>'Skjema total MA'!F96</f>
        <v>4847690.53302</v>
      </c>
      <c r="H24" s="231">
        <f t="shared" si="2"/>
        <v>54.8</v>
      </c>
      <c r="I24" s="180"/>
      <c r="J24" s="194">
        <f t="shared" si="0"/>
        <v>5131379.9336600006</v>
      </c>
      <c r="K24" s="194">
        <f t="shared" si="0"/>
        <v>7705874.5090299994</v>
      </c>
      <c r="L24" s="229">
        <f t="shared" si="3"/>
        <v>50.2</v>
      </c>
      <c r="M24" s="74"/>
    </row>
    <row r="25" spans="1:23" ht="20.399999999999999" x14ac:dyDescent="0.35">
      <c r="A25" s="191" t="s">
        <v>351</v>
      </c>
      <c r="B25" s="103">
        <f>'Skjema total MA'!B135</f>
        <v>622962989.91374993</v>
      </c>
      <c r="C25" s="103">
        <f>'Skjema total MA'!C135</f>
        <v>688221513.67905998</v>
      </c>
      <c r="D25" s="231">
        <f t="shared" si="4"/>
        <v>10.5</v>
      </c>
      <c r="E25" s="180"/>
      <c r="F25" s="194">
        <f>'Skjema total MA'!E135</f>
        <v>2013752.24184</v>
      </c>
      <c r="G25" s="194">
        <f>'Skjema total MA'!F135</f>
        <v>2234333.4679299998</v>
      </c>
      <c r="H25" s="231">
        <f t="shared" si="2"/>
        <v>11</v>
      </c>
      <c r="I25" s="180"/>
      <c r="J25" s="194">
        <f t="shared" si="0"/>
        <v>624976742.15558994</v>
      </c>
      <c r="K25" s="194">
        <f t="shared" si="0"/>
        <v>690455847.14698994</v>
      </c>
      <c r="L25" s="229">
        <f t="shared" si="3"/>
        <v>10.5</v>
      </c>
      <c r="M25" s="74"/>
    </row>
    <row r="26" spans="1:23" ht="18" x14ac:dyDescent="0.35">
      <c r="A26" s="191" t="s">
        <v>115</v>
      </c>
      <c r="B26" s="103">
        <f>'Skjema total MA'!B37</f>
        <v>3331026.7708399999</v>
      </c>
      <c r="C26" s="103">
        <f>'Skjema total MA'!C37</f>
        <v>3149867.6430000002</v>
      </c>
      <c r="D26" s="231">
        <f t="shared" si="4"/>
        <v>-5.4</v>
      </c>
      <c r="E26" s="180"/>
      <c r="F26" s="194">
        <f>'Skjema total MA'!E37</f>
        <v>0</v>
      </c>
      <c r="G26" s="194">
        <f>'Skjema total MA'!F37</f>
        <v>0</v>
      </c>
      <c r="H26" s="231"/>
      <c r="I26" s="180"/>
      <c r="J26" s="194">
        <f t="shared" si="0"/>
        <v>3331026.7708399999</v>
      </c>
      <c r="K26" s="194">
        <f t="shared" si="0"/>
        <v>3149867.6430000002</v>
      </c>
      <c r="L26" s="229">
        <f t="shared" si="3"/>
        <v>-5.4</v>
      </c>
      <c r="M26" s="74"/>
    </row>
    <row r="27" spans="1:23" s="134" customFormat="1" ht="18" x14ac:dyDescent="0.35">
      <c r="A27" s="136" t="s">
        <v>118</v>
      </c>
      <c r="B27" s="109">
        <f>'Tabel 1.1'!G34</f>
        <v>1086979693.7194984</v>
      </c>
      <c r="C27" s="196">
        <f>'Tabel 1.1'!H34</f>
        <v>1159988817.9834599</v>
      </c>
      <c r="D27" s="231">
        <f t="shared" si="4"/>
        <v>6.7</v>
      </c>
      <c r="E27" s="137"/>
      <c r="F27" s="196">
        <f>'Tabel 1.1'!G47</f>
        <v>460047085.73616004</v>
      </c>
      <c r="G27" s="196">
        <f>'Tabel 1.1'!H47</f>
        <v>556176712.86448002</v>
      </c>
      <c r="H27" s="231">
        <f t="shared" si="2"/>
        <v>20.9</v>
      </c>
      <c r="I27" s="137"/>
      <c r="J27" s="196">
        <f t="shared" si="0"/>
        <v>1547026779.4556584</v>
      </c>
      <c r="K27" s="196">
        <f t="shared" si="0"/>
        <v>1716165530.84794</v>
      </c>
      <c r="L27" s="229">
        <f t="shared" si="3"/>
        <v>10.9</v>
      </c>
      <c r="M27" s="75"/>
      <c r="N27" s="133"/>
      <c r="O27" s="133"/>
    </row>
    <row r="28" spans="1:23" ht="18" x14ac:dyDescent="0.35">
      <c r="A28" s="136"/>
      <c r="B28" s="103"/>
      <c r="C28" s="194"/>
      <c r="D28" s="231"/>
      <c r="E28" s="180"/>
      <c r="F28" s="194"/>
      <c r="G28" s="194"/>
      <c r="H28" s="231"/>
      <c r="I28" s="180"/>
      <c r="J28" s="194">
        <f t="shared" si="0"/>
        <v>0</v>
      </c>
      <c r="K28" s="194">
        <f t="shared" si="0"/>
        <v>0</v>
      </c>
      <c r="L28" s="229"/>
      <c r="M28" s="74"/>
    </row>
    <row r="29" spans="1:23" ht="20.399999999999999" x14ac:dyDescent="0.35">
      <c r="A29" s="190" t="s">
        <v>353</v>
      </c>
      <c r="B29" s="198"/>
      <c r="C29" s="201"/>
      <c r="D29" s="194"/>
      <c r="E29" s="180"/>
      <c r="F29" s="194"/>
      <c r="G29" s="194"/>
      <c r="H29" s="231"/>
      <c r="I29" s="180"/>
      <c r="J29" s="194"/>
      <c r="K29" s="194"/>
      <c r="L29" s="229"/>
      <c r="M29" s="74"/>
    </row>
    <row r="30" spans="1:23" ht="18" x14ac:dyDescent="0.35">
      <c r="A30" s="191" t="s">
        <v>109</v>
      </c>
      <c r="B30" s="103">
        <f>'Skjema total MA'!B11</f>
        <v>40437.802000000003</v>
      </c>
      <c r="C30" s="103">
        <f>'Skjema total MA'!C11</f>
        <v>94145.505999999994</v>
      </c>
      <c r="D30" s="231">
        <f>IF(B30=0, "    ---- ", IF(ABS(ROUND(100/B30*C30-100,1))&lt;999,ROUND(100/B30*C30-100,1),IF(ROUND(100/B30*C30-100,1)&gt;999,999,-999)))</f>
        <v>132.80000000000001</v>
      </c>
      <c r="E30" s="180"/>
      <c r="F30" s="194">
        <f>'Skjema total MA'!E11</f>
        <v>342412.44925999996</v>
      </c>
      <c r="G30" s="194">
        <f>'Skjema total MA'!F11</f>
        <v>669873.11148999992</v>
      </c>
      <c r="H30" s="231">
        <f t="shared" si="2"/>
        <v>95.6</v>
      </c>
      <c r="I30" s="180"/>
      <c r="J30" s="194">
        <f t="shared" si="0"/>
        <v>382850.25125999999</v>
      </c>
      <c r="K30" s="194">
        <f t="shared" si="0"/>
        <v>764018.61748999986</v>
      </c>
      <c r="L30" s="229">
        <f t="shared" si="3"/>
        <v>99.6</v>
      </c>
      <c r="M30" s="74"/>
    </row>
    <row r="31" spans="1:23" ht="18" x14ac:dyDescent="0.35">
      <c r="A31" s="191" t="s">
        <v>110</v>
      </c>
      <c r="B31" s="103">
        <f>'Skjema total MA'!B34</f>
        <v>27837.177009999999</v>
      </c>
      <c r="C31" s="103">
        <f>'Skjema total MA'!C34</f>
        <v>20997.924149999999</v>
      </c>
      <c r="D31" s="231">
        <f t="shared" ref="D31:D38" si="5">IF(B31=0, "    ---- ", IF(ABS(ROUND(100/B31*C31-100,1))&lt;999,ROUND(100/B31*C31-100,1),IF(ROUND(100/B31*C31-100,1)&gt;999,999,-999)))</f>
        <v>-24.6</v>
      </c>
      <c r="E31" s="180"/>
      <c r="F31" s="194">
        <f>'Skjema total MA'!E34</f>
        <v>180952.49515999999</v>
      </c>
      <c r="G31" s="194">
        <f>'Skjema total MA'!F34</f>
        <v>25375.105090000001</v>
      </c>
      <c r="H31" s="231">
        <f t="shared" si="2"/>
        <v>-86</v>
      </c>
      <c r="I31" s="180"/>
      <c r="J31" s="194">
        <f t="shared" si="0"/>
        <v>208789.67216999998</v>
      </c>
      <c r="K31" s="194">
        <f t="shared" si="0"/>
        <v>46373.029240000003</v>
      </c>
      <c r="L31" s="229">
        <f t="shared" si="3"/>
        <v>-77.8</v>
      </c>
      <c r="M31" s="74"/>
    </row>
    <row r="32" spans="1:23" ht="18" x14ac:dyDescent="0.35">
      <c r="A32" s="191" t="s">
        <v>112</v>
      </c>
      <c r="B32" s="103">
        <f>'Skjema total MA'!B111</f>
        <v>921726.4257100001</v>
      </c>
      <c r="C32" s="103">
        <f>'Skjema total MA'!C111</f>
        <v>567894.66876000003</v>
      </c>
      <c r="D32" s="231">
        <f t="shared" si="5"/>
        <v>-38.4</v>
      </c>
      <c r="E32" s="180"/>
      <c r="F32" s="194">
        <f>'Skjema total MA'!E111</f>
        <v>22207414.858020004</v>
      </c>
      <c r="G32" s="194">
        <f>'Skjema total MA'!F111</f>
        <v>84204706.359149992</v>
      </c>
      <c r="H32" s="231">
        <f t="shared" si="2"/>
        <v>279.2</v>
      </c>
      <c r="I32" s="180"/>
      <c r="J32" s="194">
        <f t="shared" si="0"/>
        <v>23129141.283730004</v>
      </c>
      <c r="K32" s="194">
        <f t="shared" si="0"/>
        <v>84772601.027909994</v>
      </c>
      <c r="L32" s="229">
        <f t="shared" si="3"/>
        <v>266.5</v>
      </c>
      <c r="M32" s="74"/>
    </row>
    <row r="33" spans="1:15" ht="20.399999999999999" x14ac:dyDescent="0.35">
      <c r="A33" s="191" t="s">
        <v>351</v>
      </c>
      <c r="B33" s="103">
        <f>'Skjema total MA'!B136</f>
        <v>3720403.8620000002</v>
      </c>
      <c r="C33" s="103">
        <f>'Skjema total MA'!C136</f>
        <v>6847377.0180000002</v>
      </c>
      <c r="D33" s="231">
        <f t="shared" si="5"/>
        <v>84</v>
      </c>
      <c r="E33" s="180"/>
      <c r="F33" s="194">
        <f>'Skjema total MA'!E136</f>
        <v>-507465.17200000002</v>
      </c>
      <c r="G33" s="194">
        <f>'Skjema total MA'!F136</f>
        <v>0</v>
      </c>
      <c r="H33" s="231">
        <f t="shared" si="2"/>
        <v>-100</v>
      </c>
      <c r="I33" s="180"/>
      <c r="J33" s="194">
        <f t="shared" si="0"/>
        <v>3212938.6900000004</v>
      </c>
      <c r="K33" s="194">
        <f t="shared" si="0"/>
        <v>6847377.0180000002</v>
      </c>
      <c r="L33" s="229">
        <f t="shared" si="3"/>
        <v>113.1</v>
      </c>
      <c r="M33" s="74"/>
    </row>
    <row r="34" spans="1:15" ht="18" x14ac:dyDescent="0.35">
      <c r="A34" s="191" t="s">
        <v>115</v>
      </c>
      <c r="B34" s="103">
        <f>'Skjema total MA'!B38</f>
        <v>0</v>
      </c>
      <c r="C34" s="103">
        <f>'Skjema total MA'!C38</f>
        <v>0</v>
      </c>
      <c r="D34" s="231"/>
      <c r="E34" s="180"/>
      <c r="F34" s="194">
        <f>'Skjema total MA'!E38</f>
        <v>0</v>
      </c>
      <c r="G34" s="194">
        <f>'Skjema total MA'!F38</f>
        <v>0</v>
      </c>
      <c r="H34" s="231"/>
      <c r="I34" s="180"/>
      <c r="J34" s="194">
        <f t="shared" si="0"/>
        <v>0</v>
      </c>
      <c r="K34" s="194">
        <f t="shared" si="0"/>
        <v>0</v>
      </c>
      <c r="L34" s="229"/>
      <c r="M34" s="74"/>
    </row>
    <row r="35" spans="1:15" s="134" customFormat="1" ht="18" x14ac:dyDescent="0.35">
      <c r="A35" s="136" t="s">
        <v>119</v>
      </c>
      <c r="B35" s="109">
        <f>SUM(B30:B34)</f>
        <v>4710405.2667200007</v>
      </c>
      <c r="C35" s="196">
        <f>SUM(C30:C34)</f>
        <v>7530415.1169100003</v>
      </c>
      <c r="D35" s="231">
        <f t="shared" si="5"/>
        <v>59.9</v>
      </c>
      <c r="E35" s="137"/>
      <c r="F35" s="196">
        <f>SUM(F30:F34)</f>
        <v>22223314.630440004</v>
      </c>
      <c r="G35" s="196">
        <f>SUM(G30:G34)</f>
        <v>84899954.575729996</v>
      </c>
      <c r="H35" s="231">
        <f t="shared" si="2"/>
        <v>282</v>
      </c>
      <c r="I35" s="137"/>
      <c r="J35" s="196">
        <f t="shared" si="0"/>
        <v>26933719.897160005</v>
      </c>
      <c r="K35" s="196">
        <f t="shared" si="0"/>
        <v>92430369.692639992</v>
      </c>
      <c r="L35" s="229">
        <f t="shared" si="3"/>
        <v>243.2</v>
      </c>
      <c r="M35" s="75"/>
    </row>
    <row r="36" spans="1:15" ht="18" x14ac:dyDescent="0.35">
      <c r="A36" s="136"/>
      <c r="B36" s="109"/>
      <c r="C36" s="196"/>
      <c r="D36" s="231"/>
      <c r="E36" s="137"/>
      <c r="F36" s="196"/>
      <c r="G36" s="196"/>
      <c r="H36" s="231"/>
      <c r="I36" s="137"/>
      <c r="J36" s="194"/>
      <c r="K36" s="194"/>
      <c r="L36" s="229"/>
      <c r="M36" s="74"/>
    </row>
    <row r="37" spans="1:15" ht="20.399999999999999" x14ac:dyDescent="0.35">
      <c r="A37" s="136" t="s">
        <v>354</v>
      </c>
      <c r="B37" s="109"/>
      <c r="C37" s="196"/>
      <c r="D37" s="194"/>
      <c r="E37" s="137"/>
      <c r="F37" s="196"/>
      <c r="G37" s="196"/>
      <c r="H37" s="231"/>
      <c r="I37" s="137"/>
      <c r="J37" s="194"/>
      <c r="K37" s="194"/>
      <c r="L37" s="229"/>
      <c r="M37" s="74"/>
    </row>
    <row r="38" spans="1:15" s="134" customFormat="1" ht="18" x14ac:dyDescent="0.35">
      <c r="A38" s="136" t="s">
        <v>111</v>
      </c>
      <c r="B38" s="109">
        <f>'Skjema total MA'!B53</f>
        <v>163646.02387602179</v>
      </c>
      <c r="C38" s="109">
        <f>'Skjema total MA'!C53</f>
        <v>273474.08687602181</v>
      </c>
      <c r="D38" s="231">
        <f t="shared" si="5"/>
        <v>67.099999999999994</v>
      </c>
      <c r="E38" s="137"/>
      <c r="F38" s="196"/>
      <c r="G38" s="196"/>
      <c r="H38" s="231"/>
      <c r="I38" s="137"/>
      <c r="J38" s="196">
        <f t="shared" si="0"/>
        <v>163646.02387602179</v>
      </c>
      <c r="K38" s="196">
        <f t="shared" si="0"/>
        <v>273474.08687602181</v>
      </c>
      <c r="L38" s="229">
        <f t="shared" si="3"/>
        <v>67.099999999999994</v>
      </c>
      <c r="M38" s="75"/>
    </row>
    <row r="39" spans="1:15" ht="18" x14ac:dyDescent="0.35">
      <c r="A39" s="136"/>
      <c r="B39" s="109"/>
      <c r="C39" s="196"/>
      <c r="D39" s="194"/>
      <c r="E39" s="137"/>
      <c r="F39" s="196"/>
      <c r="G39" s="196"/>
      <c r="H39" s="231"/>
      <c r="I39" s="137"/>
      <c r="J39" s="194"/>
      <c r="K39" s="194"/>
      <c r="L39" s="229"/>
      <c r="M39" s="74"/>
    </row>
    <row r="40" spans="1:15" ht="20.399999999999999" x14ac:dyDescent="0.35">
      <c r="A40" s="190" t="s">
        <v>355</v>
      </c>
      <c r="B40" s="198"/>
      <c r="C40" s="201"/>
      <c r="D40" s="194"/>
      <c r="E40" s="180"/>
      <c r="F40" s="194"/>
      <c r="G40" s="194"/>
      <c r="H40" s="231"/>
      <c r="I40" s="180"/>
      <c r="J40" s="194"/>
      <c r="K40" s="194"/>
      <c r="L40" s="229"/>
      <c r="M40" s="74"/>
    </row>
    <row r="41" spans="1:15" ht="18" x14ac:dyDescent="0.35">
      <c r="A41" s="191" t="s">
        <v>109</v>
      </c>
      <c r="B41" s="103">
        <f>'Skjema total MA'!B12</f>
        <v>2832</v>
      </c>
      <c r="C41" s="103">
        <f>'Skjema total MA'!C12</f>
        <v>7169</v>
      </c>
      <c r="D41" s="231">
        <f t="shared" ref="D41:D46" si="6">IF(B41=0, "    ---- ", IF(ABS(ROUND(100/B41*C41-100,1))&lt;999,ROUND(100/B41*C41-100,1),IF(ROUND(100/B41*C41-100,1)&gt;999,999,-999)))</f>
        <v>153.1</v>
      </c>
      <c r="E41" s="180"/>
      <c r="F41" s="194">
        <f>'Skjema total MA'!E12</f>
        <v>246030.4742</v>
      </c>
      <c r="G41" s="194">
        <f>'Skjema total MA'!F12</f>
        <v>178844.17853999999</v>
      </c>
      <c r="H41" s="231">
        <f t="shared" si="2"/>
        <v>-27.3</v>
      </c>
      <c r="I41" s="180"/>
      <c r="J41" s="194">
        <f t="shared" si="0"/>
        <v>248862.4742</v>
      </c>
      <c r="K41" s="194">
        <f t="shared" si="0"/>
        <v>186013.17853999999</v>
      </c>
      <c r="L41" s="229">
        <f t="shared" si="3"/>
        <v>-25.3</v>
      </c>
      <c r="M41" s="74"/>
    </row>
    <row r="42" spans="1:15" ht="18" x14ac:dyDescent="0.35">
      <c r="A42" s="191" t="s">
        <v>110</v>
      </c>
      <c r="B42" s="103">
        <f>'Skjema total MA'!B35</f>
        <v>-123894.02335999999</v>
      </c>
      <c r="C42" s="103">
        <f>'Skjema total MA'!C35</f>
        <v>-82723.308430000005</v>
      </c>
      <c r="D42" s="231">
        <f t="shared" si="6"/>
        <v>-33.200000000000003</v>
      </c>
      <c r="E42" s="180"/>
      <c r="F42" s="194">
        <f>'Skjema total MA'!E35</f>
        <v>166221.30631000001</v>
      </c>
      <c r="G42" s="194">
        <f>'Skjema total MA'!F35</f>
        <v>165794.57243999999</v>
      </c>
      <c r="H42" s="231">
        <f t="shared" si="2"/>
        <v>-0.3</v>
      </c>
      <c r="I42" s="180"/>
      <c r="J42" s="194">
        <f t="shared" si="0"/>
        <v>42327.282950000023</v>
      </c>
      <c r="K42" s="194">
        <f t="shared" si="0"/>
        <v>83071.264009999984</v>
      </c>
      <c r="L42" s="229">
        <f t="shared" si="3"/>
        <v>96.3</v>
      </c>
      <c r="M42" s="74"/>
    </row>
    <row r="43" spans="1:15" ht="18" x14ac:dyDescent="0.35">
      <c r="A43" s="191" t="s">
        <v>112</v>
      </c>
      <c r="B43" s="103">
        <f>'Skjema total MA'!B119</f>
        <v>851674.05171999987</v>
      </c>
      <c r="C43" s="103">
        <f>'Skjema total MA'!C119</f>
        <v>523329.71695000003</v>
      </c>
      <c r="D43" s="231">
        <f t="shared" si="6"/>
        <v>-38.6</v>
      </c>
      <c r="E43" s="180"/>
      <c r="F43" s="194">
        <f>'Skjema total MA'!E119</f>
        <v>22437527.66683</v>
      </c>
      <c r="G43" s="194">
        <f>'Skjema total MA'!F119</f>
        <v>91246912.412879989</v>
      </c>
      <c r="H43" s="231">
        <f t="shared" si="2"/>
        <v>306.7</v>
      </c>
      <c r="I43" s="180"/>
      <c r="J43" s="194">
        <f t="shared" si="0"/>
        <v>23289201.71855</v>
      </c>
      <c r="K43" s="194">
        <f t="shared" si="0"/>
        <v>91770242.129829988</v>
      </c>
      <c r="L43" s="229">
        <f t="shared" si="3"/>
        <v>294</v>
      </c>
      <c r="M43" s="74"/>
    </row>
    <row r="44" spans="1:15" ht="20.399999999999999" x14ac:dyDescent="0.35">
      <c r="A44" s="191" t="s">
        <v>351</v>
      </c>
      <c r="B44" s="103">
        <f>'Skjema total MA'!B137</f>
        <v>7696593.8039999995</v>
      </c>
      <c r="C44" s="103">
        <f>'Skjema total MA'!C137</f>
        <v>8346122.3590000002</v>
      </c>
      <c r="D44" s="231">
        <f t="shared" si="6"/>
        <v>8.4</v>
      </c>
      <c r="E44" s="180"/>
      <c r="F44" s="194">
        <f>'Skjema total MA'!E137</f>
        <v>0</v>
      </c>
      <c r="G44" s="194">
        <f>'Skjema total MA'!F137</f>
        <v>0</v>
      </c>
      <c r="H44" s="231"/>
      <c r="I44" s="180"/>
      <c r="J44" s="194">
        <f t="shared" si="0"/>
        <v>7696593.8039999995</v>
      </c>
      <c r="K44" s="194">
        <f t="shared" si="0"/>
        <v>8346122.3590000002</v>
      </c>
      <c r="L44" s="229">
        <f t="shared" si="3"/>
        <v>8.4</v>
      </c>
      <c r="M44" s="74"/>
    </row>
    <row r="45" spans="1:15" ht="18" x14ac:dyDescent="0.35">
      <c r="A45" s="191" t="s">
        <v>115</v>
      </c>
      <c r="B45" s="103">
        <f>'Skjema total MA'!B39</f>
        <v>19</v>
      </c>
      <c r="C45" s="103">
        <f>'Skjema total MA'!C39</f>
        <v>5</v>
      </c>
      <c r="D45" s="231">
        <f t="shared" si="6"/>
        <v>-73.7</v>
      </c>
      <c r="E45" s="180"/>
      <c r="F45" s="194"/>
      <c r="G45" s="194"/>
      <c r="H45" s="231"/>
      <c r="I45" s="180"/>
      <c r="J45" s="194">
        <f t="shared" si="0"/>
        <v>19</v>
      </c>
      <c r="K45" s="194">
        <f t="shared" si="0"/>
        <v>5</v>
      </c>
      <c r="L45" s="229">
        <f t="shared" si="3"/>
        <v>-73.7</v>
      </c>
      <c r="M45" s="74"/>
    </row>
    <row r="46" spans="1:15" s="134" customFormat="1" ht="18" x14ac:dyDescent="0.35">
      <c r="A46" s="136" t="s">
        <v>120</v>
      </c>
      <c r="B46" s="109">
        <f>SUM(B41:B45)</f>
        <v>8427224.8323599994</v>
      </c>
      <c r="C46" s="196">
        <f>SUM(C41:C45)</f>
        <v>8793902.7675199993</v>
      </c>
      <c r="D46" s="231">
        <f t="shared" si="6"/>
        <v>4.4000000000000004</v>
      </c>
      <c r="E46" s="137"/>
      <c r="F46" s="196">
        <f>SUM(F41:F45)</f>
        <v>22849779.44734</v>
      </c>
      <c r="G46" s="270">
        <f>SUM(G41:G45)</f>
        <v>91591551.163859993</v>
      </c>
      <c r="H46" s="231">
        <f t="shared" si="2"/>
        <v>300.8</v>
      </c>
      <c r="I46" s="137"/>
      <c r="J46" s="196">
        <f t="shared" si="0"/>
        <v>31277004.2797</v>
      </c>
      <c r="K46" s="196">
        <f t="shared" si="0"/>
        <v>100385453.93137999</v>
      </c>
      <c r="L46" s="229">
        <f t="shared" si="3"/>
        <v>221</v>
      </c>
      <c r="M46" s="75"/>
      <c r="N46" s="133"/>
      <c r="O46" s="133"/>
    </row>
    <row r="47" spans="1:15" ht="18" x14ac:dyDescent="0.35">
      <c r="A47" s="136"/>
      <c r="B47" s="109"/>
      <c r="C47" s="196"/>
      <c r="D47" s="194"/>
      <c r="E47" s="137"/>
      <c r="F47" s="196"/>
      <c r="G47" s="196"/>
      <c r="H47" s="231"/>
      <c r="I47" s="137"/>
      <c r="J47" s="194"/>
      <c r="K47" s="194"/>
      <c r="L47" s="229"/>
      <c r="M47" s="74"/>
    </row>
    <row r="48" spans="1:15" ht="20.399999999999999" x14ac:dyDescent="0.35">
      <c r="A48" s="136" t="s">
        <v>356</v>
      </c>
      <c r="B48" s="109"/>
      <c r="C48" s="196"/>
      <c r="D48" s="194"/>
      <c r="E48" s="137"/>
      <c r="F48" s="196"/>
      <c r="G48" s="196"/>
      <c r="H48" s="231"/>
      <c r="I48" s="137"/>
      <c r="J48" s="194"/>
      <c r="K48" s="194"/>
      <c r="L48" s="229"/>
      <c r="M48" s="74"/>
    </row>
    <row r="49" spans="1:15" s="134" customFormat="1" ht="18" x14ac:dyDescent="0.35">
      <c r="A49" s="136" t="s">
        <v>111</v>
      </c>
      <c r="B49" s="109">
        <f>'Skjema total MA'!B56</f>
        <v>126883.65</v>
      </c>
      <c r="C49" s="109">
        <f>'Skjema total MA'!C56</f>
        <v>357127.69000000006</v>
      </c>
      <c r="D49" s="231">
        <f>IF(B49=0, "    ---- ", IF(ABS(ROUND(100/B49*C49-100,1))&lt;999,ROUND(100/B49*C49-100,1),IF(ROUND(100/B49*C49-100,1)&gt;999,999,-999)))</f>
        <v>181.5</v>
      </c>
      <c r="E49" s="137"/>
      <c r="F49" s="196"/>
      <c r="G49" s="196"/>
      <c r="H49" s="231"/>
      <c r="I49" s="137"/>
      <c r="J49" s="196">
        <f>SUM(B49+F49)</f>
        <v>126883.65</v>
      </c>
      <c r="K49" s="196">
        <f>SUM(C49+G49)</f>
        <v>357127.69000000006</v>
      </c>
      <c r="L49" s="229">
        <f t="shared" si="3"/>
        <v>181.5</v>
      </c>
      <c r="M49" s="75"/>
    </row>
    <row r="50" spans="1:15" ht="18" x14ac:dyDescent="0.35">
      <c r="A50" s="136"/>
      <c r="B50" s="103"/>
      <c r="C50" s="194"/>
      <c r="D50" s="194"/>
      <c r="E50" s="180"/>
      <c r="F50" s="194"/>
      <c r="G50" s="194"/>
      <c r="H50" s="231"/>
      <c r="I50" s="180"/>
      <c r="J50" s="194"/>
      <c r="K50" s="194"/>
      <c r="L50" s="229"/>
      <c r="M50" s="74"/>
    </row>
    <row r="51" spans="1:15" ht="21" x14ac:dyDescent="0.35">
      <c r="A51" s="190" t="s">
        <v>357</v>
      </c>
      <c r="B51" s="103"/>
      <c r="C51" s="194"/>
      <c r="D51" s="194"/>
      <c r="E51" s="180"/>
      <c r="F51" s="194"/>
      <c r="G51" s="194"/>
      <c r="H51" s="231"/>
      <c r="I51" s="180"/>
      <c r="J51" s="194"/>
      <c r="K51" s="194"/>
      <c r="L51" s="229"/>
      <c r="M51" s="74"/>
    </row>
    <row r="52" spans="1:15" ht="18" x14ac:dyDescent="0.35">
      <c r="A52" s="191" t="s">
        <v>109</v>
      </c>
      <c r="B52" s="103">
        <f>B30-B41</f>
        <v>37605.802000000003</v>
      </c>
      <c r="C52" s="194">
        <f>C30-C41</f>
        <v>86976.505999999994</v>
      </c>
      <c r="D52" s="231">
        <f>IF(B52=0, "    ---- ", IF(ABS(ROUND(100/B52*C52-100,1))&lt;999,ROUND(100/B52*C52-100,1),IF(ROUND(100/B52*C52-100,1)&gt;999,999,-999)))</f>
        <v>131.30000000000001</v>
      </c>
      <c r="E52" s="180"/>
      <c r="F52" s="194">
        <f>F30-F41</f>
        <v>96381.975059999968</v>
      </c>
      <c r="G52" s="194">
        <f>G30-G41</f>
        <v>491028.93294999993</v>
      </c>
      <c r="H52" s="231">
        <f t="shared" si="2"/>
        <v>409.5</v>
      </c>
      <c r="I52" s="180"/>
      <c r="J52" s="194">
        <f t="shared" si="0"/>
        <v>133987.77705999996</v>
      </c>
      <c r="K52" s="194">
        <f t="shared" si="0"/>
        <v>578005.43894999987</v>
      </c>
      <c r="L52" s="229">
        <f t="shared" si="3"/>
        <v>331.4</v>
      </c>
      <c r="M52" s="74"/>
    </row>
    <row r="53" spans="1:15" ht="18" x14ac:dyDescent="0.35">
      <c r="A53" s="191" t="s">
        <v>110</v>
      </c>
      <c r="B53" s="103">
        <f t="shared" ref="B53:C56" si="7">B31-B42</f>
        <v>151731.20036999998</v>
      </c>
      <c r="C53" s="194">
        <f t="shared" si="7"/>
        <v>103721.23258000001</v>
      </c>
      <c r="D53" s="231">
        <f t="shared" ref="D53:D60" si="8">IF(B53=0, "    ---- ", IF(ABS(ROUND(100/B53*C53-100,1))&lt;999,ROUND(100/B53*C53-100,1),IF(ROUND(100/B53*C53-100,1)&gt;999,999,-999)))</f>
        <v>-31.6</v>
      </c>
      <c r="E53" s="180"/>
      <c r="F53" s="194">
        <f t="shared" ref="F53:G56" si="9">F31-F42</f>
        <v>14731.188849999977</v>
      </c>
      <c r="G53" s="194">
        <f t="shared" si="9"/>
        <v>-140419.46734999999</v>
      </c>
      <c r="H53" s="231">
        <f t="shared" si="2"/>
        <v>-999</v>
      </c>
      <c r="I53" s="180"/>
      <c r="J53" s="194">
        <f t="shared" si="0"/>
        <v>166462.38921999995</v>
      </c>
      <c r="K53" s="194">
        <f t="shared" si="0"/>
        <v>-36698.234769999981</v>
      </c>
      <c r="L53" s="229">
        <f t="shared" si="3"/>
        <v>-122</v>
      </c>
      <c r="M53" s="74"/>
    </row>
    <row r="54" spans="1:15" ht="18" x14ac:dyDescent="0.35">
      <c r="A54" s="191" t="s">
        <v>112</v>
      </c>
      <c r="B54" s="103">
        <f t="shared" si="7"/>
        <v>70052.373990000226</v>
      </c>
      <c r="C54" s="194">
        <f t="shared" si="7"/>
        <v>44564.951809999999</v>
      </c>
      <c r="D54" s="231">
        <f t="shared" si="8"/>
        <v>-36.4</v>
      </c>
      <c r="E54" s="180"/>
      <c r="F54" s="194">
        <f t="shared" si="9"/>
        <v>-230112.80880999565</v>
      </c>
      <c r="G54" s="194">
        <f t="shared" si="9"/>
        <v>-7042206.0537299961</v>
      </c>
      <c r="H54" s="231">
        <f t="shared" si="2"/>
        <v>999</v>
      </c>
      <c r="I54" s="180"/>
      <c r="J54" s="194">
        <f t="shared" si="0"/>
        <v>-160060.43481999543</v>
      </c>
      <c r="K54" s="194">
        <f t="shared" si="0"/>
        <v>-6997641.1019199956</v>
      </c>
      <c r="L54" s="229">
        <f t="shared" si="3"/>
        <v>999</v>
      </c>
      <c r="M54" s="74"/>
    </row>
    <row r="55" spans="1:15" ht="20.399999999999999" x14ac:dyDescent="0.35">
      <c r="A55" s="191" t="s">
        <v>351</v>
      </c>
      <c r="B55" s="103">
        <f t="shared" si="7"/>
        <v>-3976189.9419999993</v>
      </c>
      <c r="C55" s="194">
        <f t="shared" si="7"/>
        <v>-1498745.341</v>
      </c>
      <c r="D55" s="231">
        <f t="shared" si="8"/>
        <v>-62.3</v>
      </c>
      <c r="E55" s="180"/>
      <c r="F55" s="194">
        <f t="shared" si="9"/>
        <v>-507465.17200000002</v>
      </c>
      <c r="G55" s="194">
        <f t="shared" si="9"/>
        <v>0</v>
      </c>
      <c r="H55" s="231">
        <f t="shared" si="2"/>
        <v>-100</v>
      </c>
      <c r="I55" s="180"/>
      <c r="J55" s="194">
        <f t="shared" si="0"/>
        <v>-4483655.1139999991</v>
      </c>
      <c r="K55" s="194">
        <f t="shared" si="0"/>
        <v>-1498745.341</v>
      </c>
      <c r="L55" s="229">
        <f t="shared" si="3"/>
        <v>-66.599999999999994</v>
      </c>
      <c r="M55" s="74"/>
    </row>
    <row r="56" spans="1:15" ht="18" x14ac:dyDescent="0.35">
      <c r="A56" s="191" t="s">
        <v>115</v>
      </c>
      <c r="B56" s="103">
        <f t="shared" si="7"/>
        <v>-19</v>
      </c>
      <c r="C56" s="194">
        <f t="shared" si="7"/>
        <v>-5</v>
      </c>
      <c r="D56" s="231">
        <f t="shared" si="8"/>
        <v>-73.7</v>
      </c>
      <c r="E56" s="180"/>
      <c r="F56" s="194">
        <f t="shared" si="9"/>
        <v>0</v>
      </c>
      <c r="G56" s="194">
        <f t="shared" si="9"/>
        <v>0</v>
      </c>
      <c r="H56" s="231"/>
      <c r="I56" s="180"/>
      <c r="J56" s="194">
        <f t="shared" si="0"/>
        <v>-19</v>
      </c>
      <c r="K56" s="194">
        <f t="shared" si="0"/>
        <v>-5</v>
      </c>
      <c r="L56" s="229">
        <f t="shared" si="3"/>
        <v>-73.7</v>
      </c>
      <c r="M56" s="74"/>
    </row>
    <row r="57" spans="1:15" s="134" customFormat="1" ht="18" x14ac:dyDescent="0.35">
      <c r="A57" s="136" t="s">
        <v>121</v>
      </c>
      <c r="B57" s="109">
        <f>SUM(B52:B56)</f>
        <v>-3716819.5656399992</v>
      </c>
      <c r="C57" s="196">
        <f>SUM(C52:C56)</f>
        <v>-1263487.6506099999</v>
      </c>
      <c r="D57" s="231">
        <f>IF(B57=0, "    ---- ", IF(ABS(ROUND(100/B57*C57-100,1))&lt;999,ROUND(100/B57*C57-100,1),IF(ROUND(100/B57*C57-100,1)&gt;999,999,-999)))</f>
        <v>-66</v>
      </c>
      <c r="E57" s="137"/>
      <c r="F57" s="196">
        <f>SUM(F52:F56)</f>
        <v>-626464.81689999579</v>
      </c>
      <c r="G57" s="270">
        <f>SUM(G52:G56)</f>
        <v>-6691596.5881299963</v>
      </c>
      <c r="H57" s="231">
        <f t="shared" si="2"/>
        <v>968.2</v>
      </c>
      <c r="I57" s="137"/>
      <c r="J57" s="196">
        <f t="shared" si="0"/>
        <v>-4343284.382539995</v>
      </c>
      <c r="K57" s="194">
        <f t="shared" si="0"/>
        <v>-7955084.2387399962</v>
      </c>
      <c r="L57" s="229">
        <f t="shared" si="3"/>
        <v>83.2</v>
      </c>
      <c r="M57" s="75"/>
      <c r="N57" s="133"/>
      <c r="O57" s="133"/>
    </row>
    <row r="58" spans="1:15" ht="18" x14ac:dyDescent="0.35">
      <c r="A58" s="136"/>
      <c r="B58" s="109"/>
      <c r="C58" s="196"/>
      <c r="D58" s="231"/>
      <c r="E58" s="137"/>
      <c r="F58" s="196"/>
      <c r="G58" s="196"/>
      <c r="H58" s="231"/>
      <c r="I58" s="137"/>
      <c r="J58" s="196"/>
      <c r="K58" s="194"/>
      <c r="L58" s="229"/>
      <c r="M58" s="74"/>
    </row>
    <row r="59" spans="1:15" ht="20.399999999999999" x14ac:dyDescent="0.35">
      <c r="A59" s="136" t="s">
        <v>358</v>
      </c>
      <c r="B59" s="109"/>
      <c r="C59" s="196"/>
      <c r="D59" s="231"/>
      <c r="E59" s="137"/>
      <c r="F59" s="196"/>
      <c r="G59" s="196"/>
      <c r="H59" s="231"/>
      <c r="I59" s="137"/>
      <c r="J59" s="196"/>
      <c r="K59" s="194"/>
      <c r="L59" s="229"/>
      <c r="M59" s="74"/>
    </row>
    <row r="60" spans="1:15" s="134" customFormat="1" ht="18" x14ac:dyDescent="0.35">
      <c r="A60" s="136" t="s">
        <v>111</v>
      </c>
      <c r="B60" s="109">
        <f>B38-B49</f>
        <v>36762.373876021797</v>
      </c>
      <c r="C60" s="196">
        <f>C38-C49</f>
        <v>-83653.603123978246</v>
      </c>
      <c r="D60" s="231">
        <f t="shared" si="8"/>
        <v>-327.60000000000002</v>
      </c>
      <c r="E60" s="137"/>
      <c r="F60" s="196">
        <f>F38-F49</f>
        <v>0</v>
      </c>
      <c r="G60" s="196">
        <f>G38-G49</f>
        <v>0</v>
      </c>
      <c r="H60" s="231"/>
      <c r="I60" s="137"/>
      <c r="J60" s="196">
        <f t="shared" si="0"/>
        <v>36762.373876021797</v>
      </c>
      <c r="K60" s="194">
        <f t="shared" si="0"/>
        <v>-83653.603123978246</v>
      </c>
      <c r="L60" s="229">
        <f t="shared" si="3"/>
        <v>-327.60000000000002</v>
      </c>
      <c r="M60" s="75"/>
    </row>
    <row r="61" spans="1:15" s="134" customFormat="1" ht="18" x14ac:dyDescent="0.35">
      <c r="A61" s="193"/>
      <c r="B61" s="114"/>
      <c r="C61" s="197"/>
      <c r="D61" s="202"/>
      <c r="E61" s="137"/>
      <c r="F61" s="197"/>
      <c r="G61" s="197"/>
      <c r="H61" s="202"/>
      <c r="I61" s="137"/>
      <c r="J61" s="202"/>
      <c r="K61" s="202"/>
      <c r="L61" s="202"/>
      <c r="M61" s="75"/>
    </row>
    <row r="62" spans="1:15" ht="18" x14ac:dyDescent="0.35">
      <c r="A62" s="111" t="s">
        <v>122</v>
      </c>
      <c r="C62" s="138"/>
      <c r="D62" s="138"/>
      <c r="E62" s="138"/>
      <c r="F62" s="138"/>
      <c r="G62" s="111"/>
      <c r="H62" s="74"/>
      <c r="I62" s="111"/>
      <c r="J62" s="111"/>
      <c r="K62" s="111"/>
      <c r="L62" s="74"/>
      <c r="M62" s="74"/>
    </row>
    <row r="63" spans="1:15" ht="18" x14ac:dyDescent="0.35">
      <c r="A63" s="111" t="s">
        <v>123</v>
      </c>
      <c r="C63" s="138"/>
      <c r="D63" s="138"/>
      <c r="E63" s="138"/>
      <c r="F63" s="138"/>
      <c r="G63" s="74"/>
      <c r="H63" s="74"/>
      <c r="I63" s="74"/>
      <c r="J63" s="74"/>
      <c r="K63" s="74"/>
      <c r="L63" s="74"/>
      <c r="M63" s="74"/>
    </row>
    <row r="64" spans="1:15" ht="18" x14ac:dyDescent="0.35">
      <c r="A64" s="111" t="s">
        <v>102</v>
      </c>
      <c r="B64" s="74"/>
      <c r="C64" s="74"/>
      <c r="D64" s="74"/>
      <c r="E64" s="74"/>
      <c r="F64" s="74"/>
      <c r="G64" s="74"/>
      <c r="H64" s="74"/>
      <c r="I64" s="74"/>
      <c r="J64" s="74"/>
      <c r="K64" s="74"/>
      <c r="L64" s="74"/>
      <c r="M64" s="74"/>
    </row>
    <row r="65" spans="1:13" ht="18" x14ac:dyDescent="0.35">
      <c r="A65" s="74"/>
      <c r="C65" s="74"/>
      <c r="D65" s="74"/>
      <c r="E65" s="74"/>
      <c r="F65" s="74"/>
      <c r="G65" s="74"/>
      <c r="H65" s="74"/>
      <c r="I65" s="74"/>
      <c r="J65" s="74"/>
      <c r="K65" s="74"/>
      <c r="L65" s="74"/>
      <c r="M65" s="74"/>
    </row>
    <row r="66" spans="1:13" ht="18" x14ac:dyDescent="0.35">
      <c r="A66" s="74"/>
      <c r="B66" s="74"/>
      <c r="C66" s="74"/>
      <c r="D66" s="74"/>
      <c r="E66" s="74"/>
      <c r="F66" s="74"/>
      <c r="G66" s="74"/>
      <c r="H66" s="74"/>
      <c r="I66" s="74"/>
      <c r="J66" s="74"/>
      <c r="K66" s="74"/>
      <c r="L66" s="74"/>
      <c r="M66" s="74"/>
    </row>
    <row r="67" spans="1:13" ht="18" x14ac:dyDescent="0.35">
      <c r="A67" s="74"/>
      <c r="B67" s="74"/>
      <c r="C67" s="74"/>
      <c r="D67" s="74"/>
      <c r="E67" s="74"/>
      <c r="F67" s="74"/>
      <c r="G67" s="74"/>
      <c r="H67" s="74"/>
      <c r="I67" s="74"/>
      <c r="J67" s="74"/>
      <c r="K67" s="74"/>
      <c r="L67" s="74"/>
      <c r="M67" s="74"/>
    </row>
    <row r="68" spans="1:13" ht="18" x14ac:dyDescent="0.35">
      <c r="A68" s="74"/>
      <c r="B68" s="74"/>
      <c r="C68" s="74"/>
      <c r="D68" s="74"/>
      <c r="E68" s="74"/>
      <c r="F68" s="74"/>
      <c r="G68" s="74"/>
      <c r="H68" s="74"/>
      <c r="I68" s="74"/>
      <c r="J68" s="74"/>
      <c r="K68" s="74"/>
      <c r="L68" s="74"/>
      <c r="M68" s="74"/>
    </row>
    <row r="69" spans="1:13" ht="18" x14ac:dyDescent="0.35">
      <c r="A69" s="74"/>
      <c r="B69" s="74"/>
      <c r="C69" s="74"/>
      <c r="D69" s="74"/>
      <c r="E69" s="74"/>
      <c r="F69" s="74"/>
      <c r="G69" s="74"/>
      <c r="H69" s="74"/>
      <c r="I69" s="74"/>
      <c r="J69" s="74"/>
      <c r="K69" s="74"/>
      <c r="L69" s="74"/>
      <c r="M69" s="74"/>
    </row>
    <row r="70" spans="1:13" ht="18" x14ac:dyDescent="0.35">
      <c r="A70" s="74"/>
      <c r="B70" s="74"/>
      <c r="C70" s="74"/>
      <c r="D70" s="74"/>
      <c r="E70" s="74"/>
      <c r="F70" s="74"/>
      <c r="G70" s="74"/>
      <c r="H70" s="74"/>
      <c r="I70" s="74"/>
      <c r="J70" s="74"/>
      <c r="K70" s="74"/>
      <c r="L70" s="74"/>
      <c r="M70" s="74"/>
    </row>
    <row r="71" spans="1:13" ht="18" x14ac:dyDescent="0.35">
      <c r="A71" s="74"/>
      <c r="B71" s="74"/>
      <c r="C71" s="74"/>
      <c r="D71" s="74"/>
      <c r="E71" s="74"/>
      <c r="F71" s="74"/>
      <c r="G71" s="74"/>
      <c r="H71" s="74"/>
      <c r="I71" s="74"/>
      <c r="J71" s="74"/>
      <c r="K71" s="74"/>
      <c r="L71" s="74"/>
      <c r="M71" s="74"/>
    </row>
    <row r="72" spans="1:13" ht="18" x14ac:dyDescent="0.35">
      <c r="A72" s="74"/>
      <c r="B72" s="74"/>
      <c r="C72" s="74"/>
      <c r="D72" s="74"/>
      <c r="E72" s="74"/>
      <c r="F72" s="74"/>
      <c r="G72" s="74"/>
      <c r="H72" s="74"/>
      <c r="I72" s="74"/>
      <c r="J72" s="74"/>
      <c r="K72" s="74"/>
      <c r="L72" s="74"/>
      <c r="M72" s="74"/>
    </row>
    <row r="73" spans="1:13" ht="18" x14ac:dyDescent="0.35">
      <c r="A73" s="74"/>
      <c r="B73" s="74"/>
      <c r="C73" s="74"/>
      <c r="D73" s="74"/>
      <c r="E73" s="74"/>
      <c r="F73" s="74"/>
      <c r="G73" s="74"/>
      <c r="H73" s="74"/>
      <c r="I73" s="74"/>
      <c r="J73" s="74"/>
      <c r="K73" s="74"/>
      <c r="L73" s="74"/>
      <c r="M73" s="74"/>
    </row>
    <row r="74" spans="1:13" ht="18" x14ac:dyDescent="0.35">
      <c r="A74" s="74"/>
      <c r="B74" s="74"/>
      <c r="C74" s="74"/>
      <c r="D74" s="74"/>
      <c r="E74" s="74"/>
      <c r="F74" s="74"/>
      <c r="G74" s="74"/>
      <c r="H74" s="74"/>
      <c r="I74" s="74"/>
      <c r="J74" s="74"/>
      <c r="K74" s="74"/>
      <c r="L74" s="74"/>
      <c r="M74" s="74"/>
    </row>
    <row r="75" spans="1:13" ht="18" x14ac:dyDescent="0.35">
      <c r="A75" s="74"/>
      <c r="B75" s="74"/>
      <c r="C75" s="74"/>
      <c r="D75" s="74"/>
      <c r="E75" s="74"/>
      <c r="F75" s="74"/>
      <c r="G75" s="74"/>
      <c r="H75" s="74"/>
      <c r="I75" s="74"/>
      <c r="J75" s="74"/>
      <c r="K75" s="74"/>
      <c r="L75" s="74"/>
      <c r="M75" s="74"/>
    </row>
    <row r="76" spans="1:13" ht="18" x14ac:dyDescent="0.35">
      <c r="A76" s="74"/>
      <c r="B76" s="74"/>
      <c r="C76" s="74"/>
      <c r="D76" s="74"/>
      <c r="E76" s="74"/>
      <c r="F76" s="74"/>
      <c r="G76" s="74"/>
      <c r="H76" s="74"/>
      <c r="I76" s="74"/>
      <c r="J76" s="74"/>
      <c r="K76" s="74"/>
      <c r="L76" s="74"/>
      <c r="M76" s="74"/>
    </row>
    <row r="77" spans="1:13" ht="18" x14ac:dyDescent="0.35">
      <c r="A77" s="74"/>
      <c r="B77" s="74"/>
      <c r="C77" s="74"/>
      <c r="D77" s="74"/>
      <c r="E77" s="74"/>
      <c r="F77" s="74"/>
      <c r="G77" s="74"/>
      <c r="H77" s="74"/>
      <c r="I77" s="74"/>
      <c r="J77" s="74"/>
      <c r="K77" s="74"/>
      <c r="L77" s="74"/>
      <c r="M77" s="74"/>
    </row>
    <row r="78" spans="1:13" ht="18" x14ac:dyDescent="0.35">
      <c r="A78" s="74"/>
      <c r="B78" s="74"/>
      <c r="C78" s="74"/>
      <c r="D78" s="74"/>
      <c r="E78" s="74"/>
      <c r="F78" s="74"/>
      <c r="G78" s="74"/>
      <c r="H78" s="74"/>
      <c r="I78" s="74"/>
      <c r="J78" s="74"/>
      <c r="K78" s="74"/>
      <c r="L78" s="74"/>
      <c r="M78" s="74"/>
    </row>
    <row r="79" spans="1:13" ht="18" x14ac:dyDescent="0.35">
      <c r="A79" s="74"/>
      <c r="B79" s="74"/>
      <c r="C79" s="74"/>
      <c r="D79" s="74"/>
      <c r="E79" s="74"/>
      <c r="F79" s="74"/>
      <c r="G79" s="74"/>
      <c r="H79" s="74"/>
      <c r="I79" s="74"/>
      <c r="J79" s="74"/>
      <c r="K79" s="74"/>
      <c r="L79" s="74"/>
      <c r="M79" s="74"/>
    </row>
    <row r="80" spans="1:13" ht="18" x14ac:dyDescent="0.35">
      <c r="A80" s="74"/>
      <c r="B80" s="74"/>
      <c r="C80" s="74"/>
      <c r="D80" s="74"/>
      <c r="E80" s="74"/>
      <c r="F80" s="74"/>
      <c r="G80" s="74"/>
      <c r="H80" s="74"/>
      <c r="I80" s="74"/>
      <c r="J80" s="74"/>
      <c r="K80" s="74"/>
      <c r="L80" s="74"/>
      <c r="M80" s="74"/>
    </row>
    <row r="81" spans="1:13" ht="18" x14ac:dyDescent="0.35">
      <c r="A81" s="74"/>
      <c r="B81" s="74"/>
      <c r="C81" s="74"/>
      <c r="D81" s="74"/>
      <c r="E81" s="74"/>
      <c r="F81" s="74"/>
      <c r="G81" s="74"/>
      <c r="H81" s="74"/>
      <c r="I81" s="74"/>
      <c r="J81" s="74"/>
      <c r="K81" s="74"/>
      <c r="L81" s="74"/>
      <c r="M81" s="74"/>
    </row>
    <row r="82" spans="1:13" ht="18" x14ac:dyDescent="0.35">
      <c r="A82" s="74"/>
      <c r="B82" s="74"/>
      <c r="C82" s="74"/>
      <c r="D82" s="74"/>
      <c r="E82" s="74"/>
      <c r="F82" s="74"/>
      <c r="G82" s="74"/>
      <c r="H82" s="74"/>
      <c r="I82" s="74"/>
      <c r="J82" s="74"/>
      <c r="K82" s="74"/>
      <c r="L82" s="74"/>
      <c r="M82" s="74"/>
    </row>
    <row r="83" spans="1:13" ht="18" x14ac:dyDescent="0.35">
      <c r="A83" s="74"/>
      <c r="B83" s="74"/>
      <c r="C83" s="74"/>
      <c r="D83" s="74"/>
      <c r="E83" s="74"/>
      <c r="F83" s="74"/>
      <c r="G83" s="74"/>
      <c r="H83" s="74"/>
      <c r="I83" s="74"/>
      <c r="J83" s="74"/>
      <c r="K83" s="74"/>
      <c r="L83" s="74"/>
      <c r="M83" s="74"/>
    </row>
    <row r="84" spans="1:13" ht="18" x14ac:dyDescent="0.35">
      <c r="A84" s="74"/>
      <c r="B84" s="74"/>
      <c r="C84" s="74"/>
      <c r="D84" s="74"/>
      <c r="E84" s="74"/>
      <c r="F84" s="74"/>
      <c r="G84" s="74"/>
      <c r="H84" s="74"/>
      <c r="I84" s="74"/>
      <c r="J84" s="74"/>
      <c r="K84" s="74"/>
      <c r="L84" s="74"/>
      <c r="M84" s="74"/>
    </row>
    <row r="85" spans="1:13" ht="18" x14ac:dyDescent="0.35">
      <c r="A85" s="74"/>
      <c r="B85" s="74"/>
      <c r="C85" s="74"/>
      <c r="D85" s="74"/>
      <c r="E85" s="74"/>
      <c r="F85" s="74"/>
      <c r="G85" s="74"/>
      <c r="H85" s="74"/>
      <c r="I85" s="74"/>
      <c r="J85" s="74"/>
      <c r="K85" s="74"/>
      <c r="L85" s="74"/>
      <c r="M85" s="74"/>
    </row>
    <row r="86" spans="1:13" ht="18" x14ac:dyDescent="0.35">
      <c r="A86" s="74"/>
      <c r="B86" s="74"/>
      <c r="C86" s="74"/>
      <c r="D86" s="74"/>
      <c r="E86" s="74"/>
      <c r="F86" s="74"/>
      <c r="G86" s="74"/>
      <c r="H86" s="74"/>
      <c r="I86" s="74"/>
      <c r="J86" s="74"/>
      <c r="K86" s="74"/>
      <c r="L86" s="74"/>
      <c r="M86" s="74"/>
    </row>
    <row r="87" spans="1:13" ht="18" x14ac:dyDescent="0.35">
      <c r="A87" s="74"/>
      <c r="B87" s="74"/>
      <c r="C87" s="74"/>
      <c r="D87" s="74"/>
      <c r="E87" s="74"/>
      <c r="F87" s="74"/>
      <c r="G87" s="74"/>
      <c r="H87" s="74"/>
      <c r="I87" s="74"/>
      <c r="J87" s="74"/>
      <c r="K87" s="74"/>
      <c r="L87" s="74"/>
      <c r="M87" s="74"/>
    </row>
    <row r="88" spans="1:13" ht="18" x14ac:dyDescent="0.35">
      <c r="A88" s="74"/>
      <c r="B88" s="74"/>
      <c r="C88" s="74"/>
      <c r="D88" s="74"/>
      <c r="E88" s="74"/>
      <c r="F88" s="74"/>
      <c r="G88" s="74"/>
      <c r="H88" s="74"/>
      <c r="I88" s="74"/>
      <c r="J88" s="74"/>
      <c r="K88" s="74"/>
      <c r="L88" s="74"/>
      <c r="M88" s="74"/>
    </row>
    <row r="89" spans="1:13" ht="18" x14ac:dyDescent="0.35">
      <c r="A89" s="74"/>
      <c r="B89" s="74"/>
      <c r="C89" s="74"/>
      <c r="D89" s="74"/>
      <c r="E89" s="74"/>
      <c r="F89" s="74"/>
      <c r="G89" s="74"/>
      <c r="H89" s="74"/>
      <c r="I89" s="74"/>
      <c r="J89" s="74"/>
      <c r="K89" s="74"/>
      <c r="L89" s="74"/>
      <c r="M89" s="74"/>
    </row>
    <row r="90" spans="1:13" ht="18" x14ac:dyDescent="0.35">
      <c r="A90" s="74"/>
      <c r="B90" s="74"/>
      <c r="C90" s="74"/>
      <c r="D90" s="74"/>
      <c r="E90" s="74"/>
      <c r="F90" s="74"/>
      <c r="G90" s="74"/>
      <c r="H90" s="74"/>
      <c r="I90" s="74"/>
      <c r="J90" s="74"/>
      <c r="K90" s="74"/>
      <c r="L90" s="74"/>
      <c r="M90" s="74"/>
    </row>
    <row r="91" spans="1:13" ht="18" x14ac:dyDescent="0.35">
      <c r="A91" s="74"/>
      <c r="B91" s="74"/>
      <c r="C91" s="74"/>
      <c r="D91" s="74"/>
      <c r="E91" s="74"/>
      <c r="F91" s="74"/>
      <c r="G91" s="74"/>
      <c r="H91" s="74"/>
      <c r="I91" s="74"/>
      <c r="J91" s="74"/>
      <c r="K91" s="74"/>
      <c r="L91" s="74"/>
      <c r="M91" s="74"/>
    </row>
    <row r="92" spans="1:13" ht="18" x14ac:dyDescent="0.35">
      <c r="A92" s="74"/>
      <c r="B92" s="74"/>
      <c r="C92" s="74"/>
      <c r="D92" s="74"/>
      <c r="E92" s="74"/>
      <c r="F92" s="74"/>
      <c r="G92" s="74"/>
      <c r="H92" s="74"/>
      <c r="I92" s="74"/>
      <c r="J92" s="74"/>
      <c r="K92" s="74"/>
      <c r="L92" s="74"/>
      <c r="M92" s="74"/>
    </row>
    <row r="93" spans="1:13" ht="18" x14ac:dyDescent="0.35">
      <c r="A93" s="74"/>
      <c r="B93" s="74"/>
      <c r="C93" s="74"/>
      <c r="D93" s="74"/>
      <c r="E93" s="74"/>
      <c r="F93" s="74"/>
      <c r="G93" s="74"/>
      <c r="H93" s="74"/>
      <c r="I93" s="74"/>
      <c r="J93" s="74"/>
      <c r="K93" s="74"/>
      <c r="L93" s="74"/>
      <c r="M93" s="74"/>
    </row>
    <row r="94" spans="1:13" ht="18" x14ac:dyDescent="0.35">
      <c r="A94" s="74"/>
      <c r="B94" s="74"/>
      <c r="C94" s="74"/>
      <c r="D94" s="74"/>
      <c r="E94" s="74"/>
      <c r="F94" s="74"/>
      <c r="G94" s="74"/>
      <c r="H94" s="74"/>
      <c r="I94" s="74"/>
      <c r="J94" s="74"/>
      <c r="K94" s="74"/>
      <c r="L94" s="74"/>
      <c r="M94" s="74"/>
    </row>
    <row r="95" spans="1:13" ht="18" x14ac:dyDescent="0.35">
      <c r="A95" s="74"/>
      <c r="B95" s="74"/>
      <c r="C95" s="74"/>
      <c r="D95" s="74"/>
      <c r="E95" s="74"/>
      <c r="F95" s="74"/>
      <c r="G95" s="74"/>
      <c r="H95" s="74"/>
      <c r="I95" s="74"/>
      <c r="J95" s="74"/>
      <c r="K95" s="74"/>
      <c r="L95" s="74"/>
      <c r="M95" s="74"/>
    </row>
    <row r="96" spans="1:13" ht="18" x14ac:dyDescent="0.35">
      <c r="A96" s="74"/>
      <c r="B96" s="74"/>
      <c r="C96" s="74"/>
      <c r="D96" s="74"/>
      <c r="E96" s="74"/>
      <c r="F96" s="74"/>
      <c r="G96" s="74"/>
      <c r="H96" s="74"/>
      <c r="I96" s="74"/>
      <c r="J96" s="74"/>
      <c r="K96" s="74"/>
      <c r="L96" s="74"/>
      <c r="M96" s="74"/>
    </row>
    <row r="97" spans="1:13" ht="18" x14ac:dyDescent="0.35">
      <c r="A97" s="74"/>
      <c r="B97" s="74"/>
      <c r="C97" s="74"/>
      <c r="D97" s="74"/>
      <c r="E97" s="74"/>
      <c r="F97" s="74"/>
      <c r="G97" s="74"/>
      <c r="H97" s="74"/>
      <c r="I97" s="74"/>
      <c r="J97" s="74"/>
      <c r="K97" s="74"/>
      <c r="L97" s="74"/>
      <c r="M97" s="74"/>
    </row>
    <row r="98" spans="1:13" ht="18" x14ac:dyDescent="0.35">
      <c r="A98" s="74"/>
      <c r="B98" s="74"/>
      <c r="C98" s="74"/>
      <c r="D98" s="74"/>
      <c r="E98" s="74"/>
      <c r="F98" s="74"/>
      <c r="G98" s="74"/>
      <c r="H98" s="74"/>
      <c r="I98" s="74"/>
      <c r="J98" s="74"/>
      <c r="K98" s="74"/>
      <c r="L98" s="74"/>
      <c r="M98" s="74"/>
    </row>
    <row r="99" spans="1:13" ht="18" x14ac:dyDescent="0.35">
      <c r="A99" s="74"/>
      <c r="B99" s="74"/>
      <c r="C99" s="74"/>
      <c r="D99" s="74"/>
      <c r="E99" s="74"/>
      <c r="F99" s="74"/>
      <c r="G99" s="74"/>
      <c r="H99" s="74"/>
      <c r="I99" s="74"/>
      <c r="J99" s="74"/>
      <c r="K99" s="74"/>
      <c r="L99" s="74"/>
      <c r="M99" s="74"/>
    </row>
    <row r="100" spans="1:13" ht="18" x14ac:dyDescent="0.35">
      <c r="A100" s="74"/>
      <c r="B100" s="74"/>
      <c r="C100" s="74"/>
      <c r="D100" s="74"/>
      <c r="E100" s="74"/>
      <c r="F100" s="74"/>
      <c r="G100" s="74"/>
      <c r="H100" s="74"/>
      <c r="I100" s="74"/>
      <c r="J100" s="74"/>
      <c r="K100" s="74"/>
      <c r="L100" s="74"/>
      <c r="M100" s="74"/>
    </row>
    <row r="101" spans="1:13" ht="18" x14ac:dyDescent="0.35">
      <c r="A101" s="74"/>
      <c r="B101" s="74"/>
      <c r="C101" s="74"/>
      <c r="D101" s="74"/>
      <c r="E101" s="74"/>
      <c r="F101" s="74"/>
      <c r="G101" s="74"/>
      <c r="H101" s="74"/>
      <c r="I101" s="74"/>
      <c r="J101" s="74"/>
      <c r="K101" s="74"/>
      <c r="L101" s="74"/>
      <c r="M101" s="74"/>
    </row>
    <row r="102" spans="1:13" ht="18" x14ac:dyDescent="0.35">
      <c r="A102" s="74"/>
      <c r="B102" s="74"/>
      <c r="C102" s="74"/>
      <c r="D102" s="74"/>
      <c r="E102" s="74"/>
      <c r="F102" s="74"/>
      <c r="G102" s="74"/>
      <c r="H102" s="74"/>
      <c r="I102" s="74"/>
      <c r="J102" s="74"/>
      <c r="K102" s="74"/>
      <c r="L102" s="74"/>
      <c r="M102" s="74"/>
    </row>
    <row r="103" spans="1:13" ht="18" x14ac:dyDescent="0.35">
      <c r="A103" s="74"/>
      <c r="B103" s="74"/>
      <c r="C103" s="74"/>
      <c r="D103" s="74"/>
      <c r="E103" s="74"/>
      <c r="F103" s="74"/>
      <c r="G103" s="74"/>
      <c r="H103" s="74"/>
      <c r="I103" s="74"/>
      <c r="J103" s="74"/>
      <c r="K103" s="74"/>
      <c r="L103" s="74"/>
      <c r="M103" s="74"/>
    </row>
    <row r="104" spans="1:13" ht="18" x14ac:dyDescent="0.35">
      <c r="A104" s="74"/>
      <c r="B104" s="74"/>
      <c r="C104" s="74"/>
      <c r="D104" s="74"/>
      <c r="E104" s="74"/>
      <c r="F104" s="74"/>
      <c r="G104" s="74"/>
      <c r="H104" s="74"/>
      <c r="I104" s="74"/>
      <c r="J104" s="74"/>
      <c r="K104" s="74"/>
      <c r="L104" s="74"/>
      <c r="M104" s="74"/>
    </row>
    <row r="105" spans="1:13" ht="18" x14ac:dyDescent="0.35">
      <c r="A105" s="74"/>
      <c r="B105" s="74"/>
      <c r="C105" s="74"/>
      <c r="D105" s="74"/>
      <c r="E105" s="74"/>
      <c r="F105" s="74"/>
      <c r="G105" s="74"/>
      <c r="H105" s="74"/>
      <c r="I105" s="74"/>
      <c r="J105" s="74"/>
      <c r="K105" s="74"/>
      <c r="L105" s="74"/>
      <c r="M105" s="74"/>
    </row>
    <row r="106" spans="1:13" ht="18" x14ac:dyDescent="0.35">
      <c r="A106" s="74"/>
      <c r="B106" s="74"/>
      <c r="C106" s="74"/>
      <c r="D106" s="74"/>
      <c r="E106" s="74"/>
      <c r="F106" s="74"/>
      <c r="G106" s="74"/>
      <c r="H106" s="74"/>
      <c r="I106" s="74"/>
      <c r="J106" s="74"/>
      <c r="K106" s="74"/>
      <c r="L106" s="74"/>
      <c r="M106" s="74"/>
    </row>
    <row r="107" spans="1:13" ht="18" x14ac:dyDescent="0.35">
      <c r="A107" s="74"/>
      <c r="B107" s="74"/>
      <c r="C107" s="74"/>
      <c r="D107" s="74"/>
      <c r="E107" s="74"/>
      <c r="F107" s="74"/>
      <c r="G107" s="74"/>
      <c r="H107" s="74"/>
      <c r="I107" s="74"/>
      <c r="J107" s="74"/>
      <c r="K107" s="74"/>
      <c r="L107" s="74"/>
      <c r="M107" s="74"/>
    </row>
    <row r="108" spans="1:13" ht="18" x14ac:dyDescent="0.35">
      <c r="A108" s="74"/>
      <c r="B108" s="74"/>
      <c r="C108" s="74"/>
      <c r="D108" s="74"/>
      <c r="E108" s="74"/>
      <c r="F108" s="74"/>
      <c r="G108" s="74"/>
      <c r="H108" s="74"/>
      <c r="I108" s="74"/>
      <c r="J108" s="74"/>
      <c r="K108" s="74"/>
      <c r="L108" s="74"/>
      <c r="M108" s="74"/>
    </row>
    <row r="109" spans="1:13" ht="18" x14ac:dyDescent="0.35">
      <c r="A109" s="74"/>
      <c r="B109" s="74"/>
      <c r="C109" s="74"/>
      <c r="D109" s="74"/>
      <c r="E109" s="74"/>
      <c r="F109" s="74"/>
      <c r="G109" s="74"/>
      <c r="H109" s="74"/>
      <c r="I109" s="74"/>
      <c r="J109" s="74"/>
      <c r="K109" s="74"/>
      <c r="L109" s="74"/>
      <c r="M109" s="74"/>
    </row>
    <row r="110" spans="1:13" ht="18" x14ac:dyDescent="0.35">
      <c r="A110" s="74"/>
      <c r="B110" s="74"/>
      <c r="C110" s="74"/>
      <c r="D110" s="74"/>
      <c r="E110" s="74"/>
      <c r="F110" s="74"/>
      <c r="G110" s="74"/>
      <c r="H110" s="74"/>
      <c r="I110" s="74"/>
      <c r="J110" s="74"/>
      <c r="K110" s="74"/>
      <c r="L110" s="74"/>
      <c r="M110" s="74"/>
    </row>
    <row r="111" spans="1:13" ht="18" x14ac:dyDescent="0.35">
      <c r="A111" s="74"/>
      <c r="B111" s="74"/>
      <c r="C111" s="74"/>
      <c r="D111" s="74"/>
      <c r="E111" s="74"/>
      <c r="F111" s="74"/>
      <c r="G111" s="74"/>
      <c r="H111" s="74"/>
      <c r="I111" s="74"/>
      <c r="J111" s="74"/>
      <c r="K111" s="74"/>
      <c r="L111" s="74"/>
      <c r="M111" s="74"/>
    </row>
    <row r="112" spans="1:13" ht="18" x14ac:dyDescent="0.35">
      <c r="A112" s="74"/>
      <c r="B112" s="74"/>
      <c r="C112" s="74"/>
      <c r="D112" s="74"/>
      <c r="E112" s="74"/>
      <c r="F112" s="74"/>
      <c r="G112" s="74"/>
      <c r="H112" s="74"/>
      <c r="I112" s="74"/>
      <c r="J112" s="74"/>
      <c r="K112" s="74"/>
      <c r="L112" s="74"/>
      <c r="M112" s="74"/>
    </row>
    <row r="113" spans="1:13" ht="18" x14ac:dyDescent="0.35">
      <c r="A113" s="74"/>
      <c r="B113" s="74"/>
      <c r="C113" s="74"/>
      <c r="D113" s="74"/>
      <c r="E113" s="74"/>
      <c r="F113" s="74"/>
      <c r="G113" s="74"/>
      <c r="H113" s="74"/>
      <c r="I113" s="74"/>
      <c r="J113" s="74"/>
      <c r="K113" s="74"/>
      <c r="L113" s="74"/>
      <c r="M113" s="74"/>
    </row>
    <row r="114" spans="1:13" ht="18" x14ac:dyDescent="0.35">
      <c r="A114" s="74"/>
      <c r="B114" s="74"/>
      <c r="C114" s="74"/>
      <c r="D114" s="74"/>
      <c r="E114" s="74"/>
      <c r="F114" s="74"/>
      <c r="G114" s="74"/>
      <c r="H114" s="74"/>
      <c r="I114" s="74"/>
      <c r="J114" s="74"/>
      <c r="K114" s="74"/>
      <c r="L114" s="74"/>
      <c r="M114" s="74"/>
    </row>
    <row r="115" spans="1:13" ht="18" x14ac:dyDescent="0.35">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4140625" defaultRowHeight="17.399999999999999" x14ac:dyDescent="0.3"/>
  <cols>
    <col min="1" max="1" width="35.6640625" style="80" customWidth="1"/>
    <col min="2" max="2" width="18.33203125" style="80" customWidth="1"/>
    <col min="3" max="3" width="17.6640625" style="80" customWidth="1"/>
    <col min="4" max="4" width="11.6640625" style="80" customWidth="1"/>
    <col min="5" max="5" width="4.6640625" style="80" customWidth="1"/>
    <col min="6" max="7" width="13" style="80" customWidth="1"/>
    <col min="8" max="8" width="11.6640625" style="80" customWidth="1"/>
    <col min="9" max="9" width="12.44140625" style="80" customWidth="1"/>
    <col min="10" max="10" width="11.44140625" style="80"/>
    <col min="11" max="12" width="17.33203125" style="80" bestFit="1" customWidth="1"/>
    <col min="13" max="16384" width="11.44140625" style="80"/>
  </cols>
  <sheetData>
    <row r="1" spans="1:10" ht="18.75" customHeight="1" x14ac:dyDescent="0.35">
      <c r="A1" s="79" t="s">
        <v>77</v>
      </c>
      <c r="B1" s="73" t="s">
        <v>52</v>
      </c>
      <c r="C1" s="79"/>
      <c r="D1" s="79"/>
      <c r="E1" s="79"/>
      <c r="F1" s="74"/>
      <c r="G1" s="74"/>
      <c r="H1" s="74"/>
      <c r="I1" s="74"/>
      <c r="J1" s="74"/>
    </row>
    <row r="2" spans="1:10" ht="20.100000000000001" customHeight="1" x14ac:dyDescent="0.35">
      <c r="A2" s="79" t="s">
        <v>159</v>
      </c>
      <c r="B2" s="79"/>
      <c r="C2" s="79"/>
      <c r="D2" s="79"/>
      <c r="E2" s="79"/>
      <c r="F2" s="74"/>
      <c r="G2" s="74"/>
      <c r="H2" s="74"/>
      <c r="I2" s="74"/>
      <c r="J2" s="74"/>
    </row>
    <row r="3" spans="1:10" ht="20.100000000000001" customHeight="1" x14ac:dyDescent="0.35">
      <c r="A3" s="75"/>
      <c r="B3" s="75"/>
      <c r="C3" s="75"/>
      <c r="D3" s="75"/>
      <c r="E3" s="254"/>
      <c r="F3" s="74"/>
      <c r="G3" s="74"/>
      <c r="H3" s="74"/>
      <c r="I3" s="74"/>
      <c r="J3" s="74"/>
    </row>
    <row r="4" spans="1:10" ht="20.100000000000001" customHeight="1" x14ac:dyDescent="0.35">
      <c r="A4" s="255"/>
      <c r="B4" s="944" t="s">
        <v>160</v>
      </c>
      <c r="C4" s="944"/>
      <c r="D4" s="945"/>
      <c r="E4" s="88"/>
      <c r="F4" s="946" t="s">
        <v>160</v>
      </c>
      <c r="G4" s="944"/>
      <c r="H4" s="945"/>
      <c r="I4" s="74"/>
      <c r="J4" s="74"/>
    </row>
    <row r="5" spans="1:10" ht="18.75" customHeight="1" x14ac:dyDescent="0.35">
      <c r="A5" s="256" t="s">
        <v>360</v>
      </c>
      <c r="B5" s="947" t="s">
        <v>161</v>
      </c>
      <c r="C5" s="948"/>
      <c r="D5" s="949"/>
      <c r="E5" s="257"/>
      <c r="F5" s="950" t="s">
        <v>162</v>
      </c>
      <c r="G5" s="951"/>
      <c r="H5" s="952"/>
      <c r="I5" s="111"/>
      <c r="J5" s="74"/>
    </row>
    <row r="6" spans="1:10" ht="18.75" customHeight="1" x14ac:dyDescent="0.35">
      <c r="A6" s="121"/>
      <c r="B6" s="119"/>
      <c r="C6" s="190"/>
      <c r="D6" s="258" t="s">
        <v>81</v>
      </c>
      <c r="E6" s="258"/>
      <c r="F6" s="122"/>
      <c r="G6" s="123"/>
      <c r="H6" s="93" t="s">
        <v>81</v>
      </c>
      <c r="I6" s="99"/>
      <c r="J6" s="74"/>
    </row>
    <row r="7" spans="1:10" ht="18.75" customHeight="1" x14ac:dyDescent="0.35">
      <c r="A7" s="125"/>
      <c r="B7" s="96">
        <v>2020</v>
      </c>
      <c r="C7" s="96">
        <v>2021</v>
      </c>
      <c r="D7" s="259" t="s">
        <v>83</v>
      </c>
      <c r="E7" s="258"/>
      <c r="F7" s="96">
        <v>2020</v>
      </c>
      <c r="G7" s="126">
        <v>2021</v>
      </c>
      <c r="H7" s="260" t="s">
        <v>83</v>
      </c>
      <c r="I7" s="99"/>
      <c r="J7" s="74"/>
    </row>
    <row r="8" spans="1:10" ht="18.75" customHeight="1" x14ac:dyDescent="0.35">
      <c r="A8" s="100" t="s">
        <v>163</v>
      </c>
      <c r="B8" s="108">
        <f>SUM(B9:B14)</f>
        <v>156460.61598886998</v>
      </c>
      <c r="C8" s="108">
        <f>SUM(C9:C14)</f>
        <v>165408.43461204003</v>
      </c>
      <c r="D8" s="261">
        <f t="shared" ref="D8:D38" si="0">IF(B8=0, "    ---- ", IF(ABS(ROUND(100/B8*C8-100,1))&lt;999,ROUND(100/B8*C8-100,1),IF(ROUND(100/B8*C8-100,1)&gt;999,999,-999)))</f>
        <v>5.7</v>
      </c>
      <c r="E8" s="262"/>
      <c r="F8" s="261">
        <f>SUM(F9:F14)</f>
        <v>100.00000000000001</v>
      </c>
      <c r="G8" s="261">
        <f>SUM(G9:G14)</f>
        <v>100</v>
      </c>
      <c r="H8" s="262">
        <f t="shared" ref="H8:H38" si="1">IF(F8=0, "    ---- ", IF(ABS(ROUND(100/F8*G8-100,1))&lt;999,ROUND(100/F8*G8-100,1),IF(ROUND(100/F8*G8-100,1)&gt;999,999,-999)))</f>
        <v>0</v>
      </c>
      <c r="I8" s="103"/>
      <c r="J8" s="74"/>
    </row>
    <row r="9" spans="1:10" ht="18.75" customHeight="1" x14ac:dyDescent="0.35">
      <c r="A9" s="85" t="s">
        <v>164</v>
      </c>
      <c r="B9" s="105">
        <f>'Tabell 6'!AR21</f>
        <v>3207.8060134100001</v>
      </c>
      <c r="C9" s="105">
        <f>'Tabell 6'!AS21</f>
        <v>4438.50874836</v>
      </c>
      <c r="D9" s="263">
        <f t="shared" si="0"/>
        <v>38.4</v>
      </c>
      <c r="E9" s="263"/>
      <c r="F9" s="263">
        <f>'Tabell 6'!AR21/'Tabell 6'!AR29*100</f>
        <v>2.0502322537437738</v>
      </c>
      <c r="G9" s="263">
        <f>'Tabell 6'!AS21/'Tabell 6'!AS29*100</f>
        <v>2.6833630091297191</v>
      </c>
      <c r="H9" s="264">
        <f t="shared" si="1"/>
        <v>30.9</v>
      </c>
      <c r="I9" s="103"/>
      <c r="J9" s="76"/>
    </row>
    <row r="10" spans="1:10" ht="18.75" customHeight="1" x14ac:dyDescent="0.35">
      <c r="A10" s="85" t="s">
        <v>165</v>
      </c>
      <c r="B10" s="104">
        <f>'Tabell 6'!AR18+'Tabell 6'!AR22</f>
        <v>76727.650971950003</v>
      </c>
      <c r="C10" s="104">
        <f>'Tabell 6'!AS18+'Tabell 6'!AS22</f>
        <v>77602.908791820009</v>
      </c>
      <c r="D10" s="263">
        <f t="shared" si="0"/>
        <v>1.1000000000000001</v>
      </c>
      <c r="E10" s="263"/>
      <c r="F10" s="263">
        <f>('Tabell 6'!AR18+'Tabell 6'!AR22)/'Tabell 6'!AR29*100</f>
        <v>49.039594077405475</v>
      </c>
      <c r="G10" s="263">
        <f>('Tabell 6'!AS18+'Tabell 6'!AS22)/'Tabell 6'!AS29*100</f>
        <v>46.915932052579457</v>
      </c>
      <c r="H10" s="264">
        <f t="shared" si="1"/>
        <v>-4.3</v>
      </c>
      <c r="I10" s="103"/>
      <c r="J10" s="74"/>
    </row>
    <row r="11" spans="1:10" ht="18.75" customHeight="1" x14ac:dyDescent="0.35">
      <c r="A11" s="85" t="s">
        <v>166</v>
      </c>
      <c r="B11" s="104">
        <f>'Tabell 6'!AR14</f>
        <v>1024.78865475</v>
      </c>
      <c r="C11" s="104">
        <f>'Tabell 6'!AS14</f>
        <v>1008.9620597500001</v>
      </c>
      <c r="D11" s="263">
        <f t="shared" si="0"/>
        <v>-1.5</v>
      </c>
      <c r="E11" s="263"/>
      <c r="F11" s="263">
        <f>'Tabell 6'!AR14/'Tabell 6'!AR29*100</f>
        <v>0.65498186126462621</v>
      </c>
      <c r="G11" s="263">
        <f>'Tabell 6'!AS14/'Tabell 6'!AS29*100</f>
        <v>0.60998223102496985</v>
      </c>
      <c r="H11" s="264">
        <f t="shared" si="1"/>
        <v>-6.9</v>
      </c>
      <c r="I11" s="103"/>
      <c r="J11" s="74"/>
    </row>
    <row r="12" spans="1:10" ht="18.75" customHeight="1" x14ac:dyDescent="0.35">
      <c r="A12" s="107" t="s">
        <v>167</v>
      </c>
      <c r="B12" s="104">
        <f>'Tabell 6'!AR15</f>
        <v>26217.20296133</v>
      </c>
      <c r="C12" s="104">
        <f>'Tabell 6'!AS15</f>
        <v>25357.45359628</v>
      </c>
      <c r="D12" s="265">
        <f t="shared" si="0"/>
        <v>-3.3</v>
      </c>
      <c r="E12" s="265"/>
      <c r="F12" s="263">
        <f>'Tabell 6'!AR15/'Tabell 6'!AR29*100</f>
        <v>16.756423203136944</v>
      </c>
      <c r="G12" s="263">
        <f>'Tabell 6'!AS15/'Tabell 6'!AS29*100</f>
        <v>15.330205896546367</v>
      </c>
      <c r="H12" s="264">
        <f t="shared" si="1"/>
        <v>-8.5</v>
      </c>
      <c r="I12" s="103"/>
      <c r="J12" s="74"/>
    </row>
    <row r="13" spans="1:10" ht="18.75" customHeight="1" x14ac:dyDescent="0.35">
      <c r="A13" s="85" t="s">
        <v>168</v>
      </c>
      <c r="B13" s="104">
        <f>'Tabell 6'!AR19+'Tabell 6'!AR23</f>
        <v>31150.015717800001</v>
      </c>
      <c r="C13" s="104">
        <f>'Tabell 6'!AS19+'Tabell 6'!AS23</f>
        <v>33862.800207690001</v>
      </c>
      <c r="D13" s="263">
        <f t="shared" si="0"/>
        <v>8.6999999999999993</v>
      </c>
      <c r="E13" s="263"/>
      <c r="F13" s="263">
        <f>('Tabell 6'!AR19+'Tabell 6'!AR23)/'Tabell 6'!AR29*100</f>
        <v>19.90917364150982</v>
      </c>
      <c r="G13" s="263">
        <f>('Tabell 6'!AS19+'Tabell 6'!AS23)/'Tabell 6'!AS29*100</f>
        <v>20.472233043686121</v>
      </c>
      <c r="H13" s="264">
        <f t="shared" si="1"/>
        <v>2.8</v>
      </c>
      <c r="I13" s="103"/>
      <c r="J13" s="74"/>
    </row>
    <row r="14" spans="1:10" ht="18.75" customHeight="1" x14ac:dyDescent="0.35">
      <c r="A14" s="85" t="s">
        <v>169</v>
      </c>
      <c r="B14" s="175">
        <f>'Tabell 6'!AR17-'Tabell 6'!AR18+'Tabell 6'!AR24+'Tabell 6'!AR25+'Tabell 6'!AR26+'Tabell 6'!AR28</f>
        <v>18133.151669629999</v>
      </c>
      <c r="C14" s="175">
        <f>'Tabell 6'!AS17-'Tabell 6'!AS18+'Tabell 6'!AS24+'Tabell 6'!AS25+'Tabell 6'!AS26+'Tabell 6'!AS28</f>
        <v>23137.801208140001</v>
      </c>
      <c r="D14" s="263">
        <f t="shared" si="0"/>
        <v>27.6</v>
      </c>
      <c r="E14" s="263"/>
      <c r="F14" s="263">
        <f>('Tabell 6'!AR17-'Tabell 6'!AR18+'Tabell 6'!AR24+'Tabell 6'!AR25+'Tabell 6'!AR26+'Tabell 6'!AR28)/'Tabell 6'!AR29*100</f>
        <v>11.589594962939378</v>
      </c>
      <c r="G14" s="263">
        <f>('Tabell 6'!AS17-'Tabell 6'!AS18+'Tabell 6'!AS24+'Tabell 6'!AS25+'Tabell 6'!AS26+'Tabell 6'!AS28)/'Tabell 6'!AS29*100</f>
        <v>13.988283767033371</v>
      </c>
      <c r="H14" s="264">
        <f t="shared" si="1"/>
        <v>20.7</v>
      </c>
      <c r="I14" s="103"/>
      <c r="J14" s="74"/>
    </row>
    <row r="15" spans="1:10" ht="18.75" customHeight="1" x14ac:dyDescent="0.35">
      <c r="A15" s="191"/>
      <c r="B15" s="102"/>
      <c r="C15" s="175"/>
      <c r="D15" s="264"/>
      <c r="E15" s="264"/>
      <c r="F15" s="264"/>
      <c r="G15" s="263"/>
      <c r="H15" s="264"/>
      <c r="I15" s="103"/>
      <c r="J15" s="74"/>
    </row>
    <row r="16" spans="1:10" s="134" customFormat="1" ht="18.75" customHeight="1" x14ac:dyDescent="0.3">
      <c r="A16" s="100" t="s">
        <v>170</v>
      </c>
      <c r="B16" s="108">
        <f>SUM(B17:B22)</f>
        <v>1202940.81763601</v>
      </c>
      <c r="C16" s="108">
        <f>SUM(C17:C22)</f>
        <v>1279701.63261798</v>
      </c>
      <c r="D16" s="261">
        <f t="shared" si="0"/>
        <v>6.4</v>
      </c>
      <c r="E16" s="261"/>
      <c r="F16" s="261">
        <f>SUM(F17:F22)</f>
        <v>100.00000000000001</v>
      </c>
      <c r="G16" s="261">
        <f>SUM(G17:G22)</f>
        <v>100</v>
      </c>
      <c r="H16" s="262">
        <f t="shared" si="1"/>
        <v>0</v>
      </c>
      <c r="I16" s="109"/>
      <c r="J16" s="75"/>
    </row>
    <row r="17" spans="1:10" ht="18.75" customHeight="1" x14ac:dyDescent="0.35">
      <c r="A17" s="85" t="s">
        <v>164</v>
      </c>
      <c r="B17" s="102">
        <f>'Tabell 6'!AR40</f>
        <v>196254.14435783998</v>
      </c>
      <c r="C17" s="102">
        <f>'Tabell 6'!AS40</f>
        <v>274613.91199815995</v>
      </c>
      <c r="D17" s="263">
        <f t="shared" si="0"/>
        <v>39.9</v>
      </c>
      <c r="E17" s="263"/>
      <c r="F17" s="263">
        <f>'Tabell 6'!AR40/('Tabell 6'!AR45+'Tabell 6'!AR46)*100</f>
        <v>16.314530314426758</v>
      </c>
      <c r="G17" s="263">
        <f>'Tabell 6'!AS40/('Tabell 6'!AS45+'Tabell 6'!AS46)*100</f>
        <v>21.459214007280902</v>
      </c>
      <c r="H17" s="264">
        <f t="shared" si="1"/>
        <v>31.5</v>
      </c>
      <c r="I17" s="103"/>
      <c r="J17" s="74"/>
    </row>
    <row r="18" spans="1:10" ht="18.75" customHeight="1" x14ac:dyDescent="0.35">
      <c r="A18" s="85" t="s">
        <v>165</v>
      </c>
      <c r="B18" s="102">
        <f>'Tabell 6'!AR37+'Tabell 6'!AR41</f>
        <v>356898.42241078999</v>
      </c>
      <c r="C18" s="102">
        <f>'Tabell 6'!AS37+'Tabell 6'!AS41</f>
        <v>336143.66679256002</v>
      </c>
      <c r="D18" s="263">
        <f t="shared" si="0"/>
        <v>-5.8</v>
      </c>
      <c r="E18" s="263"/>
      <c r="F18" s="263">
        <f>('Tabell 6'!AR37+'Tabell 6'!AR41)/('Tabell 6'!AR45+'Tabell 6'!AR46)*100</f>
        <v>29.668826361063889</v>
      </c>
      <c r="G18" s="263">
        <f>('Tabell 6'!AS37+'Tabell 6'!AS41)/('Tabell 6'!AS45+'Tabell 6'!AS46)*100</f>
        <v>26.267346874043294</v>
      </c>
      <c r="H18" s="264">
        <f t="shared" si="1"/>
        <v>-11.5</v>
      </c>
      <c r="I18" s="103"/>
      <c r="J18" s="74"/>
    </row>
    <row r="19" spans="1:10" ht="18.75" customHeight="1" x14ac:dyDescent="0.35">
      <c r="A19" s="85" t="s">
        <v>166</v>
      </c>
      <c r="B19" s="102">
        <f>'Tabell 6'!AR33</f>
        <v>19.31040771</v>
      </c>
      <c r="C19" s="102">
        <f>'Tabell 6'!AS33</f>
        <v>19.31040771</v>
      </c>
      <c r="D19" s="263">
        <f t="shared" si="0"/>
        <v>0</v>
      </c>
      <c r="E19" s="263"/>
      <c r="F19" s="263">
        <f>'Tabell 6'!AR33/('Tabell 6'!AR45+'Tabell 6'!AR46)*100</f>
        <v>1.6052666454488048E-3</v>
      </c>
      <c r="G19" s="263">
        <f>'Tabell 6'!AS33/('Tabell 6'!AS45+'Tabell 6'!AS46)*100</f>
        <v>1.5089773442341612E-3</v>
      </c>
      <c r="H19" s="264">
        <f t="shared" si="1"/>
        <v>-6</v>
      </c>
      <c r="I19" s="103"/>
      <c r="J19" s="74"/>
    </row>
    <row r="20" spans="1:10" ht="18.75" customHeight="1" x14ac:dyDescent="0.35">
      <c r="A20" s="107" t="s">
        <v>167</v>
      </c>
      <c r="B20" s="104">
        <f>'Tabell 6'!AR34</f>
        <v>159689.14327352002</v>
      </c>
      <c r="C20" s="104">
        <f>'Tabell 6'!AS34</f>
        <v>176913.17971202999</v>
      </c>
      <c r="D20" s="265">
        <f t="shared" si="0"/>
        <v>10.8</v>
      </c>
      <c r="E20" s="265"/>
      <c r="F20" s="263">
        <f>'Tabell 6'!AR34/('Tabell 6'!AR45+'Tabell 6'!AR46)*100</f>
        <v>13.274896065738067</v>
      </c>
      <c r="G20" s="263">
        <f>'Tabell 6'!AS34/('Tabell 6'!AS45+'Tabell 6'!AS46)*100</f>
        <v>13.824564664351147</v>
      </c>
      <c r="H20" s="264">
        <f t="shared" si="1"/>
        <v>4.0999999999999996</v>
      </c>
      <c r="I20" s="103"/>
      <c r="J20" s="74"/>
    </row>
    <row r="21" spans="1:10" ht="18.75" customHeight="1" x14ac:dyDescent="0.35">
      <c r="A21" s="85" t="s">
        <v>168</v>
      </c>
      <c r="B21" s="102">
        <f>'Tabell 6'!AR38+'Tabell 6'!AR42</f>
        <v>467635.36195312004</v>
      </c>
      <c r="C21" s="102">
        <f>'Tabell 6'!AS38+'Tabell 6'!AS42</f>
        <v>483128.77630883997</v>
      </c>
      <c r="D21" s="263">
        <f t="shared" si="0"/>
        <v>3.3</v>
      </c>
      <c r="E21" s="263"/>
      <c r="F21" s="263">
        <f>('Tabell 6'!AR38+'Tabell 6'!AR42)/('Tabell 6'!AR45+'Tabell 6'!AR46)*100</f>
        <v>38.874344863623939</v>
      </c>
      <c r="G21" s="263">
        <f>('Tabell 6'!AS38+'Tabell 6'!AS42)/('Tabell 6'!AS45+'Tabell 6'!AS46)*100</f>
        <v>37.753235910191648</v>
      </c>
      <c r="H21" s="264">
        <f t="shared" si="1"/>
        <v>-2.9</v>
      </c>
      <c r="I21" s="103"/>
      <c r="J21" s="74"/>
    </row>
    <row r="22" spans="1:10" ht="18.75" customHeight="1" x14ac:dyDescent="0.35">
      <c r="A22" s="191" t="s">
        <v>169</v>
      </c>
      <c r="B22" s="102">
        <f>'Tabell 6'!AR36-'Tabell 6'!AR37+'Tabell 6'!AR43+'Tabell 6'!AR44+'Tabell 6'!AR46</f>
        <v>22444.435233029999</v>
      </c>
      <c r="C22" s="102">
        <f>'Tabell 6'!AS36-'Tabell 6'!AS37+'Tabell 6'!AS43+'Tabell 6'!AS44+'Tabell 6'!AS46</f>
        <v>8882.7873986800059</v>
      </c>
      <c r="D22" s="263">
        <f t="shared" si="0"/>
        <v>-60.4</v>
      </c>
      <c r="E22" s="263"/>
      <c r="F22" s="264">
        <f>('Tabell 6'!AR36-'Tabell 6'!AR37+'Tabell 6'!AR43+'Tabell 6'!AR44+'Tabell 6'!AR46)/('Tabell 6'!AR45+'Tabell 6'!AR46)*100</f>
        <v>1.8657971285019039</v>
      </c>
      <c r="G22" s="264">
        <f>('Tabell 6'!AS36-'Tabell 6'!AS37+'Tabell 6'!AS43+'Tabell 6'!AS44+'Tabell 6'!AS46)/('Tabell 6'!AS45+'Tabell 6'!AS46)*100</f>
        <v>0.69412956678877036</v>
      </c>
      <c r="H22" s="264">
        <f t="shared" si="1"/>
        <v>-62.8</v>
      </c>
      <c r="I22" s="103"/>
      <c r="J22" s="74"/>
    </row>
    <row r="23" spans="1:10" ht="18.75" customHeight="1" x14ac:dyDescent="0.35">
      <c r="A23" s="85"/>
      <c r="B23" s="175"/>
      <c r="C23" s="175"/>
      <c r="D23" s="264"/>
      <c r="E23" s="263"/>
      <c r="F23" s="263"/>
      <c r="G23" s="264"/>
      <c r="H23" s="264"/>
      <c r="I23" s="180"/>
      <c r="J23" s="74"/>
    </row>
    <row r="24" spans="1:10" ht="18.75" customHeight="1" x14ac:dyDescent="0.35">
      <c r="A24" s="136" t="s">
        <v>171</v>
      </c>
      <c r="B24" s="108">
        <f>SUM(B25:B30)</f>
        <v>459971.65553277999</v>
      </c>
      <c r="C24" s="108">
        <f>SUM(C25:C30)</f>
        <v>557091.72921923012</v>
      </c>
      <c r="D24" s="261">
        <f t="shared" si="0"/>
        <v>21.1</v>
      </c>
      <c r="E24" s="261"/>
      <c r="F24" s="262">
        <f>SUM(F25:F30)</f>
        <v>100</v>
      </c>
      <c r="G24" s="262">
        <f>SUM(G25:G30)</f>
        <v>100.00000000000001</v>
      </c>
      <c r="H24" s="262">
        <f t="shared" si="1"/>
        <v>0</v>
      </c>
      <c r="I24" s="180"/>
      <c r="J24" s="74"/>
    </row>
    <row r="25" spans="1:10" ht="18.75" customHeight="1" x14ac:dyDescent="0.35">
      <c r="A25" s="191" t="s">
        <v>164</v>
      </c>
      <c r="B25" s="102">
        <f>'Tabell 6'!AR55</f>
        <v>289147.29935380002</v>
      </c>
      <c r="C25" s="102">
        <f>'Tabell 6'!AS55</f>
        <v>363687.79020720703</v>
      </c>
      <c r="D25" s="263">
        <f t="shared" si="0"/>
        <v>25.8</v>
      </c>
      <c r="E25" s="263"/>
      <c r="F25" s="263">
        <f>'Tabell 6'!AR55/('Tabell 6'!AR60+'Tabell 6'!AR61)*100</f>
        <v>62.861982010366255</v>
      </c>
      <c r="G25" s="263">
        <f>'Tabell 6'!AS55/('Tabell 6'!AS60+'Tabell 6'!AS61)*100</f>
        <v>65.283286599303736</v>
      </c>
      <c r="H25" s="264">
        <f t="shared" si="1"/>
        <v>3.9</v>
      </c>
      <c r="I25" s="180"/>
      <c r="J25" s="74"/>
    </row>
    <row r="26" spans="1:10" ht="18.75" customHeight="1" x14ac:dyDescent="0.35">
      <c r="A26" s="191" t="s">
        <v>165</v>
      </c>
      <c r="B26" s="102">
        <f>'Tabell 6'!AR52+'Tabell 6'!AR56</f>
        <v>156228.20406762001</v>
      </c>
      <c r="C26" s="102">
        <f>'Tabell 6'!AS52+'Tabell 6'!AS56</f>
        <v>170951.66833542002</v>
      </c>
      <c r="D26" s="263">
        <f t="shared" si="0"/>
        <v>9.4</v>
      </c>
      <c r="E26" s="263"/>
      <c r="F26" s="263">
        <f>('Tabell 6'!AR52+'Tabell 6'!AR56)/('Tabell 6'!AR60+'Tabell 6'!AR61)*100</f>
        <v>33.964745911715504</v>
      </c>
      <c r="G26" s="263">
        <f>('Tabell 6'!AS52+'Tabell 6'!AS56)/('Tabell 6'!AS60+'Tabell 6'!AS61)*100</f>
        <v>30.686448814275273</v>
      </c>
      <c r="H26" s="264">
        <f t="shared" si="1"/>
        <v>-9.6999999999999993</v>
      </c>
      <c r="I26" s="180"/>
      <c r="J26" s="74"/>
    </row>
    <row r="27" spans="1:10" ht="18.75" customHeight="1" x14ac:dyDescent="0.35">
      <c r="A27" s="191" t="s">
        <v>166</v>
      </c>
      <c r="B27" s="102">
        <f>'Tabell 6'!AR48</f>
        <v>0</v>
      </c>
      <c r="C27" s="102">
        <f>'Tabell 6'!AS48</f>
        <v>0</v>
      </c>
      <c r="D27" s="263" t="str">
        <f t="shared" si="0"/>
        <v xml:space="preserve">    ---- </v>
      </c>
      <c r="E27" s="263"/>
      <c r="F27" s="263">
        <f>'Tabell 6'!AR48/('Tabell 6'!AR60+'Tabell 6'!AR61)*100</f>
        <v>0</v>
      </c>
      <c r="G27" s="263">
        <f>'Tabell 6'!AS48/('Tabell 6'!AS60+'Tabell 6'!AS61)*100</f>
        <v>0</v>
      </c>
      <c r="H27" s="264" t="str">
        <f t="shared" si="1"/>
        <v xml:space="preserve">    ---- </v>
      </c>
      <c r="I27" s="180"/>
      <c r="J27" s="74"/>
    </row>
    <row r="28" spans="1:10" ht="18.75" customHeight="1" x14ac:dyDescent="0.35">
      <c r="A28" s="107" t="s">
        <v>167</v>
      </c>
      <c r="B28" s="104">
        <f>'Tabell 6'!AR49</f>
        <v>7551.5357228800003</v>
      </c>
      <c r="C28" s="104">
        <f>'Tabell 6'!AS49</f>
        <v>16006.500594613</v>
      </c>
      <c r="D28" s="265">
        <f t="shared" si="0"/>
        <v>112</v>
      </c>
      <c r="E28" s="265"/>
      <c r="F28" s="263">
        <f>'Tabell 6'!AR49/('Tabell 6'!AR60+'Tabell 6'!AR61)*100</f>
        <v>1.6417393619902823</v>
      </c>
      <c r="G28" s="263">
        <f>'Tabell 6'!AS49/('Tabell 6'!AS60+'Tabell 6'!AS61)*100</f>
        <v>2.8732253155232228</v>
      </c>
      <c r="H28" s="264">
        <f t="shared" si="1"/>
        <v>75</v>
      </c>
      <c r="I28" s="180"/>
      <c r="J28" s="74"/>
    </row>
    <row r="29" spans="1:10" ht="18.75" customHeight="1" x14ac:dyDescent="0.35">
      <c r="A29" s="191" t="s">
        <v>168</v>
      </c>
      <c r="B29" s="102">
        <f>'Tabell 6'!AR53+'Tabell 6'!AR57</f>
        <v>2987.2861246000002</v>
      </c>
      <c r="C29" s="102">
        <f>'Tabell 6'!AS53+'Tabell 6'!AS57</f>
        <v>4470.92628307</v>
      </c>
      <c r="D29" s="263">
        <f t="shared" si="0"/>
        <v>49.7</v>
      </c>
      <c r="E29" s="263"/>
      <c r="F29" s="263">
        <f>('Tabell 6'!AR53+'Tabell 6'!AR57)/('Tabell 6'!AR60+'Tabell 6'!AR61)*100</f>
        <v>0.64945004516416571</v>
      </c>
      <c r="G29" s="263">
        <f>('Tabell 6'!AS53+'Tabell 6'!AS57)/('Tabell 6'!AS60+'Tabell 6'!AS61)*100</f>
        <v>0.80254759648578</v>
      </c>
      <c r="H29" s="264">
        <f t="shared" si="1"/>
        <v>23.6</v>
      </c>
      <c r="I29" s="180"/>
      <c r="J29" s="74"/>
    </row>
    <row r="30" spans="1:10" ht="18.75" customHeight="1" x14ac:dyDescent="0.35">
      <c r="A30" s="85" t="s">
        <v>169</v>
      </c>
      <c r="B30" s="102">
        <f>'Tabell 6'!AR51-'Tabell 6'!AR52+'Tabell 6'!AR58+'Tabell 6'!AR59+'Tabell 6'!AR61</f>
        <v>4057.3302638799996</v>
      </c>
      <c r="C30" s="102">
        <f>'Tabell 6'!AS51-'Tabell 6'!AS52+'Tabell 6'!AS58+'Tabell 6'!AS59+'Tabell 6'!AS61</f>
        <v>1974.8437989200002</v>
      </c>
      <c r="D30" s="264">
        <f t="shared" si="0"/>
        <v>-51.3</v>
      </c>
      <c r="E30" s="264"/>
      <c r="F30" s="264">
        <f>('Tabell 6'!AR51-'Tabell 6'!AR52+'Tabell 6'!AR58+'Tabell 6'!AR59+'Tabell 6'!AR61)/('Tabell 6'!AR60+'Tabell 6'!AR61)*100</f>
        <v>0.88208267076379732</v>
      </c>
      <c r="G30" s="264">
        <f>('Tabell 6'!AS51-'Tabell 6'!AS52+'Tabell 6'!AS58+'Tabell 6'!AS59+'Tabell 6'!AS61)/('Tabell 6'!AS60+'Tabell 6'!AS61)*100</f>
        <v>0.35449167441199758</v>
      </c>
      <c r="H30" s="264">
        <f t="shared" si="1"/>
        <v>-59.8</v>
      </c>
      <c r="I30" s="180"/>
      <c r="J30" s="74"/>
    </row>
    <row r="31" spans="1:10" ht="18.75" customHeight="1" x14ac:dyDescent="0.35">
      <c r="A31" s="191"/>
      <c r="B31" s="175"/>
      <c r="C31" s="175"/>
      <c r="D31" s="263"/>
      <c r="E31" s="263"/>
      <c r="F31" s="263"/>
      <c r="G31" s="264"/>
      <c r="H31" s="264"/>
      <c r="I31" s="180"/>
      <c r="J31" s="74"/>
    </row>
    <row r="32" spans="1:10" ht="18.75" customHeight="1" x14ac:dyDescent="0.35">
      <c r="A32" s="136" t="s">
        <v>2</v>
      </c>
      <c r="B32" s="108">
        <f>SUM(B33:B38)</f>
        <v>1819373.08915766</v>
      </c>
      <c r="C32" s="108">
        <f>SUM(C33:C38)</f>
        <v>2002201.7964492498</v>
      </c>
      <c r="D32" s="261">
        <f t="shared" si="0"/>
        <v>10</v>
      </c>
      <c r="E32" s="261"/>
      <c r="F32" s="261">
        <f>SUM(F33:F38)</f>
        <v>100</v>
      </c>
      <c r="G32" s="261">
        <f>SUM(G33:G38)</f>
        <v>100</v>
      </c>
      <c r="H32" s="262">
        <f t="shared" si="1"/>
        <v>0</v>
      </c>
      <c r="I32" s="180"/>
      <c r="J32" s="74"/>
    </row>
    <row r="33" spans="1:10" ht="18.75" customHeight="1" x14ac:dyDescent="0.35">
      <c r="A33" s="191" t="s">
        <v>164</v>
      </c>
      <c r="B33" s="102">
        <f t="shared" ref="B33:C38" si="2">B9+B17+B25</f>
        <v>488609.24972505</v>
      </c>
      <c r="C33" s="102">
        <f t="shared" si="2"/>
        <v>642740.2109537269</v>
      </c>
      <c r="D33" s="263">
        <f t="shared" si="0"/>
        <v>31.5</v>
      </c>
      <c r="E33" s="263"/>
      <c r="F33" s="263">
        <f>B33/B32*100</f>
        <v>26.855912766702954</v>
      </c>
      <c r="G33" s="263">
        <f>C33/C32*100</f>
        <v>32.101669876312016</v>
      </c>
      <c r="H33" s="264">
        <f t="shared" si="1"/>
        <v>19.5</v>
      </c>
      <c r="I33" s="180"/>
      <c r="J33" s="74"/>
    </row>
    <row r="34" spans="1:10" ht="18.75" customHeight="1" x14ac:dyDescent="0.35">
      <c r="A34" s="191" t="s">
        <v>165</v>
      </c>
      <c r="B34" s="102">
        <f t="shared" si="2"/>
        <v>589854.27745036001</v>
      </c>
      <c r="C34" s="102">
        <f t="shared" si="2"/>
        <v>584698.24391980004</v>
      </c>
      <c r="D34" s="263">
        <f t="shared" si="0"/>
        <v>-0.9</v>
      </c>
      <c r="E34" s="263"/>
      <c r="F34" s="263">
        <f>B34/B32*100</f>
        <v>32.42074322004251</v>
      </c>
      <c r="G34" s="263">
        <f>C34/C32*100</f>
        <v>29.202762926130482</v>
      </c>
      <c r="H34" s="264">
        <f t="shared" si="1"/>
        <v>-9.9</v>
      </c>
      <c r="I34" s="180"/>
      <c r="J34" s="74"/>
    </row>
    <row r="35" spans="1:10" ht="18.75" customHeight="1" x14ac:dyDescent="0.35">
      <c r="A35" s="191" t="s">
        <v>166</v>
      </c>
      <c r="B35" s="102">
        <f t="shared" si="2"/>
        <v>1044.0990624599999</v>
      </c>
      <c r="C35" s="102">
        <f t="shared" si="2"/>
        <v>1028.2724674600001</v>
      </c>
      <c r="D35" s="263">
        <f t="shared" si="0"/>
        <v>-1.5</v>
      </c>
      <c r="E35" s="263"/>
      <c r="F35" s="263">
        <f>B35/B32*100</f>
        <v>5.738784797258932E-2</v>
      </c>
      <c r="G35" s="263">
        <f>C35/C32*100</f>
        <v>5.1357084449907192E-2</v>
      </c>
      <c r="H35" s="264">
        <f t="shared" si="1"/>
        <v>-10.5</v>
      </c>
      <c r="I35" s="180"/>
      <c r="J35" s="74"/>
    </row>
    <row r="36" spans="1:10" ht="18.75" customHeight="1" x14ac:dyDescent="0.35">
      <c r="A36" s="107" t="s">
        <v>167</v>
      </c>
      <c r="B36" s="104">
        <f t="shared" si="2"/>
        <v>193457.88195773005</v>
      </c>
      <c r="C36" s="104">
        <f t="shared" si="2"/>
        <v>218277.133902923</v>
      </c>
      <c r="D36" s="265">
        <f t="shared" si="0"/>
        <v>12.8</v>
      </c>
      <c r="E36" s="265"/>
      <c r="F36" s="263">
        <f>B36/B32*100</f>
        <v>10.633216634379146</v>
      </c>
      <c r="G36" s="263">
        <f>C36/C32*100</f>
        <v>10.901854862482924</v>
      </c>
      <c r="H36" s="264">
        <f t="shared" si="1"/>
        <v>2.5</v>
      </c>
      <c r="I36" s="180"/>
      <c r="J36" s="74"/>
    </row>
    <row r="37" spans="1:10" ht="18.75" customHeight="1" x14ac:dyDescent="0.35">
      <c r="A37" s="191" t="s">
        <v>168</v>
      </c>
      <c r="B37" s="102">
        <f t="shared" si="2"/>
        <v>501772.66379552003</v>
      </c>
      <c r="C37" s="102">
        <f t="shared" si="2"/>
        <v>521462.50279959996</v>
      </c>
      <c r="D37" s="263">
        <f t="shared" si="0"/>
        <v>3.9</v>
      </c>
      <c r="E37" s="263"/>
      <c r="F37" s="263">
        <f>B37/B32*100</f>
        <v>27.579426495080927</v>
      </c>
      <c r="G37" s="263">
        <f>C37/C32*100</f>
        <v>26.044452848078219</v>
      </c>
      <c r="H37" s="264">
        <f t="shared" si="1"/>
        <v>-5.6</v>
      </c>
      <c r="I37" s="180"/>
      <c r="J37" s="74"/>
    </row>
    <row r="38" spans="1:10" ht="18.75" customHeight="1" x14ac:dyDescent="0.35">
      <c r="A38" s="266" t="s">
        <v>169</v>
      </c>
      <c r="B38" s="267">
        <f t="shared" si="2"/>
        <v>44634.917166539999</v>
      </c>
      <c r="C38" s="267">
        <f t="shared" si="2"/>
        <v>33995.432405740008</v>
      </c>
      <c r="D38" s="268">
        <f t="shared" si="0"/>
        <v>-23.8</v>
      </c>
      <c r="E38" s="263"/>
      <c r="F38" s="268">
        <f>B38/B32*100</f>
        <v>2.453313035821874</v>
      </c>
      <c r="G38" s="268">
        <f>C38/C32*100</f>
        <v>1.6979024025464509</v>
      </c>
      <c r="H38" s="269">
        <f t="shared" si="1"/>
        <v>-30.8</v>
      </c>
      <c r="I38" s="180"/>
      <c r="J38" s="74"/>
    </row>
    <row r="39" spans="1:10" ht="18.75" customHeight="1" x14ac:dyDescent="0.35">
      <c r="A39" s="111"/>
      <c r="B39" s="111"/>
      <c r="C39" s="111"/>
      <c r="D39" s="111"/>
      <c r="E39" s="111"/>
      <c r="F39" s="180"/>
      <c r="G39" s="180"/>
      <c r="H39" s="180"/>
      <c r="I39" s="180"/>
      <c r="J39" s="74"/>
    </row>
    <row r="40" spans="1:10" ht="18.75" customHeight="1" x14ac:dyDescent="0.35">
      <c r="A40" s="111" t="s">
        <v>172</v>
      </c>
      <c r="B40" s="111"/>
      <c r="C40" s="111"/>
      <c r="D40" s="111"/>
      <c r="E40" s="111"/>
      <c r="F40" s="180"/>
      <c r="G40" s="180"/>
      <c r="H40" s="180"/>
      <c r="I40" s="180"/>
      <c r="J40" s="74"/>
    </row>
    <row r="41" spans="1:10" ht="18" x14ac:dyDescent="0.35">
      <c r="A41" s="111" t="s">
        <v>102</v>
      </c>
      <c r="B41" s="111"/>
      <c r="C41" s="111"/>
      <c r="D41" s="111"/>
      <c r="E41" s="111"/>
      <c r="F41" s="74"/>
      <c r="G41" s="74"/>
      <c r="H41" s="74"/>
      <c r="I41" s="74"/>
      <c r="J41" s="74"/>
    </row>
    <row r="42" spans="1:10" ht="18" x14ac:dyDescent="0.35">
      <c r="A42" s="74"/>
      <c r="B42" s="74"/>
      <c r="C42" s="74"/>
      <c r="D42" s="74"/>
      <c r="E42" s="74"/>
      <c r="G42" s="74"/>
      <c r="H42" s="74"/>
      <c r="I42" s="74"/>
      <c r="J42" s="74"/>
    </row>
    <row r="43" spans="1:10" ht="18" x14ac:dyDescent="0.35">
      <c r="A43" s="74"/>
      <c r="B43" s="74"/>
      <c r="C43" s="74"/>
      <c r="D43" s="74"/>
      <c r="E43" s="74"/>
      <c r="F43" s="74"/>
      <c r="G43" s="74"/>
      <c r="H43" s="74"/>
      <c r="I43" s="74"/>
      <c r="J43" s="74"/>
    </row>
    <row r="44" spans="1:10" ht="18" x14ac:dyDescent="0.35">
      <c r="A44" s="74"/>
      <c r="B44" s="74"/>
      <c r="C44" s="74"/>
      <c r="D44" s="74"/>
      <c r="E44" s="74"/>
      <c r="F44" s="74"/>
      <c r="G44" s="74"/>
      <c r="H44" s="74"/>
      <c r="I44" s="74"/>
      <c r="J44" s="74"/>
    </row>
    <row r="45" spans="1:10" ht="18" x14ac:dyDescent="0.35">
      <c r="A45" s="74"/>
      <c r="B45" s="74"/>
      <c r="C45" s="74"/>
      <c r="D45" s="74"/>
      <c r="E45" s="74"/>
      <c r="F45" s="74"/>
      <c r="G45" s="74"/>
      <c r="H45" s="74"/>
      <c r="I45" s="74"/>
      <c r="J45" s="74"/>
    </row>
    <row r="46" spans="1:10" ht="18" x14ac:dyDescent="0.35">
      <c r="A46" s="74"/>
      <c r="B46" s="74"/>
      <c r="C46" s="74"/>
      <c r="D46" s="74"/>
      <c r="E46" s="74"/>
      <c r="F46" s="74"/>
      <c r="G46" s="74"/>
      <c r="H46" s="74"/>
      <c r="I46" s="74"/>
      <c r="J46" s="74"/>
    </row>
    <row r="47" spans="1:10" ht="18" x14ac:dyDescent="0.35">
      <c r="A47" s="74"/>
      <c r="B47" s="74"/>
      <c r="C47" s="74"/>
      <c r="D47" s="74"/>
      <c r="E47" s="74"/>
      <c r="F47" s="74"/>
      <c r="G47" s="74"/>
      <c r="H47" s="74"/>
      <c r="I47" s="74"/>
      <c r="J47" s="74"/>
    </row>
    <row r="48" spans="1:10" ht="18" x14ac:dyDescent="0.35">
      <c r="A48" s="74"/>
      <c r="B48" s="74"/>
      <c r="C48" s="74"/>
      <c r="D48" s="74"/>
      <c r="E48" s="74"/>
      <c r="F48" s="74"/>
      <c r="G48" s="74"/>
      <c r="H48" s="74"/>
      <c r="I48" s="74"/>
      <c r="J48" s="74"/>
    </row>
    <row r="49" spans="1:10" ht="18" x14ac:dyDescent="0.35">
      <c r="A49" s="74"/>
      <c r="B49" s="74"/>
      <c r="C49" s="74"/>
      <c r="D49" s="74"/>
      <c r="E49" s="74"/>
      <c r="F49" s="74"/>
      <c r="G49" s="74"/>
      <c r="H49" s="74"/>
      <c r="I49" s="74"/>
      <c r="J49" s="74"/>
    </row>
    <row r="50" spans="1:10" ht="18" x14ac:dyDescent="0.35">
      <c r="A50" s="74"/>
      <c r="B50" s="74"/>
      <c r="C50" s="74"/>
      <c r="D50" s="74"/>
      <c r="E50" s="74"/>
      <c r="F50" s="74"/>
      <c r="G50" s="74"/>
      <c r="H50" s="74"/>
      <c r="I50" s="74"/>
      <c r="J50" s="74"/>
    </row>
    <row r="51" spans="1:10" ht="18" x14ac:dyDescent="0.35">
      <c r="A51" s="74"/>
      <c r="B51" s="74"/>
      <c r="C51" s="74"/>
      <c r="D51" s="74"/>
      <c r="E51" s="74"/>
      <c r="F51" s="74"/>
      <c r="G51" s="74"/>
      <c r="H51" s="74"/>
      <c r="I51" s="74"/>
      <c r="J51" s="74"/>
    </row>
    <row r="52" spans="1:10" ht="18" x14ac:dyDescent="0.35">
      <c r="A52" s="74"/>
      <c r="B52" s="74"/>
      <c r="C52" s="74"/>
      <c r="D52" s="74"/>
      <c r="E52" s="74"/>
      <c r="F52" s="74"/>
      <c r="G52" s="74"/>
      <c r="H52" s="74"/>
      <c r="I52" s="74"/>
      <c r="J52" s="74"/>
    </row>
    <row r="53" spans="1:10" ht="18" x14ac:dyDescent="0.35">
      <c r="A53" s="74"/>
      <c r="B53" s="74"/>
      <c r="C53" s="74"/>
      <c r="D53" s="74"/>
      <c r="E53" s="74"/>
      <c r="F53" s="74"/>
      <c r="G53" s="74"/>
      <c r="H53" s="74"/>
      <c r="I53" s="74"/>
      <c r="J53" s="74"/>
    </row>
    <row r="54" spans="1:10" ht="18" x14ac:dyDescent="0.35">
      <c r="A54" s="74"/>
      <c r="B54" s="74"/>
      <c r="C54" s="74"/>
      <c r="D54" s="74"/>
      <c r="E54" s="74"/>
      <c r="F54" s="74"/>
      <c r="G54" s="74"/>
      <c r="H54" s="74"/>
      <c r="I54" s="74"/>
      <c r="J54" s="74"/>
    </row>
    <row r="55" spans="1:10" ht="18" x14ac:dyDescent="0.35">
      <c r="A55" s="74"/>
      <c r="B55" s="74"/>
      <c r="C55" s="74"/>
      <c r="D55" s="74"/>
      <c r="E55" s="74"/>
      <c r="F55" s="74"/>
      <c r="G55" s="74"/>
      <c r="H55" s="74"/>
      <c r="I55" s="74"/>
      <c r="J55" s="74"/>
    </row>
    <row r="56" spans="1:10" ht="18" x14ac:dyDescent="0.35">
      <c r="A56" s="74"/>
      <c r="B56" s="74"/>
      <c r="C56" s="74"/>
      <c r="D56" s="74"/>
      <c r="E56" s="74"/>
      <c r="F56" s="74"/>
      <c r="G56" s="74"/>
      <c r="H56" s="74"/>
      <c r="I56" s="74"/>
      <c r="J56" s="74"/>
    </row>
    <row r="57" spans="1:10" ht="18" x14ac:dyDescent="0.35">
      <c r="A57" s="74"/>
      <c r="B57" s="74"/>
      <c r="C57" s="74"/>
      <c r="D57" s="74"/>
      <c r="E57" s="74"/>
      <c r="F57" s="74"/>
      <c r="G57" s="74"/>
      <c r="H57" s="74"/>
      <c r="I57" s="74"/>
      <c r="J57" s="74"/>
    </row>
    <row r="58" spans="1:10" ht="18" x14ac:dyDescent="0.35">
      <c r="A58" s="74"/>
      <c r="B58" s="74"/>
      <c r="C58" s="74"/>
      <c r="D58" s="74"/>
      <c r="E58" s="74"/>
      <c r="F58" s="74"/>
      <c r="G58" s="74"/>
      <c r="H58" s="74"/>
      <c r="I58" s="74"/>
      <c r="J58" s="74"/>
    </row>
    <row r="59" spans="1:10" ht="18" x14ac:dyDescent="0.35">
      <c r="A59" s="74"/>
      <c r="B59" s="74"/>
      <c r="C59" s="74"/>
      <c r="D59" s="74"/>
      <c r="E59" s="74"/>
      <c r="F59" s="74"/>
      <c r="G59" s="74"/>
      <c r="H59" s="74"/>
      <c r="I59" s="74"/>
      <c r="J59" s="74"/>
    </row>
    <row r="60" spans="1:10" ht="18" x14ac:dyDescent="0.35">
      <c r="A60" s="74"/>
      <c r="B60" s="74"/>
      <c r="C60" s="74"/>
      <c r="D60" s="74"/>
      <c r="E60" s="74"/>
      <c r="F60" s="74"/>
      <c r="G60" s="74"/>
      <c r="H60" s="74"/>
      <c r="I60" s="74"/>
      <c r="J60" s="74"/>
    </row>
    <row r="61" spans="1:10" ht="18" x14ac:dyDescent="0.35">
      <c r="A61" s="74"/>
      <c r="B61" s="74"/>
      <c r="C61" s="74"/>
      <c r="D61" s="74"/>
      <c r="E61" s="74"/>
      <c r="F61" s="74"/>
      <c r="G61" s="74"/>
      <c r="H61" s="74"/>
      <c r="I61" s="74"/>
      <c r="J61" s="74"/>
    </row>
    <row r="62" spans="1:10" ht="18" x14ac:dyDescent="0.35">
      <c r="A62" s="74"/>
      <c r="B62" s="74"/>
      <c r="C62" s="74"/>
      <c r="D62" s="74"/>
      <c r="E62" s="74"/>
      <c r="F62" s="74"/>
      <c r="G62" s="74"/>
      <c r="H62" s="74"/>
      <c r="I62" s="74"/>
      <c r="J62" s="74"/>
    </row>
    <row r="63" spans="1:10" ht="18" x14ac:dyDescent="0.35">
      <c r="A63" s="74"/>
      <c r="B63" s="74"/>
      <c r="C63" s="74"/>
      <c r="D63" s="74"/>
      <c r="E63" s="74"/>
      <c r="F63" s="74"/>
      <c r="G63" s="74"/>
      <c r="H63" s="74"/>
      <c r="I63" s="74"/>
      <c r="J63" s="74"/>
    </row>
    <row r="64" spans="1:10" ht="18" x14ac:dyDescent="0.35">
      <c r="A64" s="74"/>
      <c r="B64" s="74"/>
      <c r="C64" s="74"/>
      <c r="D64" s="74"/>
      <c r="E64" s="74"/>
      <c r="F64" s="74"/>
      <c r="G64" s="74"/>
      <c r="H64" s="74"/>
      <c r="I64" s="74"/>
      <c r="J64" s="74"/>
    </row>
    <row r="65" spans="1:10" ht="18" x14ac:dyDescent="0.35">
      <c r="A65" s="74"/>
      <c r="B65" s="74"/>
      <c r="C65" s="74"/>
      <c r="D65" s="74"/>
      <c r="E65" s="74"/>
      <c r="F65" s="74"/>
      <c r="G65" s="74"/>
      <c r="H65" s="74"/>
      <c r="I65" s="74"/>
      <c r="J65" s="74"/>
    </row>
    <row r="66" spans="1:10" ht="18" x14ac:dyDescent="0.35">
      <c r="A66" s="74"/>
      <c r="B66" s="74"/>
      <c r="C66" s="74"/>
      <c r="D66" s="74"/>
      <c r="E66" s="74"/>
      <c r="F66" s="74"/>
      <c r="G66" s="74"/>
      <c r="H66" s="74"/>
      <c r="I66" s="74"/>
      <c r="J66" s="74"/>
    </row>
    <row r="67" spans="1:10" ht="18" x14ac:dyDescent="0.35">
      <c r="A67" s="74"/>
      <c r="B67" s="74"/>
      <c r="C67" s="74"/>
      <c r="D67" s="74"/>
      <c r="E67" s="74"/>
      <c r="F67" s="74"/>
      <c r="G67" s="74"/>
      <c r="H67" s="74"/>
      <c r="I67" s="74"/>
      <c r="J67" s="74"/>
    </row>
    <row r="68" spans="1:10" ht="18" x14ac:dyDescent="0.35">
      <c r="A68" s="74"/>
      <c r="B68" s="74"/>
      <c r="C68" s="74"/>
      <c r="D68" s="74"/>
      <c r="E68" s="74"/>
      <c r="F68" s="74"/>
      <c r="G68" s="74"/>
      <c r="H68" s="74"/>
      <c r="I68" s="74"/>
      <c r="J68" s="74"/>
    </row>
    <row r="69" spans="1:10" ht="18" x14ac:dyDescent="0.35">
      <c r="A69" s="74"/>
      <c r="B69" s="74"/>
      <c r="C69" s="74"/>
      <c r="D69" s="74"/>
      <c r="E69" s="74"/>
      <c r="F69" s="74"/>
      <c r="G69" s="74"/>
      <c r="H69" s="74"/>
      <c r="I69" s="74"/>
      <c r="J69" s="74"/>
    </row>
    <row r="70" spans="1:10" ht="18" x14ac:dyDescent="0.35">
      <c r="A70" s="74"/>
      <c r="B70" s="74"/>
      <c r="C70" s="74"/>
      <c r="D70" s="74"/>
      <c r="E70" s="74"/>
      <c r="F70" s="74"/>
      <c r="G70" s="74"/>
      <c r="H70" s="74"/>
      <c r="I70" s="74"/>
      <c r="J70" s="74"/>
    </row>
    <row r="71" spans="1:10" ht="18" x14ac:dyDescent="0.35">
      <c r="A71" s="74"/>
      <c r="B71" s="74"/>
      <c r="C71" s="74"/>
      <c r="D71" s="74"/>
      <c r="E71" s="74"/>
      <c r="F71" s="74"/>
      <c r="G71" s="74"/>
      <c r="H71" s="74"/>
      <c r="I71" s="74"/>
      <c r="J71" s="74"/>
    </row>
    <row r="72" spans="1:10" ht="18" x14ac:dyDescent="0.35">
      <c r="A72" s="74"/>
      <c r="B72" s="74"/>
      <c r="C72" s="74"/>
      <c r="D72" s="74"/>
      <c r="E72" s="74"/>
      <c r="F72" s="74"/>
      <c r="G72" s="74"/>
      <c r="H72" s="74"/>
      <c r="I72" s="74"/>
      <c r="J72" s="74"/>
    </row>
    <row r="73" spans="1:10" ht="18" x14ac:dyDescent="0.35">
      <c r="A73" s="74"/>
      <c r="B73" s="74"/>
      <c r="C73" s="74"/>
      <c r="D73" s="74"/>
      <c r="E73" s="74"/>
      <c r="F73" s="74"/>
      <c r="G73" s="74"/>
      <c r="H73" s="74"/>
      <c r="I73" s="74"/>
      <c r="J73" s="74"/>
    </row>
    <row r="74" spans="1:10" ht="18" x14ac:dyDescent="0.35">
      <c r="A74" s="74"/>
      <c r="B74" s="74"/>
      <c r="C74" s="74"/>
      <c r="D74" s="74"/>
      <c r="E74" s="74"/>
      <c r="F74" s="74"/>
      <c r="G74" s="74"/>
      <c r="H74" s="74"/>
      <c r="I74" s="74"/>
      <c r="J74" s="74"/>
    </row>
    <row r="75" spans="1:10" ht="18" x14ac:dyDescent="0.35">
      <c r="A75" s="74"/>
      <c r="B75" s="74"/>
      <c r="C75" s="74"/>
      <c r="D75" s="74"/>
      <c r="E75" s="74"/>
      <c r="F75" s="74"/>
      <c r="G75" s="74"/>
      <c r="H75" s="74"/>
      <c r="I75" s="74"/>
      <c r="J75" s="74"/>
    </row>
    <row r="76" spans="1:10" ht="18" x14ac:dyDescent="0.35">
      <c r="A76" s="74"/>
      <c r="B76" s="74"/>
      <c r="C76" s="74"/>
      <c r="D76" s="74"/>
      <c r="E76" s="74"/>
      <c r="F76" s="74"/>
      <c r="G76" s="74"/>
      <c r="H76" s="74"/>
      <c r="I76" s="74"/>
      <c r="J76" s="74"/>
    </row>
    <row r="77" spans="1:10" ht="18" x14ac:dyDescent="0.35">
      <c r="A77" s="74"/>
      <c r="B77" s="74"/>
      <c r="C77" s="74"/>
      <c r="D77" s="74"/>
      <c r="E77" s="74"/>
      <c r="F77" s="74"/>
      <c r="G77" s="74"/>
      <c r="H77" s="74"/>
      <c r="I77" s="74"/>
      <c r="J77" s="74"/>
    </row>
    <row r="78" spans="1:10" ht="18" x14ac:dyDescent="0.35">
      <c r="A78" s="74"/>
      <c r="B78" s="74"/>
      <c r="C78" s="74"/>
      <c r="D78" s="74"/>
      <c r="E78" s="74"/>
      <c r="F78" s="74"/>
      <c r="G78" s="74"/>
      <c r="H78" s="74"/>
      <c r="I78" s="74"/>
      <c r="J78" s="74"/>
    </row>
    <row r="79" spans="1:10" ht="18" x14ac:dyDescent="0.35">
      <c r="A79" s="74"/>
      <c r="B79" s="74"/>
      <c r="C79" s="74"/>
      <c r="D79" s="74"/>
      <c r="E79" s="74"/>
      <c r="F79" s="74"/>
      <c r="G79" s="74"/>
      <c r="H79" s="74"/>
      <c r="I79" s="74"/>
      <c r="J79" s="74"/>
    </row>
    <row r="80" spans="1:10" ht="18" x14ac:dyDescent="0.35">
      <c r="A80" s="74"/>
      <c r="B80" s="74"/>
      <c r="C80" s="74"/>
      <c r="D80" s="74"/>
      <c r="E80" s="74"/>
      <c r="F80" s="74"/>
      <c r="G80" s="74"/>
      <c r="H80" s="74"/>
      <c r="I80" s="74"/>
      <c r="J80" s="74"/>
    </row>
    <row r="81" spans="1:10" ht="18" x14ac:dyDescent="0.35">
      <c r="A81" s="74"/>
      <c r="B81" s="74"/>
      <c r="C81" s="74"/>
      <c r="D81" s="74"/>
      <c r="E81" s="74"/>
      <c r="F81" s="74"/>
      <c r="G81" s="74"/>
      <c r="H81" s="74"/>
      <c r="I81" s="74"/>
      <c r="J81" s="74"/>
    </row>
    <row r="82" spans="1:10" ht="18" x14ac:dyDescent="0.35">
      <c r="A82" s="74"/>
      <c r="B82" s="74"/>
      <c r="C82" s="74"/>
      <c r="D82" s="74"/>
      <c r="E82" s="74"/>
      <c r="F82" s="74"/>
      <c r="G82" s="74"/>
      <c r="H82" s="74"/>
      <c r="I82" s="74"/>
      <c r="J82" s="74"/>
    </row>
    <row r="83" spans="1:10" ht="18" x14ac:dyDescent="0.35">
      <c r="A83" s="74"/>
      <c r="B83" s="74"/>
      <c r="C83" s="74"/>
      <c r="D83" s="74"/>
      <c r="E83" s="74"/>
      <c r="F83" s="74"/>
      <c r="G83" s="74"/>
      <c r="H83" s="74"/>
      <c r="I83" s="74"/>
      <c r="J83" s="74"/>
    </row>
    <row r="84" spans="1:10" ht="18" x14ac:dyDescent="0.35">
      <c r="A84" s="74"/>
      <c r="B84" s="74"/>
      <c r="C84" s="74"/>
      <c r="D84" s="74"/>
      <c r="E84" s="74"/>
      <c r="F84" s="74"/>
      <c r="G84" s="74"/>
      <c r="H84" s="74"/>
      <c r="I84" s="74"/>
      <c r="J84" s="74"/>
    </row>
    <row r="85" spans="1:10" ht="18" x14ac:dyDescent="0.35">
      <c r="A85" s="74"/>
      <c r="B85" s="74"/>
      <c r="C85" s="74"/>
      <c r="D85" s="74"/>
      <c r="E85" s="74"/>
      <c r="F85" s="74"/>
      <c r="G85" s="74"/>
      <c r="H85" s="74"/>
      <c r="I85" s="74"/>
      <c r="J85" s="74"/>
    </row>
    <row r="86" spans="1:10" ht="18" x14ac:dyDescent="0.35">
      <c r="A86" s="74"/>
      <c r="B86" s="74"/>
      <c r="C86" s="74"/>
      <c r="D86" s="74"/>
      <c r="E86" s="74"/>
      <c r="F86" s="74"/>
      <c r="G86" s="74"/>
      <c r="H86" s="74"/>
      <c r="I86" s="74"/>
      <c r="J86" s="74"/>
    </row>
    <row r="87" spans="1:10" ht="18" x14ac:dyDescent="0.35">
      <c r="A87" s="74"/>
      <c r="B87" s="74"/>
      <c r="C87" s="74"/>
      <c r="D87" s="74"/>
      <c r="E87" s="74"/>
      <c r="F87" s="74"/>
      <c r="G87" s="74"/>
      <c r="H87" s="74"/>
      <c r="I87" s="74"/>
      <c r="J87" s="74"/>
    </row>
    <row r="88" spans="1:10" ht="18" x14ac:dyDescent="0.35">
      <c r="A88" s="74"/>
      <c r="B88" s="74"/>
      <c r="C88" s="74"/>
      <c r="D88" s="74"/>
      <c r="E88" s="74"/>
      <c r="F88" s="74"/>
      <c r="G88" s="74"/>
      <c r="H88" s="74"/>
      <c r="I88" s="74"/>
      <c r="J88" s="74"/>
    </row>
    <row r="89" spans="1:10" ht="18" x14ac:dyDescent="0.35">
      <c r="A89" s="74"/>
      <c r="B89" s="74"/>
      <c r="C89" s="74"/>
      <c r="D89" s="74"/>
      <c r="E89" s="74"/>
      <c r="F89" s="74"/>
      <c r="G89" s="74"/>
      <c r="H89" s="74"/>
      <c r="I89" s="74"/>
      <c r="J89" s="74"/>
    </row>
    <row r="90" spans="1:10" ht="18" x14ac:dyDescent="0.35">
      <c r="A90" s="74"/>
      <c r="B90" s="74"/>
      <c r="C90" s="74"/>
      <c r="D90" s="74"/>
      <c r="E90" s="74"/>
      <c r="F90" s="74"/>
      <c r="G90" s="74"/>
      <c r="H90" s="74"/>
      <c r="I90" s="74"/>
      <c r="J90" s="74"/>
    </row>
    <row r="91" spans="1:10" ht="18" x14ac:dyDescent="0.35">
      <c r="A91" s="74"/>
      <c r="B91" s="74"/>
      <c r="C91" s="74"/>
      <c r="D91" s="74"/>
      <c r="E91" s="74"/>
      <c r="F91" s="74"/>
      <c r="G91" s="74"/>
      <c r="H91" s="74"/>
      <c r="I91" s="74"/>
      <c r="J91" s="74"/>
    </row>
    <row r="92" spans="1:10" ht="18" x14ac:dyDescent="0.35">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4140625" defaultRowHeight="13.2" x14ac:dyDescent="0.25"/>
  <cols>
    <col min="1" max="1" width="57.33203125" style="1" customWidth="1"/>
    <col min="2" max="2" width="13" style="1" customWidth="1"/>
    <col min="3" max="3" width="12.5546875" style="1" customWidth="1"/>
    <col min="4" max="4" width="8.6640625" style="1" customWidth="1"/>
    <col min="5" max="6" width="12.6640625" style="1" customWidth="1"/>
    <col min="7" max="7" width="8.6640625" style="1" customWidth="1"/>
    <col min="8" max="8" width="13.44140625" style="1" customWidth="1"/>
    <col min="9" max="9" width="14" style="1" customWidth="1"/>
    <col min="10" max="10" width="8.6640625" style="1" customWidth="1"/>
    <col min="11" max="16384" width="11.44140625" style="1"/>
  </cols>
  <sheetData>
    <row r="1" spans="1:14" ht="15.75" customHeight="1" x14ac:dyDescent="0.25">
      <c r="A1" s="346">
        <v>4</v>
      </c>
      <c r="B1" s="4"/>
      <c r="C1" s="4"/>
      <c r="D1" s="4"/>
      <c r="E1" s="4"/>
      <c r="F1" s="4"/>
      <c r="G1" s="4"/>
      <c r="H1" s="4"/>
      <c r="I1" s="4"/>
      <c r="J1" s="4"/>
    </row>
    <row r="2" spans="1:14" ht="15.75" customHeight="1" x14ac:dyDescent="0.3">
      <c r="A2" s="164" t="s">
        <v>28</v>
      </c>
      <c r="B2" s="953"/>
      <c r="C2" s="953"/>
      <c r="D2" s="953"/>
      <c r="E2" s="953"/>
      <c r="F2" s="953"/>
      <c r="G2" s="953"/>
      <c r="H2" s="953"/>
      <c r="I2" s="953"/>
      <c r="J2" s="953"/>
    </row>
    <row r="3" spans="1:14" ht="15.75" customHeight="1" x14ac:dyDescent="0.3">
      <c r="A3" s="162"/>
      <c r="B3" s="294"/>
      <c r="C3" s="294"/>
      <c r="D3" s="294"/>
      <c r="E3" s="294"/>
      <c r="F3" s="294"/>
      <c r="G3" s="294"/>
      <c r="H3" s="294"/>
      <c r="I3" s="294"/>
      <c r="J3" s="294"/>
    </row>
    <row r="4" spans="1:14" ht="15.75" customHeight="1" x14ac:dyDescent="0.25">
      <c r="A4" s="143"/>
      <c r="B4" s="954" t="s">
        <v>0</v>
      </c>
      <c r="C4" s="955"/>
      <c r="D4" s="955"/>
      <c r="E4" s="954" t="s">
        <v>1</v>
      </c>
      <c r="F4" s="955"/>
      <c r="G4" s="955"/>
      <c r="H4" s="954" t="s">
        <v>2</v>
      </c>
      <c r="I4" s="955"/>
      <c r="J4" s="956"/>
    </row>
    <row r="5" spans="1:14" ht="15.75" customHeight="1" x14ac:dyDescent="0.25">
      <c r="A5" s="157"/>
      <c r="B5" s="20" t="s">
        <v>508</v>
      </c>
      <c r="C5" s="20" t="s">
        <v>509</v>
      </c>
      <c r="D5" s="247" t="s">
        <v>3</v>
      </c>
      <c r="E5" s="20" t="s">
        <v>508</v>
      </c>
      <c r="F5" s="20" t="s">
        <v>509</v>
      </c>
      <c r="G5" s="247" t="s">
        <v>3</v>
      </c>
      <c r="H5" s="20" t="s">
        <v>508</v>
      </c>
      <c r="I5" s="20" t="s">
        <v>509</v>
      </c>
      <c r="J5" s="247" t="s">
        <v>3</v>
      </c>
      <c r="M5" s="3"/>
      <c r="N5" s="3"/>
    </row>
    <row r="6" spans="1:14" ht="15.75" customHeight="1" x14ac:dyDescent="0.25">
      <c r="A6" s="926"/>
      <c r="B6" s="15"/>
      <c r="C6" s="15"/>
      <c r="D6" s="17" t="s">
        <v>4</v>
      </c>
      <c r="E6" s="16"/>
      <c r="F6" s="16"/>
      <c r="G6" s="15" t="s">
        <v>4</v>
      </c>
      <c r="H6" s="16"/>
      <c r="I6" s="16"/>
      <c r="J6" s="15" t="s">
        <v>4</v>
      </c>
      <c r="M6" s="326"/>
      <c r="N6" s="3"/>
    </row>
    <row r="7" spans="1:14" s="43" customFormat="1" ht="15.75" customHeight="1" x14ac:dyDescent="0.25">
      <c r="A7" s="14" t="s">
        <v>23</v>
      </c>
      <c r="B7" s="234">
        <f>'Fremtind Livsforsikring'!B7+'Danica Pensjonsforsikring'!B7+'DNB Livsforsikring'!B7+'Eika Forsikring AS'!B7+'Frende Livsforsikring'!B7+'Frende Skadeforsikring'!B7+'Gjensidige Forsikring'!B7+'Gjensidige Pensjon'!B7+'Handelsbanken Liv'!B7+'If Skadeforsikring NUF'!B7+KLP!B7+'DNB Bedriftspensjon'!B7+'KLP Skadeforsikring AS'!B7+'Landkreditt Forsikring'!B7+Insr!B7+'Nordea Liv '!B7+'Oslo Pensjonsforsikring'!B7+'Protector Forsikring'!B7+'SHB Liv'!B7+'Sparebank 1'!B7+'Storebrand Livsforsikring'!B7+'Telenor Forsikring'!B7+'Tryg Forsikring'!B7+'WaterCircles F'!B7+'Codan Forsikring'!B7+'Euro Accident'!B7</f>
        <v>4754287.8764549326</v>
      </c>
      <c r="C7" s="234">
        <f>'Fremtind Livsforsikring'!C7+'Danica Pensjonsforsikring'!C7+'DNB Livsforsikring'!C7+'Eika Forsikring AS'!C7+'Frende Livsforsikring'!C7+'Frende Skadeforsikring'!C7+'Gjensidige Forsikring'!C7+'Gjensidige Pensjon'!C7+'Handelsbanken Liv'!C7+'If Skadeforsikring NUF'!C7+KLP!C7+'DNB Bedriftspensjon'!C7+'KLP Skadeforsikring AS'!C7+'Landkreditt Forsikring'!C7+Insr!C7+'Nordea Liv '!C7+'Oslo Pensjonsforsikring'!C7+'Protector Forsikring'!C7+'SHB Liv'!C7+'Sparebank 1'!C7+'Storebrand Livsforsikring'!C7+'Telenor Forsikring'!C7+'Tryg Forsikring'!C7+'WaterCircles F'!C7+'Codan Forsikring'!C7+'Euro Accident'!C7</f>
        <v>4921399.6243089605</v>
      </c>
      <c r="D7" s="159">
        <f t="shared" ref="D7:D12" si="0">IF(B7=0, "    ---- ", IF(ABS(ROUND(100/B7*C7-100,1))&lt;999,ROUND(100/B7*C7-100,1),IF(ROUND(100/B7*C7-100,1)&gt;999,999,-999)))</f>
        <v>3.5</v>
      </c>
      <c r="E7" s="234">
        <f>'Fremtind Livsforsikring'!F7+'Danica Pensjonsforsikring'!F7+'DNB Livsforsikring'!F7+'Eika Forsikring AS'!F7+'Frende Livsforsikring'!F7+'Frende Skadeforsikring'!F7+'Gjensidige Forsikring'!F7+'Gjensidige Pensjon'!F7+'Handelsbanken Liv'!F7+'If Skadeforsikring NUF'!F7+KLP!F7+'DNB Bedriftspensjon'!F7+'KLP Skadeforsikring AS'!F7+'Landkreditt Forsikring'!F7+Insr!F7+'Nordea Liv '!F7+'Oslo Pensjonsforsikring'!F7+'Protector Forsikring'!F7+'SHB Liv'!F7+'Sparebank 1'!F7+'Storebrand Livsforsikring'!F7+'Telenor Forsikring'!F7+'Tryg Forsikring'!F7+'WaterCircles F'!F7+'Codan Forsikring'!F7+'Euro Accident'!F7</f>
        <v>10300600.243620001</v>
      </c>
      <c r="F7" s="234">
        <f>'Fremtind Livsforsikring'!G7+'Danica Pensjonsforsikring'!G7+'DNB Livsforsikring'!G7+'Eika Forsikring AS'!G7+'Frende Livsforsikring'!G7+'Frende Skadeforsikring'!G7+'Gjensidige Forsikring'!G7+'Gjensidige Pensjon'!G7+'Handelsbanken Liv'!G7+'If Skadeforsikring NUF'!G7+KLP!G7+'DNB Bedriftspensjon'!G7+'KLP Skadeforsikring AS'!G7+'Landkreditt Forsikring'!G7+Insr!G7+'Nordea Liv '!G7+'Oslo Pensjonsforsikring'!G7+'Protector Forsikring'!G7+'SHB Liv'!G7+'Sparebank 1'!G7+'Storebrand Livsforsikring'!G7+'Telenor Forsikring'!G7+'Tryg Forsikring'!G7+'WaterCircles F'!G7+'Codan Forsikring'!G7+'Euro Accident'!G7</f>
        <v>14737501.114489999</v>
      </c>
      <c r="G7" s="159">
        <f t="shared" ref="G7:G12" si="1">IF(E7=0, "    ---- ", IF(ABS(ROUND(100/E7*F7-100,1))&lt;999,ROUND(100/E7*F7-100,1),IF(ROUND(100/E7*F7-100,1)&gt;999,999,-999)))</f>
        <v>43.1</v>
      </c>
      <c r="H7" s="274">
        <f t="shared" ref="H7:H12" si="2">B7+E7</f>
        <v>15054888.120074933</v>
      </c>
      <c r="I7" s="275">
        <f t="shared" ref="I7:I12" si="3">C7+F7</f>
        <v>19658900.738798961</v>
      </c>
      <c r="J7" s="170">
        <f t="shared" ref="J7:J12" si="4">IF(H7=0, "    ---- ", IF(ABS(ROUND(100/H7*I7-100,1))&lt;999,ROUND(100/H7*I7-100,1),IF(ROUND(100/H7*I7-100,1)&gt;999,999,-999)))</f>
        <v>30.6</v>
      </c>
      <c r="M7" s="414"/>
      <c r="N7" s="414"/>
    </row>
    <row r="8" spans="1:14" ht="15.75" customHeight="1" x14ac:dyDescent="0.25">
      <c r="A8" s="21" t="s">
        <v>25</v>
      </c>
      <c r="B8" s="44">
        <f>'Fremtind Livsforsikring'!B8+'Danica Pensjonsforsikring'!B8+'DNB Livsforsikring'!B8+'Eika Forsikring AS'!B8+'Frende Livsforsikring'!B8+'Frende Skadeforsikring'!B8+'Gjensidige Forsikring'!B8+'Gjensidige Pensjon'!B8+'Handelsbanken Liv'!B8+'If Skadeforsikring NUF'!B8+KLP!B8+'DNB Bedriftspensjon'!B8+'KLP Skadeforsikring AS'!B8+'Landkreditt Forsikring'!B8+Insr!B8+'Nordea Liv '!B8+'Oslo Pensjonsforsikring'!B8+'Protector Forsikring'!B8+'SHB Liv'!B8+'Sparebank 1'!B8+'Storebrand Livsforsikring'!B8+'Telenor Forsikring'!B8+'Tryg Forsikring'!B8+'WaterCircles F'!B8+'Codan Forsikring'!B8+'Euro Accident'!B8</f>
        <v>3102789.2383749909</v>
      </c>
      <c r="C8" s="44">
        <f>'Fremtind Livsforsikring'!C8+'Danica Pensjonsforsikring'!C8+'DNB Livsforsikring'!C8+'Eika Forsikring AS'!C8+'Frende Livsforsikring'!C8+'Frende Skadeforsikring'!C8+'Gjensidige Forsikring'!C8+'Gjensidige Pensjon'!C8+'Handelsbanken Liv'!C8+'If Skadeforsikring NUF'!C8+KLP!C8+'DNB Bedriftspensjon'!C8+'KLP Skadeforsikring AS'!C8+'Landkreditt Forsikring'!C8+Insr!C8+'Nordea Liv '!C8+'Oslo Pensjonsforsikring'!C8+'Protector Forsikring'!C8+'SHB Liv'!C8+'Sparebank 1'!C8+'Storebrand Livsforsikring'!C8+'Telenor Forsikring'!C8+'Tryg Forsikring'!C8+'WaterCircles F'!C8+'Codan Forsikring'!C8+'Euro Accident'!C8</f>
        <v>3239033.1046086219</v>
      </c>
      <c r="D8" s="165">
        <f t="shared" si="0"/>
        <v>4.4000000000000004</v>
      </c>
      <c r="E8" s="185">
        <f>'Fremtind Livsforsikring'!F8+'Danica Pensjonsforsikring'!F8+'DNB Livsforsikring'!F8+'Eika Forsikring AS'!F8+'Frende Livsforsikring'!F8+'Frende Skadeforsikring'!F8+'Gjensidige Forsikring'!F8+'Gjensidige Pensjon'!F8+'Handelsbanken Liv'!F8+'If Skadeforsikring NUF'!F8+KLP!F8+'DNB Bedriftspensjon'!F8+'KLP Skadeforsikring AS'!F8+'Landkreditt Forsikring'!F8+Insr!F8+'Nordea Liv '!F8+'Oslo Pensjonsforsikring'!F8+'Protector Forsikring'!F8+'SHB Liv'!F8+'Sparebank 1'!F8+'Storebrand Livsforsikring'!F8+'Telenor Forsikring'!F8+'Tryg Forsikring'!F8+'WaterCircles F'!F8+'Codan Forsikring'!F8+'Euro Accident'!F8</f>
        <v>0</v>
      </c>
      <c r="F8" s="185">
        <f>'Fremtind Livsforsikring'!G8+'Danica Pensjonsforsikring'!G8+'DNB Livsforsikring'!G8+'Eika Forsikring AS'!G8+'Frende Livsforsikring'!G8+'Frende Skadeforsikring'!G8+'Gjensidige Forsikring'!G8+'Gjensidige Pensjon'!G8+'Handelsbanken Liv'!G8+'If Skadeforsikring NUF'!G8+KLP!G8+'DNB Bedriftspensjon'!G8+'KLP Skadeforsikring AS'!G8+'Landkreditt Forsikring'!G8+Insr!G8+'Nordea Liv '!G8+'Oslo Pensjonsforsikring'!G8+'Protector Forsikring'!G8+'SHB Liv'!G8+'Sparebank 1'!G8+'Storebrand Livsforsikring'!G8+'Telenor Forsikring'!G8+'Tryg Forsikring'!G8+'WaterCircles F'!G8+'Codan Forsikring'!G8+'Euro Accident'!G8</f>
        <v>0</v>
      </c>
      <c r="G8" s="174"/>
      <c r="H8" s="187">
        <f t="shared" si="2"/>
        <v>3102789.2383749909</v>
      </c>
      <c r="I8" s="188">
        <f t="shared" si="3"/>
        <v>3239033.1046086219</v>
      </c>
      <c r="J8" s="170">
        <f t="shared" si="4"/>
        <v>4.4000000000000004</v>
      </c>
    </row>
    <row r="9" spans="1:14" ht="15.75" customHeight="1" x14ac:dyDescent="0.25">
      <c r="A9" s="21" t="s">
        <v>24</v>
      </c>
      <c r="B9" s="44">
        <f>'Fremtind Livsforsikring'!B9+'Danica Pensjonsforsikring'!B9+'DNB Livsforsikring'!B9+'Eika Forsikring AS'!B9+'Frende Livsforsikring'!B9+'Frende Skadeforsikring'!B9+'Gjensidige Forsikring'!B9+'Gjensidige Pensjon'!B9+'Handelsbanken Liv'!B9+'If Skadeforsikring NUF'!B9+KLP!B9+'DNB Bedriftspensjon'!B9+'KLP Skadeforsikring AS'!B9+'Landkreditt Forsikring'!B9+Insr!B9+'Nordea Liv '!B9+'Oslo Pensjonsforsikring'!B9+'Protector Forsikring'!B9+'SHB Liv'!B9+'Sparebank 1'!B9+'Storebrand Livsforsikring'!B9+'Telenor Forsikring'!B9+'Tryg Forsikring'!B9+'WaterCircles F'!B9+'Codan Forsikring'!B9+'Euro Accident'!B9</f>
        <v>948228.276568542</v>
      </c>
      <c r="C9" s="44">
        <f>'Fremtind Livsforsikring'!C9+'Danica Pensjonsforsikring'!C9+'DNB Livsforsikring'!C9+'Eika Forsikring AS'!C9+'Frende Livsforsikring'!C9+'Frende Skadeforsikring'!C9+'Gjensidige Forsikring'!C9+'Gjensidige Pensjon'!C9+'Handelsbanken Liv'!C9+'If Skadeforsikring NUF'!C9+KLP!C9+'DNB Bedriftspensjon'!C9+'KLP Skadeforsikring AS'!C9+'Landkreditt Forsikring'!C9+Insr!C9+'Nordea Liv '!C9+'Oslo Pensjonsforsikring'!C9+'Protector Forsikring'!C9+'SHB Liv'!C9+'Sparebank 1'!C9+'Storebrand Livsforsikring'!C9+'Telenor Forsikring'!C9+'Tryg Forsikring'!C9+'WaterCircles F'!C9+'Codan Forsikring'!C9+'Euro Accident'!C9</f>
        <v>997073.82737033896</v>
      </c>
      <c r="D9" s="174">
        <f t="shared" si="0"/>
        <v>5.2</v>
      </c>
      <c r="E9" s="185">
        <f>'Fremtind Livsforsikring'!F9+'Danica Pensjonsforsikring'!F9+'DNB Livsforsikring'!F9+'Eika Forsikring AS'!F9+'Frende Livsforsikring'!F9+'Frende Skadeforsikring'!F9+'Gjensidige Forsikring'!F9+'Gjensidige Pensjon'!F9+'Handelsbanken Liv'!F9+'If Skadeforsikring NUF'!F9+KLP!F9+'DNB Bedriftspensjon'!F9+'KLP Skadeforsikring AS'!F9+'Landkreditt Forsikring'!F9+Insr!F9+'Nordea Liv '!F9+'Oslo Pensjonsforsikring'!F9+'Protector Forsikring'!F9+'SHB Liv'!F9+'Sparebank 1'!F9+'Storebrand Livsforsikring'!F9+'Telenor Forsikring'!F9+'Tryg Forsikring'!F9+'WaterCircles F'!F9+'Codan Forsikring'!F9+'Euro Accident'!F9</f>
        <v>0</v>
      </c>
      <c r="F9" s="185">
        <f>'Fremtind Livsforsikring'!G9+'Danica Pensjonsforsikring'!G9+'DNB Livsforsikring'!G9+'Eika Forsikring AS'!G9+'Frende Livsforsikring'!G9+'Frende Skadeforsikring'!G9+'Gjensidige Forsikring'!G9+'Gjensidige Pensjon'!G9+'Handelsbanken Liv'!G9+'If Skadeforsikring NUF'!G9+KLP!G9+'DNB Bedriftspensjon'!G9+'KLP Skadeforsikring AS'!G9+'Landkreditt Forsikring'!G9+Insr!G9+'Nordea Liv '!G9+'Oslo Pensjonsforsikring'!G9+'Protector Forsikring'!G9+'SHB Liv'!G9+'Sparebank 1'!G9+'Storebrand Livsforsikring'!G9+'Telenor Forsikring'!G9+'Tryg Forsikring'!G9+'WaterCircles F'!G9+'Codan Forsikring'!G9+'Euro Accident'!G9</f>
        <v>0</v>
      </c>
      <c r="G9" s="174"/>
      <c r="H9" s="187">
        <f t="shared" si="2"/>
        <v>948228.276568542</v>
      </c>
      <c r="I9" s="188">
        <f t="shared" si="3"/>
        <v>997073.82737033896</v>
      </c>
      <c r="J9" s="170">
        <f t="shared" si="4"/>
        <v>5.2</v>
      </c>
    </row>
    <row r="10" spans="1:14" s="43" customFormat="1" ht="15.75" customHeight="1" x14ac:dyDescent="0.25">
      <c r="A10" s="39" t="s">
        <v>444</v>
      </c>
      <c r="B10" s="234">
        <f>'Fremtind Livsforsikring'!B10+'Danica Pensjonsforsikring'!B10+'DNB Livsforsikring'!B10+'Eika Forsikring AS'!B10+'Frende Livsforsikring'!B10+'Frende Skadeforsikring'!B10+'Gjensidige Forsikring'!B10+'Gjensidige Pensjon'!B10+'Handelsbanken Liv'!B10+'If Skadeforsikring NUF'!B10+KLP!B10+'DNB Bedriftspensjon'!B10+'KLP Skadeforsikring AS'!B10+'Landkreditt Forsikring'!B10+Insr!B10+'Nordea Liv '!B10+'Oslo Pensjonsforsikring'!B10+'Protector Forsikring'!B10+'SHB Liv'!B10+'Sparebank 1'!B10+'Storebrand Livsforsikring'!B10+'Telenor Forsikring'!B10+'Tryg Forsikring'!B10+'WaterCircles F'!B10+'Codan Forsikring'!B10+'Euro Accident'!B10</f>
        <v>19728456.856805526</v>
      </c>
      <c r="C10" s="234">
        <f>'Fremtind Livsforsikring'!C10+'Danica Pensjonsforsikring'!C10+'DNB Livsforsikring'!C10+'Eika Forsikring AS'!C10+'Frende Livsforsikring'!C10+'Frende Skadeforsikring'!C10+'Gjensidige Forsikring'!C10+'Gjensidige Pensjon'!C10+'Handelsbanken Liv'!C10+'If Skadeforsikring NUF'!C10+KLP!C10+'DNB Bedriftspensjon'!C10+'KLP Skadeforsikring AS'!C10+'Landkreditt Forsikring'!C10+Insr!C10+'Nordea Liv '!C10+'Oslo Pensjonsforsikring'!C10+'Protector Forsikring'!C10+'SHB Liv'!C10+'Sparebank 1'!C10+'Storebrand Livsforsikring'!C10+'Telenor Forsikring'!C10+'Tryg Forsikring'!C10+'WaterCircles F'!C10+'Codan Forsikring'!C10+'Euro Accident'!C10</f>
        <v>18862715.228700001</v>
      </c>
      <c r="D10" s="159">
        <f t="shared" si="0"/>
        <v>-4.4000000000000004</v>
      </c>
      <c r="E10" s="234">
        <f>'Fremtind Livsforsikring'!F10+'Danica Pensjonsforsikring'!F10+'DNB Livsforsikring'!F10+'Eika Forsikring AS'!F10+'Frende Livsforsikring'!F10+'Frende Skadeforsikring'!F10+'Gjensidige Forsikring'!F10+'Gjensidige Pensjon'!F10+'Handelsbanken Liv'!F10+'If Skadeforsikring NUF'!F10+KLP!F10+'DNB Bedriftspensjon'!F10+'KLP Skadeforsikring AS'!F10+'Landkreditt Forsikring'!F10+Insr!F10+'Nordea Liv '!F10+'Oslo Pensjonsforsikring'!F10+'Protector Forsikring'!F10+'SHB Liv'!F10+'Sparebank 1'!F10+'Storebrand Livsforsikring'!F10+'Telenor Forsikring'!F10+'Tryg Forsikring'!F10+'WaterCircles F'!F10+'Codan Forsikring'!F10+'Euro Accident'!F10</f>
        <v>60691386.425099999</v>
      </c>
      <c r="F10" s="234">
        <f>'Fremtind Livsforsikring'!G10+'Danica Pensjonsforsikring'!G10+'DNB Livsforsikring'!G10+'Eika Forsikring AS'!G10+'Frende Livsforsikring'!G10+'Frende Skadeforsikring'!G10+'Gjensidige Forsikring'!G10+'Gjensidige Pensjon'!G10+'Handelsbanken Liv'!G10+'If Skadeforsikring NUF'!G10+KLP!G10+'DNB Bedriftspensjon'!G10+'KLP Skadeforsikring AS'!G10+'Landkreditt Forsikring'!G10+Insr!G10+'Nordea Liv '!G10+'Oslo Pensjonsforsikring'!G10+'Protector Forsikring'!G10+'SHB Liv'!G10+'Sparebank 1'!G10+'Storebrand Livsforsikring'!G10+'Telenor Forsikring'!G10+'Tryg Forsikring'!G10+'WaterCircles F'!G10+'Codan Forsikring'!G10+'Euro Accident'!G10</f>
        <v>77324438.96676001</v>
      </c>
      <c r="G10" s="159">
        <f t="shared" si="1"/>
        <v>27.4</v>
      </c>
      <c r="H10" s="274">
        <f t="shared" si="2"/>
        <v>80419843.281905532</v>
      </c>
      <c r="I10" s="275">
        <f t="shared" si="3"/>
        <v>96187154.195460007</v>
      </c>
      <c r="J10" s="170">
        <f t="shared" si="4"/>
        <v>19.600000000000001</v>
      </c>
    </row>
    <row r="11" spans="1:14" s="43" customFormat="1" ht="15.75" customHeight="1" x14ac:dyDescent="0.25">
      <c r="A11" s="39" t="s">
        <v>445</v>
      </c>
      <c r="B11" s="234">
        <f>'Fremtind Livsforsikring'!B11+'Danica Pensjonsforsikring'!B11+'DNB Livsforsikring'!B11+'Eika Forsikring AS'!B11+'Frende Livsforsikring'!B11+'Frende Skadeforsikring'!B11+'Gjensidige Forsikring'!B11+'Gjensidige Pensjon'!B11+'Handelsbanken Liv'!B11+'If Skadeforsikring NUF'!B11+KLP!B11+'DNB Bedriftspensjon'!B11+'KLP Skadeforsikring AS'!B11+'Landkreditt Forsikring'!B11+Insr!B11+'Nordea Liv '!B11+'Oslo Pensjonsforsikring'!B11+'Protector Forsikring'!B11+'SHB Liv'!B11+'Sparebank 1'!B11+'Storebrand Livsforsikring'!B11+'Telenor Forsikring'!B11+'Tryg Forsikring'!B11+'WaterCircles F'!B11+'Codan Forsikring'!B11+'Euro Accident'!B11</f>
        <v>40437.802000000003</v>
      </c>
      <c r="C11" s="234">
        <f>'Fremtind Livsforsikring'!C11+'Danica Pensjonsforsikring'!C11+'DNB Livsforsikring'!C11+'Eika Forsikring AS'!C11+'Frende Livsforsikring'!C11+'Frende Skadeforsikring'!C11+'Gjensidige Forsikring'!C11+'Gjensidige Pensjon'!C11+'Handelsbanken Liv'!C11+'If Skadeforsikring NUF'!C11+KLP!C11+'DNB Bedriftspensjon'!C11+'KLP Skadeforsikring AS'!C11+'Landkreditt Forsikring'!C11+Insr!C11+'Nordea Liv '!C11+'Oslo Pensjonsforsikring'!C11+'Protector Forsikring'!C11+'SHB Liv'!C11+'Sparebank 1'!C11+'Storebrand Livsforsikring'!C11+'Telenor Forsikring'!C11+'Tryg Forsikring'!C11+'WaterCircles F'!C11+'Codan Forsikring'!C11+'Euro Accident'!C11</f>
        <v>94145.505999999994</v>
      </c>
      <c r="D11" s="170">
        <f t="shared" si="0"/>
        <v>132.80000000000001</v>
      </c>
      <c r="E11" s="234">
        <f>'Fremtind Livsforsikring'!F11+'Danica Pensjonsforsikring'!F11+'DNB Livsforsikring'!F11+'Eika Forsikring AS'!F11+'Frende Livsforsikring'!F11+'Frende Skadeforsikring'!F11+'Gjensidige Forsikring'!F11+'Gjensidige Pensjon'!F11+'Handelsbanken Liv'!F11+'If Skadeforsikring NUF'!F11+KLP!F11+'DNB Bedriftspensjon'!F11+'KLP Skadeforsikring AS'!F11+'Landkreditt Forsikring'!F11+Insr!F11+'Nordea Liv '!F11+'Oslo Pensjonsforsikring'!F11+'Protector Forsikring'!F11+'SHB Liv'!F11+'Sparebank 1'!F11+'Storebrand Livsforsikring'!F11+'Telenor Forsikring'!F11+'Tryg Forsikring'!F11+'WaterCircles F'!F11+'Codan Forsikring'!F11+'Euro Accident'!F11</f>
        <v>342412.44925999996</v>
      </c>
      <c r="F11" s="234">
        <f>'Fremtind Livsforsikring'!G11+'Danica Pensjonsforsikring'!G11+'DNB Livsforsikring'!G11+'Eika Forsikring AS'!G11+'Frende Livsforsikring'!G11+'Frende Skadeforsikring'!G11+'Gjensidige Forsikring'!G11+'Gjensidige Pensjon'!G11+'Handelsbanken Liv'!G11+'If Skadeforsikring NUF'!G11+KLP!G11+'DNB Bedriftspensjon'!G11+'KLP Skadeforsikring AS'!G11+'Landkreditt Forsikring'!G11+Insr!G11+'Nordea Liv '!G11+'Oslo Pensjonsforsikring'!G11+'Protector Forsikring'!G11+'SHB Liv'!G11+'Sparebank 1'!G11+'Storebrand Livsforsikring'!G11+'Telenor Forsikring'!G11+'Tryg Forsikring'!G11+'WaterCircles F'!G11+'Codan Forsikring'!G11+'Euro Accident'!G11</f>
        <v>669873.11148999992</v>
      </c>
      <c r="G11" s="170">
        <f t="shared" si="1"/>
        <v>95.6</v>
      </c>
      <c r="H11" s="274">
        <f t="shared" si="2"/>
        <v>382850.25125999999</v>
      </c>
      <c r="I11" s="275">
        <f t="shared" si="3"/>
        <v>764018.61748999986</v>
      </c>
      <c r="J11" s="170">
        <f t="shared" si="4"/>
        <v>99.6</v>
      </c>
    </row>
    <row r="12" spans="1:14" s="43" customFormat="1" ht="15.75" customHeight="1" x14ac:dyDescent="0.25">
      <c r="A12" s="783" t="s">
        <v>446</v>
      </c>
      <c r="B12" s="273">
        <f>'Fremtind Livsforsikring'!B12+'Danica Pensjonsforsikring'!B12+'DNB Livsforsikring'!B12+'Eika Forsikring AS'!B12+'Frende Livsforsikring'!B12+'Frende Skadeforsikring'!B12+'Gjensidige Forsikring'!B12+'Gjensidige Pensjon'!B12+'Handelsbanken Liv'!B12+'If Skadeforsikring NUF'!B12+KLP!B12+'DNB Bedriftspensjon'!B12+'KLP Skadeforsikring AS'!B12+'Landkreditt Forsikring'!B12+Insr!B12+'Nordea Liv '!B12+'Oslo Pensjonsforsikring'!B12+'Protector Forsikring'!B12+'SHB Liv'!B12+'Sparebank 1'!B12+'Storebrand Livsforsikring'!B12+'Telenor Forsikring'!B12+'Tryg Forsikring'!B12+'WaterCircles F'!B12+'Codan Forsikring'!B12+'Euro Accident'!B12</f>
        <v>2832</v>
      </c>
      <c r="C12" s="273">
        <f>'Fremtind Livsforsikring'!C12+'Danica Pensjonsforsikring'!C12+'DNB Livsforsikring'!C12+'Eika Forsikring AS'!C12+'Frende Livsforsikring'!C12+'Frende Skadeforsikring'!C12+'Gjensidige Forsikring'!C12+'Gjensidige Pensjon'!C12+'Handelsbanken Liv'!C12+'If Skadeforsikring NUF'!C12+KLP!C12+'DNB Bedriftspensjon'!C12+'KLP Skadeforsikring AS'!C12+'Landkreditt Forsikring'!C12+Insr!C12+'Nordea Liv '!C12+'Oslo Pensjonsforsikring'!C12+'Protector Forsikring'!C12+'SHB Liv'!C12+'Sparebank 1'!C12+'Storebrand Livsforsikring'!C12+'Telenor Forsikring'!C12+'Tryg Forsikring'!C12+'WaterCircles F'!C12+'Codan Forsikring'!C12+'Euro Accident'!C12</f>
        <v>7169</v>
      </c>
      <c r="D12" s="169">
        <f t="shared" si="0"/>
        <v>153.1</v>
      </c>
      <c r="E12" s="273">
        <f>'Fremtind Livsforsikring'!F12+'Danica Pensjonsforsikring'!F12+'DNB Livsforsikring'!F12+'Eika Forsikring AS'!F12+'Frende Livsforsikring'!F12+'Frende Skadeforsikring'!F12+'Gjensidige Forsikring'!F12+'Gjensidige Pensjon'!F12+'Handelsbanken Liv'!F12+'If Skadeforsikring NUF'!F12+KLP!F12+'DNB Bedriftspensjon'!F12+'KLP Skadeforsikring AS'!F12+'Landkreditt Forsikring'!F12+Insr!F12+'Nordea Liv '!F12+'Oslo Pensjonsforsikring'!F12+'Protector Forsikring'!F12+'SHB Liv'!F12+'Sparebank 1'!F12+'Storebrand Livsforsikring'!F12+'Telenor Forsikring'!F12+'Tryg Forsikring'!F12+'WaterCircles F'!F12+'Codan Forsikring'!F12+'Euro Accident'!F12</f>
        <v>246030.4742</v>
      </c>
      <c r="F12" s="273">
        <f>'Fremtind Livsforsikring'!G12+'Danica Pensjonsforsikring'!G12+'DNB Livsforsikring'!G12+'Eika Forsikring AS'!G12+'Frende Livsforsikring'!G12+'Frende Skadeforsikring'!G12+'Gjensidige Forsikring'!G12+'Gjensidige Pensjon'!G12+'Handelsbanken Liv'!G12+'If Skadeforsikring NUF'!G12+KLP!G12+'DNB Bedriftspensjon'!G12+'KLP Skadeforsikring AS'!G12+'Landkreditt Forsikring'!G12+Insr!G12+'Nordea Liv '!G12+'Oslo Pensjonsforsikring'!G12+'Protector Forsikring'!G12+'SHB Liv'!G12+'Sparebank 1'!G12+'Storebrand Livsforsikring'!G12+'Telenor Forsikring'!G12+'Tryg Forsikring'!G12+'WaterCircles F'!G12+'Codan Forsikring'!G12+'Euro Accident'!G12</f>
        <v>178844.17853999999</v>
      </c>
      <c r="G12" s="168">
        <f t="shared" si="1"/>
        <v>-27.3</v>
      </c>
      <c r="H12" s="276">
        <f t="shared" si="2"/>
        <v>248862.4742</v>
      </c>
      <c r="I12" s="277">
        <f t="shared" si="3"/>
        <v>186013.17853999999</v>
      </c>
      <c r="J12" s="168">
        <f t="shared" si="4"/>
        <v>-25.3</v>
      </c>
    </row>
    <row r="13" spans="1:14" s="43" customFormat="1" ht="15.75" customHeight="1" x14ac:dyDescent="0.25">
      <c r="A13" s="167"/>
      <c r="B13" s="35"/>
      <c r="C13" s="5"/>
      <c r="D13" s="32"/>
      <c r="E13" s="35"/>
      <c r="F13" s="5"/>
      <c r="G13" s="32"/>
      <c r="H13" s="48"/>
      <c r="I13" s="48"/>
      <c r="J13" s="32"/>
    </row>
    <row r="14" spans="1:14" ht="15.75" customHeight="1" x14ac:dyDescent="0.25">
      <c r="A14" s="152" t="s">
        <v>273</v>
      </c>
    </row>
    <row r="15" spans="1:14" ht="15.75" customHeight="1" x14ac:dyDescent="0.25">
      <c r="A15" s="148"/>
      <c r="E15" s="7"/>
      <c r="F15" s="7"/>
      <c r="G15" s="7"/>
      <c r="H15" s="7"/>
      <c r="I15" s="7"/>
      <c r="J15" s="7"/>
    </row>
    <row r="16" spans="1:14" s="3" customFormat="1" ht="15.75" customHeight="1" x14ac:dyDescent="0.3">
      <c r="A16" s="163"/>
      <c r="C16" s="30"/>
      <c r="D16" s="30"/>
      <c r="E16" s="30"/>
      <c r="F16" s="30"/>
      <c r="G16" s="30"/>
      <c r="H16" s="30"/>
      <c r="I16" s="30"/>
      <c r="J16" s="30"/>
    </row>
    <row r="17" spans="1:11" ht="15.75" customHeight="1" x14ac:dyDescent="0.3">
      <c r="A17" s="146" t="s">
        <v>270</v>
      </c>
      <c r="B17" s="28"/>
      <c r="C17" s="28"/>
      <c r="D17" s="29"/>
      <c r="E17" s="28"/>
      <c r="F17" s="28"/>
      <c r="G17" s="28"/>
      <c r="H17" s="28"/>
      <c r="I17" s="28"/>
      <c r="J17" s="28"/>
    </row>
    <row r="18" spans="1:11" ht="15.75" customHeight="1" x14ac:dyDescent="0.3">
      <c r="A18" s="148"/>
      <c r="B18" s="953"/>
      <c r="C18" s="953"/>
      <c r="D18" s="953"/>
      <c r="E18" s="953"/>
      <c r="F18" s="953"/>
      <c r="G18" s="953"/>
      <c r="H18" s="953"/>
      <c r="I18" s="953"/>
      <c r="J18" s="953"/>
    </row>
    <row r="19" spans="1:11" ht="15.75" customHeight="1" x14ac:dyDescent="0.25">
      <c r="A19" s="143"/>
      <c r="B19" s="954" t="s">
        <v>0</v>
      </c>
      <c r="C19" s="955"/>
      <c r="D19" s="955"/>
      <c r="E19" s="954" t="s">
        <v>1</v>
      </c>
      <c r="F19" s="955"/>
      <c r="G19" s="956"/>
      <c r="H19" s="955" t="s">
        <v>2</v>
      </c>
      <c r="I19" s="955"/>
      <c r="J19" s="956"/>
    </row>
    <row r="20" spans="1:11" ht="15.75" customHeight="1" x14ac:dyDescent="0.25">
      <c r="A20" s="139" t="s">
        <v>5</v>
      </c>
      <c r="B20" s="20" t="s">
        <v>508</v>
      </c>
      <c r="C20" s="20" t="s">
        <v>509</v>
      </c>
      <c r="D20" s="247" t="s">
        <v>3</v>
      </c>
      <c r="E20" s="20" t="s">
        <v>508</v>
      </c>
      <c r="F20" s="20" t="s">
        <v>509</v>
      </c>
      <c r="G20" s="247" t="s">
        <v>3</v>
      </c>
      <c r="H20" s="20" t="s">
        <v>508</v>
      </c>
      <c r="I20" s="20" t="s">
        <v>509</v>
      </c>
      <c r="J20" s="247" t="s">
        <v>3</v>
      </c>
    </row>
    <row r="21" spans="1:11" ht="15.75" customHeight="1" x14ac:dyDescent="0.25">
      <c r="A21" s="927"/>
      <c r="B21" s="15"/>
      <c r="C21" s="15"/>
      <c r="D21" s="17" t="s">
        <v>4</v>
      </c>
      <c r="E21" s="16"/>
      <c r="F21" s="16"/>
      <c r="G21" s="15" t="s">
        <v>4</v>
      </c>
      <c r="H21" s="16"/>
      <c r="I21" s="16"/>
      <c r="J21" s="15" t="s">
        <v>4</v>
      </c>
    </row>
    <row r="22" spans="1:11" s="43" customFormat="1" ht="15.75" customHeight="1" x14ac:dyDescent="0.25">
      <c r="A22" s="14" t="s">
        <v>23</v>
      </c>
      <c r="B22" s="234">
        <f>'Fremtind Livsforsikring'!B22+'Danica Pensjonsforsikring'!B22+'DNB Livsforsikring'!B22+'Eika Forsikring AS'!B22+'Frende Livsforsikring'!B22+'Frende Skadeforsikring'!B22+'Gjensidige Forsikring'!B22+'Gjensidige Pensjon'!B22+'Handelsbanken Liv'!B22+'If Skadeforsikring NUF'!B22+KLP!B22+'DNB Bedriftspensjon'!B22+'KLP Skadeforsikring AS'!B22+'Landkreditt Forsikring'!B22+Insr!B22+'Nordea Liv '!B22+'Oslo Pensjonsforsikring'!B22+'Protector Forsikring'!B22+'SHB Liv'!B22+'Sparebank 1'!B22+'Storebrand Livsforsikring'!B22+'Telenor Forsikring'!B22+'Tryg Forsikring'!B22+'WaterCircles F'!B22+'Codan Forsikring'!B22+'Euro Accident'!B22</f>
        <v>1774136.4186500001</v>
      </c>
      <c r="C22" s="234">
        <f>'Fremtind Livsforsikring'!C22+'Danica Pensjonsforsikring'!C22+'DNB Livsforsikring'!C22+'Eika Forsikring AS'!C22+'Frende Livsforsikring'!C22+'Frende Skadeforsikring'!C22+'Gjensidige Forsikring'!C22+'Gjensidige Pensjon'!C22+'Handelsbanken Liv'!C22+'If Skadeforsikring NUF'!C22+KLP!C22+'DNB Bedriftspensjon'!C22+'KLP Skadeforsikring AS'!C22+'Landkreditt Forsikring'!C22+Insr!C22+'Nordea Liv '!C22+'Oslo Pensjonsforsikring'!C22+'Protector Forsikring'!C22+'SHB Liv'!C22+'Sparebank 1'!C22+'Storebrand Livsforsikring'!C22+'Telenor Forsikring'!C22+'Tryg Forsikring'!C22+'WaterCircles F'!C22+'Codan Forsikring'!C22+'Euro Accident'!C22</f>
        <v>1931431.0115700001</v>
      </c>
      <c r="D22" s="11">
        <f t="shared" ref="D22:D39" si="5">IF(B22=0, "    ---- ", IF(ABS(ROUND(100/B22*C22-100,1))&lt;999,ROUND(100/B22*C22-100,1),IF(ROUND(100/B22*C22-100,1)&gt;999,999,-999)))</f>
        <v>8.9</v>
      </c>
      <c r="E22" s="234">
        <f>'Fremtind Livsforsikring'!F22+'Danica Pensjonsforsikring'!F22+'DNB Livsforsikring'!F22+'Eika Forsikring AS'!F22+'Frende Livsforsikring'!F22+'Frende Skadeforsikring'!F22+'Gjensidige Forsikring'!F22+'Gjensidige Pensjon'!F22+'Handelsbanken Liv'!F22+'If Skadeforsikring NUF'!F22+KLP!F22+'DNB Bedriftspensjon'!F22+'KLP Skadeforsikring AS'!F22+'Landkreditt Forsikring'!F22+Insr!F22+'Nordea Liv '!F22+'Oslo Pensjonsforsikring'!F22+'Protector Forsikring'!F22+'SHB Liv'!F22+'Sparebank 1'!F22+'Storebrand Livsforsikring'!F22+'Telenor Forsikring'!F22+'Tryg Forsikring'!F22+'WaterCircles F'!F22+'Codan Forsikring'!F22+'Euro Accident'!F22</f>
        <v>1487806.4715799999</v>
      </c>
      <c r="F22" s="234">
        <f>'Fremtind Livsforsikring'!G22+'Danica Pensjonsforsikring'!G22+'DNB Livsforsikring'!G22+'Eika Forsikring AS'!G22+'Frende Livsforsikring'!G22+'Frende Skadeforsikring'!G22+'Gjensidige Forsikring'!G22+'Gjensidige Pensjon'!G22+'Handelsbanken Liv'!G22+'If Skadeforsikring NUF'!G22+KLP!G22+'DNB Bedriftspensjon'!G22+'KLP Skadeforsikring AS'!G22+'Landkreditt Forsikring'!G22+Insr!G22+'Nordea Liv '!G22+'Oslo Pensjonsforsikring'!G22+'Protector Forsikring'!G22+'SHB Liv'!G22+'Sparebank 1'!G22+'Storebrand Livsforsikring'!G22+'Telenor Forsikring'!G22+'Tryg Forsikring'!G22+'WaterCircles F'!G22+'Codan Forsikring'!G22+'Euro Accident'!G22</f>
        <v>1715884.02777</v>
      </c>
      <c r="G22" s="345">
        <f>IF(E22=0, "    ---- ", IF(ABS(ROUND(100/E22*F22-100,1))&lt;999,ROUND(100/E22*F22-100,1),IF(ROUND(100/E22*F22-100,1)&gt;999,999,-999)))</f>
        <v>15.3</v>
      </c>
      <c r="H22" s="305">
        <f>SUM(B22,E22)</f>
        <v>3261942.89023</v>
      </c>
      <c r="I22" s="234">
        <f t="shared" ref="I22:I39" si="6">SUM(C22,F22)</f>
        <v>3647315.0393400001</v>
      </c>
      <c r="J22" s="24">
        <f t="shared" ref="J22:J39" si="7">IF(H22=0, "    ---- ", IF(ABS(ROUND(100/H22*I22-100,1))&lt;999,ROUND(100/H22*I22-100,1),IF(ROUND(100/H22*I22-100,1)&gt;999,999,-999)))</f>
        <v>11.8</v>
      </c>
    </row>
    <row r="23" spans="1:11" ht="15.75" customHeight="1" x14ac:dyDescent="0.25">
      <c r="A23" s="784" t="s">
        <v>447</v>
      </c>
      <c r="B23" s="44">
        <f>'Fremtind Livsforsikring'!B23+'Danica Pensjonsforsikring'!B23+'DNB Livsforsikring'!B23+'Eika Forsikring AS'!B23+'Frende Livsforsikring'!B23+'Frende Skadeforsikring'!B23+'Gjensidige Forsikring'!B23+'Gjensidige Pensjon'!B23+'Handelsbanken Liv'!B23+'If Skadeforsikring NUF'!B23+KLP!B23+'DNB Bedriftspensjon'!B23+'KLP Skadeforsikring AS'!B23+'Landkreditt Forsikring'!B23+Insr!B23+'Nordea Liv '!B23+'Oslo Pensjonsforsikring'!B23+'Protector Forsikring'!B23+'SHB Liv'!B23+'Sparebank 1'!B23+'Storebrand Livsforsikring'!B23+'Telenor Forsikring'!B23+'Tryg Forsikring'!B23+'WaterCircles F'!B23+'Codan Forsikring'!B23+'Euro Accident'!B23</f>
        <v>1072877.203272749</v>
      </c>
      <c r="C23" s="44">
        <f>'Fremtind Livsforsikring'!C23+'Danica Pensjonsforsikring'!C23+'DNB Livsforsikring'!C23+'Eika Forsikring AS'!C23+'Frende Livsforsikring'!C23+'Frende Skadeforsikring'!C23+'Gjensidige Forsikring'!C23+'Gjensidige Pensjon'!C23+'Handelsbanken Liv'!C23+'If Skadeforsikring NUF'!C23+KLP!C23+'DNB Bedriftspensjon'!C23+'KLP Skadeforsikring AS'!C23+'Landkreditt Forsikring'!C23+Insr!C23+'Nordea Liv '!C23+'Oslo Pensjonsforsikring'!C23+'Protector Forsikring'!C23+'SHB Liv'!C23+'Sparebank 1'!C23+'Storebrand Livsforsikring'!C23+'Telenor Forsikring'!C23+'Tryg Forsikring'!C23+'WaterCircles F'!C23+'Codan Forsikring'!C23+'Euro Accident'!C23</f>
        <v>1109232.076976574</v>
      </c>
      <c r="D23" s="27">
        <f>IF($A$1=4,IF(B23=0, "    ---- ", IF(ABS(ROUND(100/B23*C23-100,1))&lt;999,ROUND(100/B23*C23-100,1),IF(ROUND(100/B23*C23-100,1)&gt;999,999,-999))),"")</f>
        <v>3.4</v>
      </c>
      <c r="E23" s="44">
        <f>'Fremtind Livsforsikring'!F23+'Danica Pensjonsforsikring'!F23+'DNB Livsforsikring'!F23+'Eika Forsikring AS'!F23+'Frende Livsforsikring'!F23+'Frende Skadeforsikring'!F23+'Gjensidige Forsikring'!F23+'Gjensidige Pensjon'!F23+'Handelsbanken Liv'!F23+'If Skadeforsikring NUF'!F23+KLP!F23+'DNB Bedriftspensjon'!F23+'KLP Skadeforsikring AS'!F23+'Landkreditt Forsikring'!F23+Insr!F23+'Nordea Liv '!F23+'Oslo Pensjonsforsikring'!F23+'Protector Forsikring'!F23+'SHB Liv'!F23+'Sparebank 1'!F23+'Storebrand Livsforsikring'!F23+'Telenor Forsikring'!F23+'Tryg Forsikring'!F23+'WaterCircles F'!F23+'Codan Forsikring'!F23+'Euro Accident'!F23</f>
        <v>179172.09830000001</v>
      </c>
      <c r="F23" s="44">
        <f>'Fremtind Livsforsikring'!G23+'Danica Pensjonsforsikring'!G23+'DNB Livsforsikring'!G23+'Eika Forsikring AS'!G23+'Frende Livsforsikring'!G23+'Frende Skadeforsikring'!G23+'Gjensidige Forsikring'!G23+'Gjensidige Pensjon'!G23+'Handelsbanken Liv'!G23+'If Skadeforsikring NUF'!G23+KLP!G23+'DNB Bedriftspensjon'!G23+'KLP Skadeforsikring AS'!G23+'Landkreditt Forsikring'!G23+Insr!G23+'Nordea Liv '!G23+'Oslo Pensjonsforsikring'!G23+'Protector Forsikring'!G23+'SHB Liv'!G23+'Sparebank 1'!G23+'Storebrand Livsforsikring'!G23+'Telenor Forsikring'!G23+'Tryg Forsikring'!G23+'WaterCircles F'!G23+'Codan Forsikring'!G23+'Euro Accident'!G23</f>
        <v>205341.65779000003</v>
      </c>
      <c r="G23" s="165">
        <f>IF($A$1=4,IF(E23=0, "    ---- ", IF(ABS(ROUND(100/E23*F23-100,1))&lt;999,ROUND(100/E23*F23-100,1),IF(ROUND(100/E23*F23-100,1)&gt;999,999,-999))),"")</f>
        <v>14.6</v>
      </c>
      <c r="H23" s="232">
        <f t="shared" ref="H23:H39" si="8">SUM(B23,E23)</f>
        <v>1252049.3015727489</v>
      </c>
      <c r="I23" s="44">
        <f t="shared" si="6"/>
        <v>1314573.7347665741</v>
      </c>
      <c r="J23" s="23">
        <f t="shared" si="7"/>
        <v>5</v>
      </c>
    </row>
    <row r="24" spans="1:11" ht="15.75" customHeight="1" x14ac:dyDescent="0.25">
      <c r="A24" s="784" t="s">
        <v>448</v>
      </c>
      <c r="B24" s="44">
        <f>'Fremtind Livsforsikring'!B24+'Danica Pensjonsforsikring'!B24+'DNB Livsforsikring'!B24+'Eika Forsikring AS'!B24+'Frende Livsforsikring'!B24+'Frende Skadeforsikring'!B24+'Gjensidige Forsikring'!B24+'Gjensidige Pensjon'!B24+'Handelsbanken Liv'!B24+'If Skadeforsikring NUF'!B24+KLP!B24+'DNB Bedriftspensjon'!B24+'KLP Skadeforsikring AS'!B24+'Landkreditt Forsikring'!B24+Insr!B24+'Nordea Liv '!B24+'Oslo Pensjonsforsikring'!B24+'Protector Forsikring'!B24+'SHB Liv'!B24+'Sparebank 1'!B24+'Storebrand Livsforsikring'!B24+'Telenor Forsikring'!B24+'Tryg Forsikring'!B24+'WaterCircles F'!B24+'Codan Forsikring'!B24+'Euro Accident'!B24</f>
        <v>38553.113058946299</v>
      </c>
      <c r="C24" s="44">
        <f>'Fremtind Livsforsikring'!C24+'Danica Pensjonsforsikring'!C24+'DNB Livsforsikring'!C24+'Eika Forsikring AS'!C24+'Frende Livsforsikring'!C24+'Frende Skadeforsikring'!C24+'Gjensidige Forsikring'!C24+'Gjensidige Pensjon'!C24+'Handelsbanken Liv'!C24+'If Skadeforsikring NUF'!C24+KLP!C24+'DNB Bedriftspensjon'!C24+'KLP Skadeforsikring AS'!C24+'Landkreditt Forsikring'!C24+Insr!C24+'Nordea Liv '!C24+'Oslo Pensjonsforsikring'!C24+'Protector Forsikring'!C24+'SHB Liv'!C24+'Sparebank 1'!C24+'Storebrand Livsforsikring'!C24+'Telenor Forsikring'!C24+'Tryg Forsikring'!C24+'WaterCircles F'!C24+'Codan Forsikring'!C24+'Euro Accident'!C24</f>
        <v>24111.061579958001</v>
      </c>
      <c r="D24" s="27">
        <f>IF($A$1=4,IF(B24=0, "    ---- ", IF(ABS(ROUND(100/B24*C24-100,1))&lt;999,ROUND(100/B24*C24-100,1),IF(ROUND(100/B24*C24-100,1)&gt;999,999,-999))),"")</f>
        <v>-37.5</v>
      </c>
      <c r="E24" s="44">
        <f>'Fremtind Livsforsikring'!F24+'Danica Pensjonsforsikring'!F24+'DNB Livsforsikring'!F24+'Eika Forsikring AS'!F24+'Frende Livsforsikring'!F24+'Frende Skadeforsikring'!F24+'Gjensidige Forsikring'!F24+'Gjensidige Pensjon'!F24+'Handelsbanken Liv'!F24+'If Skadeforsikring NUF'!F24+KLP!F24+'DNB Bedriftspensjon'!F24+'KLP Skadeforsikring AS'!F24+'Landkreditt Forsikring'!F24+Insr!F24+'Nordea Liv '!F24+'Oslo Pensjonsforsikring'!F24+'Protector Forsikring'!F24+'SHB Liv'!F24+'Sparebank 1'!F24+'Storebrand Livsforsikring'!F24+'Telenor Forsikring'!F24+'Tryg Forsikring'!F24+'WaterCircles F'!F24+'Codan Forsikring'!F24+'Euro Accident'!F24</f>
        <v>1092.98873</v>
      </c>
      <c r="F24" s="44">
        <f>'Fremtind Livsforsikring'!G24+'Danica Pensjonsforsikring'!G24+'DNB Livsforsikring'!G24+'Eika Forsikring AS'!G24+'Frende Livsforsikring'!G24+'Frende Skadeforsikring'!G24+'Gjensidige Forsikring'!G24+'Gjensidige Pensjon'!G24+'Handelsbanken Liv'!G24+'If Skadeforsikring NUF'!G24+KLP!G24+'DNB Bedriftspensjon'!G24+'KLP Skadeforsikring AS'!G24+'Landkreditt Forsikring'!G24+Insr!G24+'Nordea Liv '!G24+'Oslo Pensjonsforsikring'!G24+'Protector Forsikring'!G24+'SHB Liv'!G24+'Sparebank 1'!G24+'Storebrand Livsforsikring'!G24+'Telenor Forsikring'!G24+'Tryg Forsikring'!G24+'WaterCircles F'!G24+'Codan Forsikring'!G24+'Euro Accident'!G24</f>
        <v>127.58385</v>
      </c>
      <c r="G24" s="165">
        <f>IF($A$1=4,IF(E24=0, "    ---- ", IF(ABS(ROUND(100/E24*F24-100,1))&lt;999,ROUND(100/E24*F24-100,1),IF(ROUND(100/E24*F24-100,1)&gt;999,999,-999))),"")</f>
        <v>-88.3</v>
      </c>
      <c r="H24" s="232">
        <f t="shared" si="8"/>
        <v>39646.101788946296</v>
      </c>
      <c r="I24" s="44">
        <f t="shared" si="6"/>
        <v>24238.645429958</v>
      </c>
      <c r="J24" s="11">
        <f t="shared" si="7"/>
        <v>-38.9</v>
      </c>
    </row>
    <row r="25" spans="1:11" ht="15.75" customHeight="1" x14ac:dyDescent="0.25">
      <c r="A25" s="784" t="s">
        <v>449</v>
      </c>
      <c r="B25" s="44">
        <f>'Fremtind Livsforsikring'!B25+'Danica Pensjonsforsikring'!B25+'DNB Livsforsikring'!B25+'Eika Forsikring AS'!B25+'Frende Livsforsikring'!B25+'Frende Skadeforsikring'!B25+'Gjensidige Forsikring'!B25+'Gjensidige Pensjon'!B25+'Handelsbanken Liv'!B25+'If Skadeforsikring NUF'!B25+KLP!B25+'DNB Bedriftspensjon'!B25+'KLP Skadeforsikring AS'!B25+'Landkreditt Forsikring'!B25+Insr!B25+'Nordea Liv '!B25+'Oslo Pensjonsforsikring'!B25+'Protector Forsikring'!B25+'SHB Liv'!B25+'Sparebank 1'!B25+'Storebrand Livsforsikring'!B25+'Telenor Forsikring'!B25+'Tryg Forsikring'!B25+'WaterCircles F'!B25+'Codan Forsikring'!B25+'Euro Accident'!B25</f>
        <v>38740.489178304699</v>
      </c>
      <c r="C25" s="44">
        <f>'Fremtind Livsforsikring'!C25+'Danica Pensjonsforsikring'!C25+'DNB Livsforsikring'!C25+'Eika Forsikring AS'!C25+'Frende Livsforsikring'!C25+'Frende Skadeforsikring'!C25+'Gjensidige Forsikring'!C25+'Gjensidige Pensjon'!C25+'Handelsbanken Liv'!C25+'If Skadeforsikring NUF'!C25+KLP!C25+'DNB Bedriftspensjon'!C25+'KLP Skadeforsikring AS'!C25+'Landkreditt Forsikring'!C25+Insr!C25+'Nordea Liv '!C25+'Oslo Pensjonsforsikring'!C25+'Protector Forsikring'!C25+'SHB Liv'!C25+'Sparebank 1'!C25+'Storebrand Livsforsikring'!C25+'Telenor Forsikring'!C25+'Tryg Forsikring'!C25+'WaterCircles F'!C25+'Codan Forsikring'!C25+'Euro Accident'!C25</f>
        <v>29830.987163467598</v>
      </c>
      <c r="D25" s="27">
        <f>IF($A$1=4,IF(B25=0, "    ---- ", IF(ABS(ROUND(100/B25*C25-100,1))&lt;999,ROUND(100/B25*C25-100,1),IF(ROUND(100/B25*C25-100,1)&gt;999,999,-999))),"")</f>
        <v>-23</v>
      </c>
      <c r="E25" s="44">
        <f>'Fremtind Livsforsikring'!F25+'Danica Pensjonsforsikring'!F25+'DNB Livsforsikring'!F25+'Eika Forsikring AS'!F25+'Frende Livsforsikring'!F25+'Frende Skadeforsikring'!F25+'Gjensidige Forsikring'!F25+'Gjensidige Pensjon'!F25+'Handelsbanken Liv'!F25+'If Skadeforsikring NUF'!F25+KLP!F25+'DNB Bedriftspensjon'!F25+'KLP Skadeforsikring AS'!F25+'Landkreditt Forsikring'!F25+Insr!F25+'Nordea Liv '!F25+'Oslo Pensjonsforsikring'!F25+'Protector Forsikring'!F25+'SHB Liv'!F25+'Sparebank 1'!F25+'Storebrand Livsforsikring'!F25+'Telenor Forsikring'!F25+'Tryg Forsikring'!F25+'WaterCircles F'!F25+'Codan Forsikring'!F25+'Euro Accident'!F25</f>
        <v>25494.148789999999</v>
      </c>
      <c r="F25" s="44">
        <f>'Fremtind Livsforsikring'!G25+'Danica Pensjonsforsikring'!G25+'DNB Livsforsikring'!G25+'Eika Forsikring AS'!G25+'Frende Livsforsikring'!G25+'Frende Skadeforsikring'!G25+'Gjensidige Forsikring'!G25+'Gjensidige Pensjon'!G25+'Handelsbanken Liv'!G25+'If Skadeforsikring NUF'!G25+KLP!G25+'DNB Bedriftspensjon'!G25+'KLP Skadeforsikring AS'!G25+'Landkreditt Forsikring'!G25+Insr!G25+'Nordea Liv '!G25+'Oslo Pensjonsforsikring'!G25+'Protector Forsikring'!G25+'SHB Liv'!G25+'Sparebank 1'!G25+'Storebrand Livsforsikring'!G25+'Telenor Forsikring'!G25+'Tryg Forsikring'!G25+'WaterCircles F'!G25+'Codan Forsikring'!G25+'Euro Accident'!G25</f>
        <v>18540.14243</v>
      </c>
      <c r="G25" s="165">
        <f>IF($A$1=4,IF(E25=0, "    ---- ", IF(ABS(ROUND(100/E25*F25-100,1))&lt;999,ROUND(100/E25*F25-100,1),IF(ROUND(100/E25*F25-100,1)&gt;999,999,-999))),"")</f>
        <v>-27.3</v>
      </c>
      <c r="H25" s="232">
        <f t="shared" si="8"/>
        <v>64234.637968304698</v>
      </c>
      <c r="I25" s="44">
        <f t="shared" si="6"/>
        <v>48371.129593467602</v>
      </c>
      <c r="J25" s="27">
        <f t="shared" si="7"/>
        <v>-24.7</v>
      </c>
    </row>
    <row r="26" spans="1:11" ht="15.75" customHeight="1" x14ac:dyDescent="0.25">
      <c r="A26" s="784" t="s">
        <v>450</v>
      </c>
      <c r="B26" s="44">
        <f>'Fremtind Livsforsikring'!B26+'Danica Pensjonsforsikring'!B26+'DNB Livsforsikring'!B26+'Eika Forsikring AS'!B26+'Frende Livsforsikring'!B26+'Frende Skadeforsikring'!B26+'Gjensidige Forsikring'!B26+'Gjensidige Pensjon'!B26+'Handelsbanken Liv'!B26+'If Skadeforsikring NUF'!B26+KLP!B26+'DNB Bedriftspensjon'!B26+'KLP Skadeforsikring AS'!B26+'Landkreditt Forsikring'!B26+Insr!B26+'Nordea Liv '!B26+'Oslo Pensjonsforsikring'!B26+'Protector Forsikring'!B26+'SHB Liv'!B26+'Sparebank 1'!B26+'Storebrand Livsforsikring'!B26+'Telenor Forsikring'!B26+'Tryg Forsikring'!B26+'WaterCircles F'!B26+'Codan Forsikring'!B26+'Euro Accident'!B26</f>
        <v>0</v>
      </c>
      <c r="C26" s="44">
        <f>'Fremtind Livsforsikring'!C26+'Danica Pensjonsforsikring'!C26+'DNB Livsforsikring'!C26+'Eika Forsikring AS'!C26+'Frende Livsforsikring'!C26+'Frende Skadeforsikring'!C26+'Gjensidige Forsikring'!C26+'Gjensidige Pensjon'!C26+'Handelsbanken Liv'!C26+'If Skadeforsikring NUF'!C26+KLP!C26+'DNB Bedriftspensjon'!C26+'KLP Skadeforsikring AS'!C26+'Landkreditt Forsikring'!C26+Insr!C26+'Nordea Liv '!C26+'Oslo Pensjonsforsikring'!C26+'Protector Forsikring'!C26+'SHB Liv'!C26+'Sparebank 1'!C26+'Storebrand Livsforsikring'!C26+'Telenor Forsikring'!C26+'Tryg Forsikring'!C26+'WaterCircles F'!C26+'Codan Forsikring'!C26+'Euro Accident'!C26</f>
        <v>0</v>
      </c>
      <c r="D26" s="27"/>
      <c r="E26" s="44">
        <f>'Fremtind Livsforsikring'!F26+'Danica Pensjonsforsikring'!F26+'DNB Livsforsikring'!F26+'Eika Forsikring AS'!F26+'Frende Livsforsikring'!F26+'Frende Skadeforsikring'!F26+'Gjensidige Forsikring'!F26+'Gjensidige Pensjon'!F26+'Handelsbanken Liv'!F26+'If Skadeforsikring NUF'!F26+KLP!F26+'DNB Bedriftspensjon'!F26+'KLP Skadeforsikring AS'!F26+'Landkreditt Forsikring'!F26+Insr!F26+'Nordea Liv '!F26+'Oslo Pensjonsforsikring'!F26+'Protector Forsikring'!F26+'SHB Liv'!F26+'Sparebank 1'!F26+'Storebrand Livsforsikring'!F26+'Telenor Forsikring'!F26+'Tryg Forsikring'!F26+'WaterCircles F'!F26+'Codan Forsikring'!F26+'Euro Accident'!F26</f>
        <v>1282047.2357600001</v>
      </c>
      <c r="F26" s="44">
        <f>'Fremtind Livsforsikring'!G26+'Danica Pensjonsforsikring'!G26+'DNB Livsforsikring'!G26+'Eika Forsikring AS'!G26+'Frende Livsforsikring'!G26+'Frende Skadeforsikring'!G26+'Gjensidige Forsikring'!G26+'Gjensidige Pensjon'!G26+'Handelsbanken Liv'!G26+'If Skadeforsikring NUF'!G26+KLP!G26+'DNB Bedriftspensjon'!G26+'KLP Skadeforsikring AS'!G26+'Landkreditt Forsikring'!G26+Insr!G26+'Nordea Liv '!G26+'Oslo Pensjonsforsikring'!G26+'Protector Forsikring'!G26+'SHB Liv'!G26+'Sparebank 1'!G26+'Storebrand Livsforsikring'!G26+'Telenor Forsikring'!G26+'Tryg Forsikring'!G26+'WaterCircles F'!G26+'Codan Forsikring'!G26+'Euro Accident'!G26</f>
        <v>1491874.6436999999</v>
      </c>
      <c r="G26" s="165">
        <f>IF($A$1=4,IF(E26=0, "    ---- ", IF(ABS(ROUND(100/E26*F26-100,1))&lt;999,ROUND(100/E26*F26-100,1),IF(ROUND(100/E26*F26-100,1)&gt;999,999,-999))),"")</f>
        <v>16.399999999999999</v>
      </c>
      <c r="H26" s="232">
        <f>SUM(B26,E26)</f>
        <v>1282047.2357600001</v>
      </c>
      <c r="I26" s="44">
        <f>SUM(C26,F26)</f>
        <v>1491874.6436999999</v>
      </c>
      <c r="J26" s="27">
        <f>IF(H26=0, "    ---- ", IF(ABS(ROUND(100/H26*I26-100,1))&lt;999,ROUND(100/H26*I26-100,1),IF(ROUND(100/H26*I26-100,1)&gt;999,999,-999)))</f>
        <v>16.399999999999999</v>
      </c>
    </row>
    <row r="27" spans="1:11" ht="15.75" customHeight="1" x14ac:dyDescent="0.25">
      <c r="A27" s="782" t="s">
        <v>11</v>
      </c>
      <c r="B27" s="44">
        <f>'Fremtind Livsforsikring'!B27+'Danica Pensjonsforsikring'!B27+'DNB Livsforsikring'!B27+'Eika Forsikring AS'!B27+'Frende Livsforsikring'!B27+'Frende Skadeforsikring'!B27+'Gjensidige Forsikring'!B27+'Gjensidige Pensjon'!B27+'Handelsbanken Liv'!B27+'If Skadeforsikring NUF'!B27+KLP!B27+'DNB Bedriftspensjon'!B27+'KLP Skadeforsikring AS'!B27+'Landkreditt Forsikring'!B27+Insr!B27+'Nordea Liv '!B27+'Oslo Pensjonsforsikring'!B27+'Protector Forsikring'!B27+'SHB Liv'!B27+'Sparebank 1'!B27+'Storebrand Livsforsikring'!B27+'Telenor Forsikring'!B27+'Tryg Forsikring'!B27+'WaterCircles F'!B27+'Codan Forsikring'!B27+'Euro Accident'!B27</f>
        <v>0</v>
      </c>
      <c r="C27" s="44">
        <f>'Fremtind Livsforsikring'!C27+'Danica Pensjonsforsikring'!C27+'DNB Livsforsikring'!C27+'Eika Forsikring AS'!C27+'Frende Livsforsikring'!C27+'Frende Skadeforsikring'!C27+'Gjensidige Forsikring'!C27+'Gjensidige Pensjon'!C27+'Handelsbanken Liv'!C27+'If Skadeforsikring NUF'!C27+KLP!C27+'DNB Bedriftspensjon'!C27+'KLP Skadeforsikring AS'!C27+'Landkreditt Forsikring'!C27+Insr!C27+'Nordea Liv '!C27+'Oslo Pensjonsforsikring'!C27+'Protector Forsikring'!C27+'SHB Liv'!C27+'Sparebank 1'!C27+'Storebrand Livsforsikring'!C27+'Telenor Forsikring'!C27+'Tryg Forsikring'!C27+'WaterCircles F'!C27+'Codan Forsikring'!C27+'Euro Accident'!C27</f>
        <v>0</v>
      </c>
      <c r="D27" s="27"/>
      <c r="E27" s="44">
        <f>'Fremtind Livsforsikring'!F27+'Danica Pensjonsforsikring'!F27+'DNB Livsforsikring'!F27+'Eika Forsikring AS'!F27+'Frende Livsforsikring'!F27+'Frende Skadeforsikring'!F27+'Gjensidige Forsikring'!F27+'Gjensidige Pensjon'!F27+'Handelsbanken Liv'!F27+'If Skadeforsikring NUF'!F27+KLP!F27+'DNB Bedriftspensjon'!F27+'KLP Skadeforsikring AS'!F27+'Landkreditt Forsikring'!F27+Insr!F27+'Nordea Liv '!F27+'Oslo Pensjonsforsikring'!F27+'Protector Forsikring'!F27+'SHB Liv'!F27+'Sparebank 1'!F27+'Storebrand Livsforsikring'!F27+'Telenor Forsikring'!F27+'Tryg Forsikring'!F27+'WaterCircles F'!F27+'Codan Forsikring'!F27+'Euro Accident'!F27</f>
        <v>0</v>
      </c>
      <c r="F27" s="44">
        <f>'Fremtind Livsforsikring'!G27+'Danica Pensjonsforsikring'!G27+'DNB Livsforsikring'!G27+'Eika Forsikring AS'!G27+'Frende Livsforsikring'!G27+'Frende Skadeforsikring'!G27+'Gjensidige Forsikring'!G27+'Gjensidige Pensjon'!G27+'Handelsbanken Liv'!G27+'If Skadeforsikring NUF'!G27+KLP!G27+'DNB Bedriftspensjon'!G27+'KLP Skadeforsikring AS'!G27+'Landkreditt Forsikring'!G27+Insr!G27+'Nordea Liv '!G27+'Oslo Pensjonsforsikring'!G27+'Protector Forsikring'!G27+'SHB Liv'!G27+'Sparebank 1'!G27+'Storebrand Livsforsikring'!G27+'Telenor Forsikring'!G27+'Tryg Forsikring'!G27+'WaterCircles F'!G27+'Codan Forsikring'!G27+'Euro Accident'!G27</f>
        <v>0</v>
      </c>
      <c r="G27" s="165"/>
      <c r="H27" s="232">
        <f t="shared" si="8"/>
        <v>0</v>
      </c>
      <c r="I27" s="44">
        <f t="shared" si="6"/>
        <v>0</v>
      </c>
      <c r="J27" s="27"/>
    </row>
    <row r="28" spans="1:11" ht="15.75" customHeight="1" x14ac:dyDescent="0.25">
      <c r="A28" s="49" t="s">
        <v>274</v>
      </c>
      <c r="B28" s="44">
        <f>'Fremtind Livsforsikring'!B28+'Danica Pensjonsforsikring'!B28+'DNB Livsforsikring'!B28+'Eika Forsikring AS'!B28+'Frende Livsforsikring'!B28+'Frende Skadeforsikring'!B28+'Gjensidige Forsikring'!B28+'Gjensidige Pensjon'!B28+'Handelsbanken Liv'!B28+'If Skadeforsikring NUF'!B28+KLP!B28+'DNB Bedriftspensjon'!B28+'KLP Skadeforsikring AS'!B28+'Landkreditt Forsikring'!B28+Insr!B28+'Nordea Liv '!B28+'Oslo Pensjonsforsikring'!B28+'Protector Forsikring'!B28+'SHB Liv'!B28+'Sparebank 1'!B28+'Storebrand Livsforsikring'!B28+'Telenor Forsikring'!B28+'Tryg Forsikring'!B28+'WaterCircles F'!B28+'Codan Forsikring'!B28+'Euro Accident'!B28</f>
        <v>1906379.9480036108</v>
      </c>
      <c r="C28" s="44">
        <f>'Fremtind Livsforsikring'!C28+'Danica Pensjonsforsikring'!C28+'DNB Livsforsikring'!C28+'Eika Forsikring AS'!C28+'Frende Livsforsikring'!C28+'Frende Skadeforsikring'!C28+'Gjensidige Forsikring'!C28+'Gjensidige Pensjon'!C28+'Handelsbanken Liv'!C28+'If Skadeforsikring NUF'!C28+KLP!C28+'DNB Bedriftspensjon'!C28+'KLP Skadeforsikring AS'!C28+'Landkreditt Forsikring'!C28+Insr!C28+'Nordea Liv '!C28+'Oslo Pensjonsforsikring'!C28+'Protector Forsikring'!C28+'SHB Liv'!C28+'Sparebank 1'!C28+'Storebrand Livsforsikring'!C28+'Telenor Forsikring'!C28+'Tryg Forsikring'!C28+'WaterCircles F'!C28+'Codan Forsikring'!C28+'Euro Accident'!C28</f>
        <v>2180132.4546119696</v>
      </c>
      <c r="D28" s="23">
        <f t="shared" si="5"/>
        <v>14.4</v>
      </c>
      <c r="E28" s="185">
        <f>'Fremtind Livsforsikring'!F28+'Danica Pensjonsforsikring'!F28+'DNB Livsforsikring'!F28+'Eika Forsikring AS'!F28+'Frende Livsforsikring'!F28+'Frende Skadeforsikring'!F28+'Gjensidige Forsikring'!F28+'Gjensidige Pensjon'!F28+'Handelsbanken Liv'!F28+'If Skadeforsikring NUF'!F28+KLP!F28+'DNB Bedriftspensjon'!F28+'KLP Skadeforsikring AS'!F28+'Landkreditt Forsikring'!F28+Insr!F28+'Nordea Liv '!F28+'Oslo Pensjonsforsikring'!F28+'Protector Forsikring'!F28+'SHB Liv'!F28+'Sparebank 1'!F28+'Storebrand Livsforsikring'!F28+'Telenor Forsikring'!F28+'Tryg Forsikring'!F28+'WaterCircles F'!F28+'Codan Forsikring'!F28+'Euro Accident'!F28</f>
        <v>0</v>
      </c>
      <c r="F28" s="185">
        <f>'Fremtind Livsforsikring'!G28+'Danica Pensjonsforsikring'!G28+'DNB Livsforsikring'!G28+'Eika Forsikring AS'!G28+'Frende Livsforsikring'!G28+'Frende Skadeforsikring'!G28+'Gjensidige Forsikring'!G28+'Gjensidige Pensjon'!G28+'Handelsbanken Liv'!G28+'If Skadeforsikring NUF'!G28+KLP!G28+'DNB Bedriftspensjon'!G28+'KLP Skadeforsikring AS'!G28+'Landkreditt Forsikring'!G28+Insr!G28+'Nordea Liv '!G28+'Oslo Pensjonsforsikring'!G28+'Protector Forsikring'!G28+'SHB Liv'!G28+'Sparebank 1'!G28+'Storebrand Livsforsikring'!G28+'Telenor Forsikring'!G28+'Tryg Forsikring'!G28+'WaterCircles F'!G28+'Codan Forsikring'!G28+'Euro Accident'!G28</f>
        <v>0</v>
      </c>
      <c r="G28" s="165"/>
      <c r="H28" s="232">
        <f t="shared" si="8"/>
        <v>1906379.9480036108</v>
      </c>
      <c r="I28" s="44">
        <f t="shared" si="6"/>
        <v>2180132.4546119696</v>
      </c>
      <c r="J28" s="23">
        <f t="shared" si="7"/>
        <v>14.4</v>
      </c>
      <c r="K28" s="3"/>
    </row>
    <row r="29" spans="1:11" s="414" customFormat="1" ht="15.75" customHeight="1" x14ac:dyDescent="0.25">
      <c r="A29" s="39" t="s">
        <v>451</v>
      </c>
      <c r="B29" s="234">
        <f>'Fremtind Livsforsikring'!B29+'Danica Pensjonsforsikring'!B29+'DNB Livsforsikring'!B29+'Eika Forsikring AS'!B29+'Frende Livsforsikring'!B29+'Frende Skadeforsikring'!B29+'Gjensidige Forsikring'!B29+'Gjensidige Pensjon'!B29+'Handelsbanken Liv'!B29+'If Skadeforsikring NUF'!B29+KLP!B29+'DNB Bedriftspensjon'!B29+'KLP Skadeforsikring AS'!B29+'Landkreditt Forsikring'!B29+Insr!B29+'Nordea Liv '!B29+'Oslo Pensjonsforsikring'!B29+'Protector Forsikring'!B29+'SHB Liv'!B29+'Sparebank 1'!B29+'Storebrand Livsforsikring'!B29+'Telenor Forsikring'!B29+'Tryg Forsikring'!B29+'WaterCircles F'!B29+'Codan Forsikring'!B29+'Euro Accident'!B29</f>
        <v>45749749.547602929</v>
      </c>
      <c r="C29" s="234">
        <f>'Fremtind Livsforsikring'!C29+'Danica Pensjonsforsikring'!C29+'DNB Livsforsikring'!C29+'Eika Forsikring AS'!C29+'Frende Livsforsikring'!C29+'Frende Skadeforsikring'!C29+'Gjensidige Forsikring'!C29+'Gjensidige Pensjon'!C29+'Handelsbanken Liv'!C29+'If Skadeforsikring NUF'!C29+KLP!C29+'DNB Bedriftspensjon'!C29+'KLP Skadeforsikring AS'!C29+'Landkreditt Forsikring'!C29+Insr!C29+'Nordea Liv '!C29+'Oslo Pensjonsforsikring'!C29+'Protector Forsikring'!C29+'SHB Liv'!C29+'Sparebank 1'!C29+'Storebrand Livsforsikring'!C29+'Telenor Forsikring'!C29+'Tryg Forsikring'!C29+'WaterCircles F'!C29+'Codan Forsikring'!C29+'Euro Accident'!C29</f>
        <v>45317230.929219998</v>
      </c>
      <c r="D29" s="24">
        <f t="shared" si="5"/>
        <v>-0.9</v>
      </c>
      <c r="E29" s="305">
        <f>'Fremtind Livsforsikring'!F29+'Danica Pensjonsforsikring'!F29+'DNB Livsforsikring'!F29+'Eika Forsikring AS'!F29+'Frende Livsforsikring'!F29+'Frende Skadeforsikring'!F29+'Gjensidige Forsikring'!F29+'Gjensidige Pensjon'!F29+'Handelsbanken Liv'!F29+'If Skadeforsikring NUF'!F29+KLP!F29+'DNB Bedriftspensjon'!F29+'KLP Skadeforsikring AS'!F29+'Landkreditt Forsikring'!F29+Insr!F29+'Nordea Liv '!F29+'Oslo Pensjonsforsikring'!F29+'Protector Forsikring'!F29+'SHB Liv'!F29+'Sparebank 1'!F29+'Storebrand Livsforsikring'!F29+'Telenor Forsikring'!F29+'Tryg Forsikring'!F29+'WaterCircles F'!F29+'Codan Forsikring'!F29+'Euro Accident'!F29</f>
        <v>24538391.578740001</v>
      </c>
      <c r="F29" s="305">
        <f>'Fremtind Livsforsikring'!G29+'Danica Pensjonsforsikring'!G29+'DNB Livsforsikring'!G29+'Eika Forsikring AS'!G29+'Frende Livsforsikring'!G29+'Frende Skadeforsikring'!G29+'Gjensidige Forsikring'!G29+'Gjensidige Pensjon'!G29+'Handelsbanken Liv'!G29+'If Skadeforsikring NUF'!G29+KLP!G29+'DNB Bedriftspensjon'!G29+'KLP Skadeforsikring AS'!G29+'Landkreditt Forsikring'!G29+Insr!G29+'Nordea Liv '!G29+'Oslo Pensjonsforsikring'!G29+'Protector Forsikring'!G29+'SHB Liv'!G29+'Sparebank 1'!G29+'Storebrand Livsforsikring'!G29+'Telenor Forsikring'!G29+'Tryg Forsikring'!G29+'WaterCircles F'!G29+'Codan Forsikring'!G29+'Euro Accident'!G29</f>
        <v>26735503.8587</v>
      </c>
      <c r="G29" s="170">
        <f>IF(E29=0, "    ---- ", IF(ABS(ROUND(100/E29*F29-100,1))&lt;999,ROUND(100/E29*F29-100,1),IF(ROUND(100/E29*F29-100,1)&gt;999,999,-999)))</f>
        <v>9</v>
      </c>
      <c r="H29" s="305">
        <f t="shared" si="8"/>
        <v>70288141.126342922</v>
      </c>
      <c r="I29" s="234">
        <f t="shared" si="6"/>
        <v>72052734.787919998</v>
      </c>
      <c r="J29" s="24">
        <f t="shared" si="7"/>
        <v>2.5</v>
      </c>
    </row>
    <row r="30" spans="1:11" s="3" customFormat="1" ht="15.75" customHeight="1" x14ac:dyDescent="0.25">
      <c r="A30" s="784" t="s">
        <v>447</v>
      </c>
      <c r="B30" s="44">
        <f>'Fremtind Livsforsikring'!B30+'Danica Pensjonsforsikring'!B30+'DNB Livsforsikring'!B30+'Eika Forsikring AS'!B30+'Frende Livsforsikring'!B30+'Frende Skadeforsikring'!B30+'Gjensidige Forsikring'!B30+'Gjensidige Pensjon'!B30+'Handelsbanken Liv'!B30+'If Skadeforsikring NUF'!B30+KLP!B30+'DNB Bedriftspensjon'!B30+'KLP Skadeforsikring AS'!B30+'Landkreditt Forsikring'!B30+Insr!B30+'Nordea Liv '!B30+'Oslo Pensjonsforsikring'!B30+'Protector Forsikring'!B30+'SHB Liv'!B30+'Sparebank 1'!B30+'Storebrand Livsforsikring'!B30+'Telenor Forsikring'!B30+'Tryg Forsikring'!B30+'WaterCircles F'!B30+'Codan Forsikring'!B30+'Euro Accident'!B30</f>
        <v>15814019.46220926</v>
      </c>
      <c r="C30" s="44">
        <f>'Fremtind Livsforsikring'!C30+'Danica Pensjonsforsikring'!C30+'DNB Livsforsikring'!C30+'Eika Forsikring AS'!C30+'Frende Livsforsikring'!C30+'Frende Skadeforsikring'!C30+'Gjensidige Forsikring'!C30+'Gjensidige Pensjon'!C30+'Handelsbanken Liv'!C30+'If Skadeforsikring NUF'!C30+KLP!C30+'DNB Bedriftspensjon'!C30+'KLP Skadeforsikring AS'!C30+'Landkreditt Forsikring'!C30+Insr!C30+'Nordea Liv '!C30+'Oslo Pensjonsforsikring'!C30+'Protector Forsikring'!C30+'SHB Liv'!C30+'Sparebank 1'!C30+'Storebrand Livsforsikring'!C30+'Telenor Forsikring'!C30+'Tryg Forsikring'!C30+'WaterCircles F'!C30+'Codan Forsikring'!C30+'Euro Accident'!C30</f>
        <v>15961828.072316783</v>
      </c>
      <c r="D30" s="27">
        <f>IF($A$1=4,IF(B30=0, "    ---- ", IF(ABS(ROUND(100/B30*C30-100,1))&lt;999,ROUND(100/B30*C30-100,1),IF(ROUND(100/B30*C30-100,1)&gt;999,999,-999))),"")</f>
        <v>0.9</v>
      </c>
      <c r="E30" s="44">
        <f>'Fremtind Livsforsikring'!F30+'Danica Pensjonsforsikring'!F30+'DNB Livsforsikring'!F30+'Eika Forsikring AS'!F30+'Frende Livsforsikring'!F30+'Frende Skadeforsikring'!F30+'Gjensidige Forsikring'!F30+'Gjensidige Pensjon'!F30+'Handelsbanken Liv'!F30+'If Skadeforsikring NUF'!F30+KLP!F30+'DNB Bedriftspensjon'!F30+'KLP Skadeforsikring AS'!F30+'Landkreditt Forsikring'!F30+Insr!F30+'Nordea Liv '!F30+'Oslo Pensjonsforsikring'!F30+'Protector Forsikring'!F30+'SHB Liv'!F30+'Sparebank 1'!F30+'Storebrand Livsforsikring'!F30+'Telenor Forsikring'!F30+'Tryg Forsikring'!F30+'WaterCircles F'!F30+'Codan Forsikring'!F30+'Euro Accident'!F30</f>
        <v>4681675.0083399983</v>
      </c>
      <c r="F30" s="44">
        <f>'Fremtind Livsforsikring'!G30+'Danica Pensjonsforsikring'!G30+'DNB Livsforsikring'!G30+'Eika Forsikring AS'!G30+'Frende Livsforsikring'!G30+'Frende Skadeforsikring'!G30+'Gjensidige Forsikring'!G30+'Gjensidige Pensjon'!G30+'Handelsbanken Liv'!G30+'If Skadeforsikring NUF'!G30+KLP!G30+'DNB Bedriftspensjon'!G30+'KLP Skadeforsikring AS'!G30+'Landkreditt Forsikring'!G30+Insr!G30+'Nordea Liv '!G30+'Oslo Pensjonsforsikring'!G30+'Protector Forsikring'!G30+'SHB Liv'!G30+'Sparebank 1'!G30+'Storebrand Livsforsikring'!G30+'Telenor Forsikring'!G30+'Tryg Forsikring'!G30+'WaterCircles F'!G30+'Codan Forsikring'!G30+'Euro Accident'!G30</f>
        <v>4150547.1936999992</v>
      </c>
      <c r="G30" s="165">
        <f>IF($A$1=4,IF(E30=0, "    ---- ", IF(ABS(ROUND(100/E30*F30-100,1))&lt;999,ROUND(100/E30*F30-100,1),IF(ROUND(100/E30*F30-100,1)&gt;999,999,-999))),"")</f>
        <v>-11.3</v>
      </c>
      <c r="H30" s="232">
        <f t="shared" si="8"/>
        <v>20495694.470549259</v>
      </c>
      <c r="I30" s="44">
        <f t="shared" si="6"/>
        <v>20112375.266016781</v>
      </c>
      <c r="J30" s="23">
        <f t="shared" si="7"/>
        <v>-1.9</v>
      </c>
    </row>
    <row r="31" spans="1:11" s="3" customFormat="1" ht="15.75" customHeight="1" x14ac:dyDescent="0.25">
      <c r="A31" s="784" t="s">
        <v>448</v>
      </c>
      <c r="B31" s="44">
        <f>'Fremtind Livsforsikring'!B31+'Danica Pensjonsforsikring'!B31+'DNB Livsforsikring'!B31+'Eika Forsikring AS'!B31+'Frende Livsforsikring'!B31+'Frende Skadeforsikring'!B31+'Gjensidige Forsikring'!B31+'Gjensidige Pensjon'!B31+'Handelsbanken Liv'!B31+'If Skadeforsikring NUF'!B31+KLP!B31+'DNB Bedriftspensjon'!B31+'KLP Skadeforsikring AS'!B31+'Landkreditt Forsikring'!B31+Insr!B31+'Nordea Liv '!B31+'Oslo Pensjonsforsikring'!B31+'Protector Forsikring'!B31+'SHB Liv'!B31+'Sparebank 1'!B31+'Storebrand Livsforsikring'!B31+'Telenor Forsikring'!B31+'Tryg Forsikring'!B31+'WaterCircles F'!B31+'Codan Forsikring'!B31+'Euro Accident'!B31</f>
        <v>23536194.919908237</v>
      </c>
      <c r="C31" s="44">
        <f>'Fremtind Livsforsikring'!C31+'Danica Pensjonsforsikring'!C31+'DNB Livsforsikring'!C31+'Eika Forsikring AS'!C31+'Frende Livsforsikring'!C31+'Frende Skadeforsikring'!C31+'Gjensidige Forsikring'!C31+'Gjensidige Pensjon'!C31+'Handelsbanken Liv'!C31+'If Skadeforsikring NUF'!C31+KLP!C31+'DNB Bedriftspensjon'!C31+'KLP Skadeforsikring AS'!C31+'Landkreditt Forsikring'!C31+Insr!C31+'Nordea Liv '!C31+'Oslo Pensjonsforsikring'!C31+'Protector Forsikring'!C31+'SHB Liv'!C31+'Sparebank 1'!C31+'Storebrand Livsforsikring'!C31+'Telenor Forsikring'!C31+'Tryg Forsikring'!C31+'WaterCircles F'!C31+'Codan Forsikring'!C31+'Euro Accident'!C31</f>
        <v>22506457.37454978</v>
      </c>
      <c r="D31" s="27">
        <f>IF($A$1=4,IF(B31=0, "    ---- ", IF(ABS(ROUND(100/B31*C31-100,1))&lt;999,ROUND(100/B31*C31-100,1),IF(ROUND(100/B31*C31-100,1)&gt;999,999,-999))),"")</f>
        <v>-4.4000000000000004</v>
      </c>
      <c r="E31" s="44">
        <f>'Fremtind Livsforsikring'!F31+'Danica Pensjonsforsikring'!F31+'DNB Livsforsikring'!F31+'Eika Forsikring AS'!F31+'Frende Livsforsikring'!F31+'Frende Skadeforsikring'!F31+'Gjensidige Forsikring'!F31+'Gjensidige Pensjon'!F31+'Handelsbanken Liv'!F31+'If Skadeforsikring NUF'!F31+KLP!F31+'DNB Bedriftspensjon'!F31+'KLP Skadeforsikring AS'!F31+'Landkreditt Forsikring'!F31+Insr!F31+'Nordea Liv '!F31+'Oslo Pensjonsforsikring'!F31+'Protector Forsikring'!F31+'SHB Liv'!F31+'Sparebank 1'!F31+'Storebrand Livsforsikring'!F31+'Telenor Forsikring'!F31+'Tryg Forsikring'!F31+'WaterCircles F'!F31+'Codan Forsikring'!F31+'Euro Accident'!F31</f>
        <v>9550054.4738799985</v>
      </c>
      <c r="F31" s="44">
        <f>'Fremtind Livsforsikring'!G31+'Danica Pensjonsforsikring'!G31+'DNB Livsforsikring'!G31+'Eika Forsikring AS'!G31+'Frende Livsforsikring'!G31+'Frende Skadeforsikring'!G31+'Gjensidige Forsikring'!G31+'Gjensidige Pensjon'!G31+'Handelsbanken Liv'!G31+'If Skadeforsikring NUF'!G31+KLP!G31+'DNB Bedriftspensjon'!G31+'KLP Skadeforsikring AS'!G31+'Landkreditt Forsikring'!G31+Insr!G31+'Nordea Liv '!G31+'Oslo Pensjonsforsikring'!G31+'Protector Forsikring'!G31+'SHB Liv'!G31+'Sparebank 1'!G31+'Storebrand Livsforsikring'!G31+'Telenor Forsikring'!G31+'Tryg Forsikring'!G31+'WaterCircles F'!G31+'Codan Forsikring'!G31+'Euro Accident'!G31</f>
        <v>9386607.2067900002</v>
      </c>
      <c r="G31" s="165">
        <f>IF($A$1=4,IF(E31=0, "    ---- ", IF(ABS(ROUND(100/E31*F31-100,1))&lt;999,ROUND(100/E31*F31-100,1),IF(ROUND(100/E31*F31-100,1)&gt;999,999,-999))),"")</f>
        <v>-1.7</v>
      </c>
      <c r="H31" s="232">
        <f t="shared" si="8"/>
        <v>33086249.393788233</v>
      </c>
      <c r="I31" s="44">
        <f t="shared" si="6"/>
        <v>31893064.58133978</v>
      </c>
      <c r="J31" s="23">
        <f t="shared" si="7"/>
        <v>-3.6</v>
      </c>
    </row>
    <row r="32" spans="1:11" ht="15.75" customHeight="1" x14ac:dyDescent="0.25">
      <c r="A32" s="784" t="s">
        <v>449</v>
      </c>
      <c r="B32" s="44">
        <f>'Fremtind Livsforsikring'!B32+'Danica Pensjonsforsikring'!B32+'DNB Livsforsikring'!B32+'Eika Forsikring AS'!B32+'Frende Livsforsikring'!B32+'Frende Skadeforsikring'!B32+'Gjensidige Forsikring'!B32+'Gjensidige Pensjon'!B32+'Handelsbanken Liv'!B32+'If Skadeforsikring NUF'!B32+KLP!B32+'DNB Bedriftspensjon'!B32+'KLP Skadeforsikring AS'!B32+'Landkreditt Forsikring'!B32+Insr!B32+'Nordea Liv '!B32+'Oslo Pensjonsforsikring'!B32+'Protector Forsikring'!B32+'SHB Liv'!B32+'Sparebank 1'!B32+'Storebrand Livsforsikring'!B32+'Telenor Forsikring'!B32+'Tryg Forsikring'!B32+'WaterCircles F'!B32+'Codan Forsikring'!B32+'Euro Accident'!B32</f>
        <v>2951487.8186954102</v>
      </c>
      <c r="C32" s="44">
        <f>'Fremtind Livsforsikring'!C32+'Danica Pensjonsforsikring'!C32+'DNB Livsforsikring'!C32+'Eika Forsikring AS'!C32+'Frende Livsforsikring'!C32+'Frende Skadeforsikring'!C32+'Gjensidige Forsikring'!C32+'Gjensidige Pensjon'!C32+'Handelsbanken Liv'!C32+'If Skadeforsikring NUF'!C32+KLP!C32+'DNB Bedriftspensjon'!C32+'KLP Skadeforsikring AS'!C32+'Landkreditt Forsikring'!C32+Insr!C32+'Nordea Liv '!C32+'Oslo Pensjonsforsikring'!C32+'Protector Forsikring'!C32+'SHB Liv'!C32+'Sparebank 1'!C32+'Storebrand Livsforsikring'!C32+'Telenor Forsikring'!C32+'Tryg Forsikring'!C32+'WaterCircles F'!C32+'Codan Forsikring'!C32+'Euro Accident'!C32</f>
        <v>2969950.5638734298</v>
      </c>
      <c r="D32" s="27">
        <f>IF($A$1=4,IF(B32=0, "    ---- ", IF(ABS(ROUND(100/B32*C32-100,1))&lt;999,ROUND(100/B32*C32-100,1),IF(ROUND(100/B32*C32-100,1)&gt;999,999,-999))),"")</f>
        <v>0.6</v>
      </c>
      <c r="E32" s="44">
        <f>'Fremtind Livsforsikring'!F32+'Danica Pensjonsforsikring'!F32+'DNB Livsforsikring'!F32+'Eika Forsikring AS'!F32+'Frende Livsforsikring'!F32+'Frende Skadeforsikring'!F32+'Gjensidige Forsikring'!F32+'Gjensidige Pensjon'!F32+'Handelsbanken Liv'!F32+'If Skadeforsikring NUF'!F32+KLP!F32+'DNB Bedriftspensjon'!F32+'KLP Skadeforsikring AS'!F32+'Landkreditt Forsikring'!F32+Insr!F32+'Nordea Liv '!F32+'Oslo Pensjonsforsikring'!F32+'Protector Forsikring'!F32+'SHB Liv'!F32+'Sparebank 1'!F32+'Storebrand Livsforsikring'!F32+'Telenor Forsikring'!F32+'Tryg Forsikring'!F32+'WaterCircles F'!F32+'Codan Forsikring'!F32+'Euro Accident'!F32</f>
        <v>5242330.4495999999</v>
      </c>
      <c r="F32" s="44">
        <f>'Fremtind Livsforsikring'!G32+'Danica Pensjonsforsikring'!G32+'DNB Livsforsikring'!G32+'Eika Forsikring AS'!G32+'Frende Livsforsikring'!G32+'Frende Skadeforsikring'!G32+'Gjensidige Forsikring'!G32+'Gjensidige Pensjon'!G32+'Handelsbanken Liv'!G32+'If Skadeforsikring NUF'!G32+KLP!G32+'DNB Bedriftspensjon'!G32+'KLP Skadeforsikring AS'!G32+'Landkreditt Forsikring'!G32+Insr!G32+'Nordea Liv '!G32+'Oslo Pensjonsforsikring'!G32+'Protector Forsikring'!G32+'SHB Liv'!G32+'Sparebank 1'!G32+'Storebrand Livsforsikring'!G32+'Telenor Forsikring'!G32+'Tryg Forsikring'!G32+'WaterCircles F'!G32+'Codan Forsikring'!G32+'Euro Accident'!G32</f>
        <v>5892164.3790199999</v>
      </c>
      <c r="G32" s="165">
        <f>IF($A$1=4,IF(E32=0, "    ---- ", IF(ABS(ROUND(100/E32*F32-100,1))&lt;999,ROUND(100/E32*F32-100,1),IF(ROUND(100/E32*F32-100,1)&gt;999,999,-999))),"")</f>
        <v>12.4</v>
      </c>
      <c r="H32" s="232">
        <f t="shared" si="8"/>
        <v>8193818.2682954101</v>
      </c>
      <c r="I32" s="44">
        <f t="shared" si="6"/>
        <v>8862114.9428934306</v>
      </c>
      <c r="J32" s="24">
        <f t="shared" si="7"/>
        <v>8.1999999999999993</v>
      </c>
    </row>
    <row r="33" spans="1:10" ht="15.75" customHeight="1" x14ac:dyDescent="0.25">
      <c r="A33" s="784" t="s">
        <v>450</v>
      </c>
      <c r="B33" s="44">
        <f>'Fremtind Livsforsikring'!B33+'Danica Pensjonsforsikring'!B33+'DNB Livsforsikring'!B33+'Eika Forsikring AS'!B33+'Frende Livsforsikring'!B33+'Frende Skadeforsikring'!B33+'Gjensidige Forsikring'!B33+'Gjensidige Pensjon'!B33+'Handelsbanken Liv'!B33+'If Skadeforsikring NUF'!B33+KLP!B33+'DNB Bedriftspensjon'!B33+'KLP Skadeforsikring AS'!B33+'Landkreditt Forsikring'!B33+Insr!B33+'Nordea Liv '!B33+'Oslo Pensjonsforsikring'!B33+'Protector Forsikring'!B33+'SHB Liv'!B33+'Sparebank 1'!B33+'Storebrand Livsforsikring'!B33+'Telenor Forsikring'!B33+'Tryg Forsikring'!B33+'WaterCircles F'!B33+'Codan Forsikring'!B33+'Euro Accident'!B33</f>
        <v>0</v>
      </c>
      <c r="C33" s="44">
        <f>'Fremtind Livsforsikring'!C33+'Danica Pensjonsforsikring'!C33+'DNB Livsforsikring'!C33+'Eika Forsikring AS'!C33+'Frende Livsforsikring'!C33+'Frende Skadeforsikring'!C33+'Gjensidige Forsikring'!C33+'Gjensidige Pensjon'!C33+'Handelsbanken Liv'!C33+'If Skadeforsikring NUF'!C33+KLP!C33+'DNB Bedriftspensjon'!C33+'KLP Skadeforsikring AS'!C33+'Landkreditt Forsikring'!C33+Insr!C33+'Nordea Liv '!C33+'Oslo Pensjonsforsikring'!C33+'Protector Forsikring'!C33+'SHB Liv'!C33+'Sparebank 1'!C33+'Storebrand Livsforsikring'!C33+'Telenor Forsikring'!C33+'Tryg Forsikring'!C33+'WaterCircles F'!C33+'Codan Forsikring'!C33+'Euro Accident'!C33</f>
        <v>0</v>
      </c>
      <c r="D33" s="27"/>
      <c r="E33" s="44">
        <f>'Fremtind Livsforsikring'!F33+'Danica Pensjonsforsikring'!F33+'DNB Livsforsikring'!F33+'Eika Forsikring AS'!F33+'Frende Livsforsikring'!F33+'Frende Skadeforsikring'!F33+'Gjensidige Forsikring'!F33+'Gjensidige Pensjon'!F33+'Handelsbanken Liv'!F33+'If Skadeforsikring NUF'!F33+KLP!F33+'DNB Bedriftspensjon'!F33+'KLP Skadeforsikring AS'!F33+'Landkreditt Forsikring'!F33+Insr!F33+'Nordea Liv '!F33+'Oslo Pensjonsforsikring'!F33+'Protector Forsikring'!F33+'SHB Liv'!F33+'Sparebank 1'!F33+'Storebrand Livsforsikring'!F33+'Telenor Forsikring'!F33+'Tryg Forsikring'!F33+'WaterCircles F'!F33+'Codan Forsikring'!F33+'Euro Accident'!F33</f>
        <v>5064331.6469200002</v>
      </c>
      <c r="F33" s="44">
        <f>'Fremtind Livsforsikring'!G33+'Danica Pensjonsforsikring'!G33+'DNB Livsforsikring'!G33+'Eika Forsikring AS'!G33+'Frende Livsforsikring'!G33+'Frende Skadeforsikring'!G33+'Gjensidige Forsikring'!G33+'Gjensidige Pensjon'!G33+'Handelsbanken Liv'!G33+'If Skadeforsikring NUF'!G33+KLP!G33+'DNB Bedriftspensjon'!G33+'KLP Skadeforsikring AS'!G33+'Landkreditt Forsikring'!G33+Insr!G33+'Nordea Liv '!G33+'Oslo Pensjonsforsikring'!G33+'Protector Forsikring'!G33+'SHB Liv'!G33+'Sparebank 1'!G33+'Storebrand Livsforsikring'!G33+'Telenor Forsikring'!G33+'Tryg Forsikring'!G33+'WaterCircles F'!G33+'Codan Forsikring'!G33+'Euro Accident'!G33</f>
        <v>7306185.0791900009</v>
      </c>
      <c r="G33" s="165">
        <f>IF($A$1=4,IF(E33=0, "    ---- ", IF(ABS(ROUND(100/E33*F33-100,1))&lt;999,ROUND(100/E33*F33-100,1),IF(ROUND(100/E33*F33-100,1)&gt;999,999,-999))),"")</f>
        <v>44.3</v>
      </c>
      <c r="H33" s="232">
        <f>SUM(B33,E33)</f>
        <v>5064331.6469200002</v>
      </c>
      <c r="I33" s="44">
        <f>SUM(C33,F33)</f>
        <v>7306185.0791900009</v>
      </c>
      <c r="J33" s="24">
        <f>IF(H33=0, "    ---- ", IF(ABS(ROUND(100/H33*I33-100,1))&lt;999,ROUND(100/H33*I33-100,1),IF(ROUND(100/H33*I33-100,1)&gt;999,999,-999)))</f>
        <v>44.3</v>
      </c>
    </row>
    <row r="34" spans="1:10" s="43" customFormat="1" ht="15.75" customHeight="1" x14ac:dyDescent="0.25">
      <c r="A34" s="39" t="s">
        <v>445</v>
      </c>
      <c r="B34" s="234">
        <f>'Fremtind Livsforsikring'!B34+'Danica Pensjonsforsikring'!B34+'DNB Livsforsikring'!B34+'Eika Forsikring AS'!B34+'Frende Livsforsikring'!B34+'Frende Skadeforsikring'!B34+'Gjensidige Forsikring'!B34+'Gjensidige Pensjon'!B34+'Handelsbanken Liv'!B34+'If Skadeforsikring NUF'!B34+KLP!B34+'DNB Bedriftspensjon'!B34+'KLP Skadeforsikring AS'!B34+'Landkreditt Forsikring'!B34+Insr!B34+'Nordea Liv '!B34+'Oslo Pensjonsforsikring'!B34+'Protector Forsikring'!B34+'SHB Liv'!B34+'Sparebank 1'!B34+'Storebrand Livsforsikring'!B34+'Telenor Forsikring'!B34+'Tryg Forsikring'!B34+'WaterCircles F'!B34+'Codan Forsikring'!B34+'Euro Accident'!B34</f>
        <v>27837.177009999999</v>
      </c>
      <c r="C34" s="234">
        <f>'Fremtind Livsforsikring'!C34+'Danica Pensjonsforsikring'!C34+'DNB Livsforsikring'!C34+'Eika Forsikring AS'!C34+'Frende Livsforsikring'!C34+'Frende Skadeforsikring'!C34+'Gjensidige Forsikring'!C34+'Gjensidige Pensjon'!C34+'Handelsbanken Liv'!C34+'If Skadeforsikring NUF'!C34+KLP!C34+'DNB Bedriftspensjon'!C34+'KLP Skadeforsikring AS'!C34+'Landkreditt Forsikring'!C34+Insr!C34+'Nordea Liv '!C34+'Oslo Pensjonsforsikring'!C34+'Protector Forsikring'!C34+'SHB Liv'!C34+'Sparebank 1'!C34+'Storebrand Livsforsikring'!C34+'Telenor Forsikring'!C34+'Tryg Forsikring'!C34+'WaterCircles F'!C34+'Codan Forsikring'!C34+'Euro Accident'!C34</f>
        <v>20997.924149999999</v>
      </c>
      <c r="D34" s="24">
        <f t="shared" si="5"/>
        <v>-24.6</v>
      </c>
      <c r="E34" s="305">
        <f>'Fremtind Livsforsikring'!F34+'Danica Pensjonsforsikring'!F34+'DNB Livsforsikring'!F34+'Eika Forsikring AS'!F34+'Frende Livsforsikring'!F34+'Frende Skadeforsikring'!F34+'Gjensidige Forsikring'!F34+'Gjensidige Pensjon'!F34+'Handelsbanken Liv'!F34+'If Skadeforsikring NUF'!F34+KLP!F34+'DNB Bedriftspensjon'!F34+'KLP Skadeforsikring AS'!F34+'Landkreditt Forsikring'!F34+Insr!F34+'Nordea Liv '!F34+'Oslo Pensjonsforsikring'!F34+'Protector Forsikring'!F34+'SHB Liv'!F34+'Sparebank 1'!F34+'Storebrand Livsforsikring'!F34+'Telenor Forsikring'!F34+'Tryg Forsikring'!F34+'WaterCircles F'!F34+'Codan Forsikring'!F34+'Euro Accident'!F34</f>
        <v>180952.49515999999</v>
      </c>
      <c r="F34" s="305">
        <f>'Fremtind Livsforsikring'!G34+'Danica Pensjonsforsikring'!G34+'DNB Livsforsikring'!G34+'Eika Forsikring AS'!G34+'Frende Livsforsikring'!G34+'Frende Skadeforsikring'!G34+'Gjensidige Forsikring'!G34+'Gjensidige Pensjon'!G34+'Handelsbanken Liv'!G34+'If Skadeforsikring NUF'!G34+KLP!G34+'DNB Bedriftspensjon'!G34+'KLP Skadeforsikring AS'!G34+'Landkreditt Forsikring'!G34+Insr!G34+'Nordea Liv '!G34+'Oslo Pensjonsforsikring'!G34+'Protector Forsikring'!G34+'SHB Liv'!G34+'Sparebank 1'!G34+'Storebrand Livsforsikring'!G34+'Telenor Forsikring'!G34+'Tryg Forsikring'!G34+'WaterCircles F'!G34+'Codan Forsikring'!G34+'Euro Accident'!G34</f>
        <v>25375.105090000001</v>
      </c>
      <c r="G34" s="170">
        <f>IF(E34=0, "    ---- ", IF(ABS(ROUND(100/E34*F34-100,1))&lt;999,ROUND(100/E34*F34-100,1),IF(ROUND(100/E34*F34-100,1)&gt;999,999,-999)))</f>
        <v>-86</v>
      </c>
      <c r="H34" s="305">
        <f t="shared" si="8"/>
        <v>208789.67216999998</v>
      </c>
      <c r="I34" s="234">
        <f t="shared" si="6"/>
        <v>46373.029240000003</v>
      </c>
      <c r="J34" s="24">
        <f t="shared" si="7"/>
        <v>-77.8</v>
      </c>
    </row>
    <row r="35" spans="1:10" s="43" customFormat="1" ht="15.75" customHeight="1" x14ac:dyDescent="0.25">
      <c r="A35" s="39" t="s">
        <v>446</v>
      </c>
      <c r="B35" s="234">
        <f>'Fremtind Livsforsikring'!B35+'Danica Pensjonsforsikring'!B35+'DNB Livsforsikring'!B35+'Eika Forsikring AS'!B35+'Frende Livsforsikring'!B35+'Frende Skadeforsikring'!B35+'Gjensidige Forsikring'!B35+'Gjensidige Pensjon'!B35+'Handelsbanken Liv'!B35+'If Skadeforsikring NUF'!B35+KLP!B35+'DNB Bedriftspensjon'!B35+'KLP Skadeforsikring AS'!B35+'Landkreditt Forsikring'!B35+Insr!B35+'Nordea Liv '!B35+'Oslo Pensjonsforsikring'!B35+'Protector Forsikring'!B35+'SHB Liv'!B35+'Sparebank 1'!B35+'Storebrand Livsforsikring'!B35+'Telenor Forsikring'!B35+'Tryg Forsikring'!B35+'WaterCircles F'!B35+'Codan Forsikring'!B35+'Euro Accident'!B35</f>
        <v>-123894.02335999999</v>
      </c>
      <c r="C35" s="234">
        <f>'Fremtind Livsforsikring'!C35+'Danica Pensjonsforsikring'!C35+'DNB Livsforsikring'!C35+'Eika Forsikring AS'!C35+'Frende Livsforsikring'!C35+'Frende Skadeforsikring'!C35+'Gjensidige Forsikring'!C35+'Gjensidige Pensjon'!C35+'Handelsbanken Liv'!C35+'If Skadeforsikring NUF'!C35+KLP!C35+'DNB Bedriftspensjon'!C35+'KLP Skadeforsikring AS'!C35+'Landkreditt Forsikring'!C35+Insr!C35+'Nordea Liv '!C35+'Oslo Pensjonsforsikring'!C35+'Protector Forsikring'!C35+'SHB Liv'!C35+'Sparebank 1'!C35+'Storebrand Livsforsikring'!C35+'Telenor Forsikring'!C35+'Tryg Forsikring'!C35+'WaterCircles F'!C35+'Codan Forsikring'!C35+'Euro Accident'!C35</f>
        <v>-82723.308430000005</v>
      </c>
      <c r="D35" s="24">
        <f t="shared" si="5"/>
        <v>-33.200000000000003</v>
      </c>
      <c r="E35" s="305">
        <f>'Fremtind Livsforsikring'!F35+'Danica Pensjonsforsikring'!F35+'DNB Livsforsikring'!F35+'Eika Forsikring AS'!F35+'Frende Livsforsikring'!F35+'Frende Skadeforsikring'!F35+'Gjensidige Forsikring'!F35+'Gjensidige Pensjon'!F35+'Handelsbanken Liv'!F35+'If Skadeforsikring NUF'!F35+KLP!F35+'DNB Bedriftspensjon'!F35+'KLP Skadeforsikring AS'!F35+'Landkreditt Forsikring'!F35+Insr!F35+'Nordea Liv '!F35+'Oslo Pensjonsforsikring'!F35+'Protector Forsikring'!F35+'SHB Liv'!F35+'Sparebank 1'!F35+'Storebrand Livsforsikring'!F35+'Telenor Forsikring'!F35+'Tryg Forsikring'!F35+'WaterCircles F'!F35+'Codan Forsikring'!F35+'Euro Accident'!F35</f>
        <v>166221.30631000001</v>
      </c>
      <c r="F35" s="305">
        <f>'Fremtind Livsforsikring'!G35+'Danica Pensjonsforsikring'!G35+'DNB Livsforsikring'!G35+'Eika Forsikring AS'!G35+'Frende Livsforsikring'!G35+'Frende Skadeforsikring'!G35+'Gjensidige Forsikring'!G35+'Gjensidige Pensjon'!G35+'Handelsbanken Liv'!G35+'If Skadeforsikring NUF'!G35+KLP!G35+'DNB Bedriftspensjon'!G35+'KLP Skadeforsikring AS'!G35+'Landkreditt Forsikring'!G35+Insr!G35+'Nordea Liv '!G35+'Oslo Pensjonsforsikring'!G35+'Protector Forsikring'!G35+'SHB Liv'!G35+'Sparebank 1'!G35+'Storebrand Livsforsikring'!G35+'Telenor Forsikring'!G35+'Tryg Forsikring'!G35+'WaterCircles F'!G35+'Codan Forsikring'!G35+'Euro Accident'!G35</f>
        <v>165794.57243999999</v>
      </c>
      <c r="G35" s="170">
        <f>IF(E35=0, "    ---- ", IF(ABS(ROUND(100/E35*F35-100,1))&lt;999,ROUND(100/E35*F35-100,1),IF(ROUND(100/E35*F35-100,1)&gt;999,999,-999)))</f>
        <v>-0.3</v>
      </c>
      <c r="H35" s="305">
        <f t="shared" si="8"/>
        <v>42327.282950000023</v>
      </c>
      <c r="I35" s="234">
        <f t="shared" si="6"/>
        <v>83071.264009999984</v>
      </c>
      <c r="J35" s="24">
        <f t="shared" si="7"/>
        <v>96.3</v>
      </c>
    </row>
    <row r="36" spans="1:10" s="43" customFormat="1" ht="15.75" customHeight="1" x14ac:dyDescent="0.25">
      <c r="A36" s="12" t="s">
        <v>282</v>
      </c>
      <c r="B36" s="234">
        <f>'Fremtind Livsforsikring'!B36+'Danica Pensjonsforsikring'!B36+'DNB Livsforsikring'!B36+'Eika Forsikring AS'!B36+'Frende Livsforsikring'!B36+'Frende Skadeforsikring'!B36+'Gjensidige Forsikring'!B36+'Gjensidige Pensjon'!B36+'Handelsbanken Liv'!B36+'If Skadeforsikring NUF'!B36+KLP!B36+'DNB Bedriftspensjon'!B36+'KLP Skadeforsikring AS'!B36+'Landkreditt Forsikring'!B36+Insr!B36+'Nordea Liv '!B36+'Oslo Pensjonsforsikring'!B36+'Protector Forsikring'!B36+'SHB Liv'!B36+'Sparebank 1'!B36+'Storebrand Livsforsikring'!B36+'Telenor Forsikring'!B36+'Tryg Forsikring'!B36+'WaterCircles F'!B36+'Codan Forsikring'!B36+'Euro Accident'!B36</f>
        <v>11513.33</v>
      </c>
      <c r="C36" s="234">
        <f>'Fremtind Livsforsikring'!C36+'Danica Pensjonsforsikring'!C36+'DNB Livsforsikring'!C36+'Eika Forsikring AS'!C36+'Frende Livsforsikring'!C36+'Frende Skadeforsikring'!C36+'Gjensidige Forsikring'!C36+'Gjensidige Pensjon'!C36+'Handelsbanken Liv'!C36+'If Skadeforsikring NUF'!C36+KLP!C36+'DNB Bedriftspensjon'!C36+'KLP Skadeforsikring AS'!C36+'Landkreditt Forsikring'!C36+Insr!C36+'Nordea Liv '!C36+'Oslo Pensjonsforsikring'!C36+'Protector Forsikring'!C36+'SHB Liv'!C36+'Sparebank 1'!C36+'Storebrand Livsforsikring'!C36+'Telenor Forsikring'!C36+'Tryg Forsikring'!C36+'WaterCircles F'!C36+'Codan Forsikring'!C36+'Euro Accident'!C36</f>
        <v>9151.0755000000008</v>
      </c>
      <c r="D36" s="11">
        <f t="shared" si="5"/>
        <v>-20.5</v>
      </c>
      <c r="E36" s="316">
        <f>'Fremtind Livsforsikring'!F36+'Danica Pensjonsforsikring'!F36+'DNB Livsforsikring'!F36+'Eika Forsikring AS'!F36+'Frende Livsforsikring'!F36+'Frende Skadeforsikring'!F36+'Gjensidige Forsikring'!F36+'Gjensidige Pensjon'!F36+'Handelsbanken Liv'!F36+'If Skadeforsikring NUF'!F36+KLP!F36+'DNB Bedriftspensjon'!F36+'KLP Skadeforsikring AS'!F36+'Landkreditt Forsikring'!F36+Insr!F36+'Nordea Liv '!F36+'Oslo Pensjonsforsikring'!F36+'Protector Forsikring'!F36+'SHB Liv'!F36+'Sparebank 1'!F36+'Storebrand Livsforsikring'!F36+'Telenor Forsikring'!F36+'Tryg Forsikring'!F36+'WaterCircles F'!F36+'Codan Forsikring'!F36+'Euro Accident'!F36</f>
        <v>0</v>
      </c>
      <c r="F36" s="316">
        <f>'Fremtind Livsforsikring'!G36+'Danica Pensjonsforsikring'!G36+'DNB Livsforsikring'!G36+'Eika Forsikring AS'!G36+'Frende Livsforsikring'!G36+'Frende Skadeforsikring'!G36+'Gjensidige Forsikring'!G36+'Gjensidige Pensjon'!G36+'Handelsbanken Liv'!G36+'If Skadeforsikring NUF'!G36+KLP!G36+'DNB Bedriftspensjon'!G36+'KLP Skadeforsikring AS'!G36+'Landkreditt Forsikring'!G36+Insr!G36+'Nordea Liv '!G36+'Oslo Pensjonsforsikring'!G36+'Protector Forsikring'!G36+'SHB Liv'!G36+'Sparebank 1'!G36+'Storebrand Livsforsikring'!G36+'Telenor Forsikring'!G36+'Tryg Forsikring'!G36+'WaterCircles F'!G36+'Codan Forsikring'!G36+'Euro Accident'!G36</f>
        <v>0</v>
      </c>
      <c r="G36" s="170"/>
      <c r="H36" s="305">
        <f t="shared" si="8"/>
        <v>11513.33</v>
      </c>
      <c r="I36" s="234">
        <f t="shared" si="6"/>
        <v>9151.0755000000008</v>
      </c>
      <c r="J36" s="11">
        <f t="shared" si="7"/>
        <v>-20.5</v>
      </c>
    </row>
    <row r="37" spans="1:10" s="43" customFormat="1" ht="15.75" customHeight="1" x14ac:dyDescent="0.25">
      <c r="A37" s="785" t="s">
        <v>452</v>
      </c>
      <c r="B37" s="234">
        <f>'Fremtind Livsforsikring'!B37+'Danica Pensjonsforsikring'!B37+'DNB Livsforsikring'!B37+'Eika Forsikring AS'!B37+'Frende Livsforsikring'!B37+'Frende Skadeforsikring'!B37+'Gjensidige Forsikring'!B37+'Gjensidige Pensjon'!B37+'Handelsbanken Liv'!B37+'If Skadeforsikring NUF'!B37+KLP!B37+'DNB Bedriftspensjon'!B37+'KLP Skadeforsikring AS'!B37+'Landkreditt Forsikring'!B37+Insr!B37+'Nordea Liv '!B37+'Oslo Pensjonsforsikring'!B37+'Protector Forsikring'!B37+'SHB Liv'!B37+'Sparebank 1'!B37+'Storebrand Livsforsikring'!B37+'Telenor Forsikring'!B37+'Tryg Forsikring'!B37+'WaterCircles F'!B37+'Codan Forsikring'!B37+'Euro Accident'!B37</f>
        <v>3331026.7708399999</v>
      </c>
      <c r="C37" s="234">
        <f>'Fremtind Livsforsikring'!C37+'Danica Pensjonsforsikring'!C37+'DNB Livsforsikring'!C37+'Eika Forsikring AS'!C37+'Frende Livsforsikring'!C37+'Frende Skadeforsikring'!C37+'Gjensidige Forsikring'!C37+'Gjensidige Pensjon'!C37+'Handelsbanken Liv'!C37+'If Skadeforsikring NUF'!C37+KLP!C37+'DNB Bedriftspensjon'!C37+'KLP Skadeforsikring AS'!C37+'Landkreditt Forsikring'!C37+Insr!C37+'Nordea Liv '!C37+'Oslo Pensjonsforsikring'!C37+'Protector Forsikring'!C37+'SHB Liv'!C37+'Sparebank 1'!C37+'Storebrand Livsforsikring'!C37+'Telenor Forsikring'!C37+'Tryg Forsikring'!C37+'WaterCircles F'!C37+'Codan Forsikring'!C37+'Euro Accident'!C37</f>
        <v>3149867.6430000002</v>
      </c>
      <c r="D37" s="24">
        <f t="shared" si="5"/>
        <v>-5.4</v>
      </c>
      <c r="E37" s="321">
        <f>'Fremtind Livsforsikring'!F37+'Danica Pensjonsforsikring'!F37+'DNB Livsforsikring'!F37+'Eika Forsikring AS'!F37+'Frende Livsforsikring'!F37+'Frende Skadeforsikring'!F37+'Gjensidige Forsikring'!F37+'Gjensidige Pensjon'!F37+'Handelsbanken Liv'!F37+'If Skadeforsikring NUF'!F37+KLP!F37+'DNB Bedriftspensjon'!F37+'KLP Skadeforsikring AS'!F37+'Landkreditt Forsikring'!F37+Insr!F37+'Nordea Liv '!F37+'Oslo Pensjonsforsikring'!F37+'Protector Forsikring'!F37+'SHB Liv'!F37+'Sparebank 1'!F37+'Storebrand Livsforsikring'!F37+'Telenor Forsikring'!F37+'Tryg Forsikring'!F37+'WaterCircles F'!F37+'Codan Forsikring'!F37+'Euro Accident'!F37</f>
        <v>0</v>
      </c>
      <c r="F37" s="321">
        <f>'Fremtind Livsforsikring'!G37+'Danica Pensjonsforsikring'!G37+'DNB Livsforsikring'!G37+'Eika Forsikring AS'!G37+'Frende Livsforsikring'!G37+'Frende Skadeforsikring'!G37+'Gjensidige Forsikring'!G37+'Gjensidige Pensjon'!G37+'Handelsbanken Liv'!G37+'If Skadeforsikring NUF'!G37+KLP!G37+'DNB Bedriftspensjon'!G37+'KLP Skadeforsikring AS'!G37+'Landkreditt Forsikring'!G37+Insr!G37+'Nordea Liv '!G37+'Oslo Pensjonsforsikring'!G37+'Protector Forsikring'!G37+'SHB Liv'!G37+'Sparebank 1'!G37+'Storebrand Livsforsikring'!G37+'Telenor Forsikring'!G37+'Tryg Forsikring'!G37+'WaterCircles F'!G37+'Codan Forsikring'!G37+'Euro Accident'!G37</f>
        <v>0</v>
      </c>
      <c r="G37" s="170"/>
      <c r="H37" s="305">
        <f t="shared" si="8"/>
        <v>3331026.7708399999</v>
      </c>
      <c r="I37" s="234">
        <f t="shared" si="6"/>
        <v>3149867.6430000002</v>
      </c>
      <c r="J37" s="24">
        <f t="shared" si="7"/>
        <v>-5.4</v>
      </c>
    </row>
    <row r="38" spans="1:10" s="43" customFormat="1" ht="15.75" customHeight="1" x14ac:dyDescent="0.25">
      <c r="A38" s="785" t="s">
        <v>453</v>
      </c>
      <c r="B38" s="234">
        <f>'Fremtind Livsforsikring'!B38+'Danica Pensjonsforsikring'!B38+'DNB Livsforsikring'!B38+'Eika Forsikring AS'!B38+'Frende Livsforsikring'!B38+'Frende Skadeforsikring'!B38+'Gjensidige Forsikring'!B38+'Gjensidige Pensjon'!B38+'Handelsbanken Liv'!B38+'If Skadeforsikring NUF'!B38+KLP!B38+'DNB Bedriftspensjon'!B38+'KLP Skadeforsikring AS'!B38+'Landkreditt Forsikring'!B38+Insr!B38+'Nordea Liv '!B38+'Oslo Pensjonsforsikring'!B38+'Protector Forsikring'!B38+'SHB Liv'!B38+'Sparebank 1'!B38+'Storebrand Livsforsikring'!B38+'Telenor Forsikring'!B38+'Tryg Forsikring'!B38+'WaterCircles F'!B38+'Codan Forsikring'!B38+'Euro Accident'!B38</f>
        <v>0</v>
      </c>
      <c r="C38" s="234">
        <f>'Fremtind Livsforsikring'!C38+'Danica Pensjonsforsikring'!C38+'DNB Livsforsikring'!C38+'Eika Forsikring AS'!C38+'Frende Livsforsikring'!C38+'Frende Skadeforsikring'!C38+'Gjensidige Forsikring'!C38+'Gjensidige Pensjon'!C38+'Handelsbanken Liv'!C38+'If Skadeforsikring NUF'!C38+KLP!C38+'DNB Bedriftspensjon'!C38+'KLP Skadeforsikring AS'!C38+'Landkreditt Forsikring'!C38+Insr!C38+'Nordea Liv '!C38+'Oslo Pensjonsforsikring'!C38+'Protector Forsikring'!C38+'SHB Liv'!C38+'Sparebank 1'!C38+'Storebrand Livsforsikring'!C38+'Telenor Forsikring'!C38+'Tryg Forsikring'!C38+'WaterCircles F'!C38+'Codan Forsikring'!C38+'Euro Accident'!C38</f>
        <v>0</v>
      </c>
      <c r="D38" s="24"/>
      <c r="E38" s="316">
        <f>'Fremtind Livsforsikring'!F38+'Danica Pensjonsforsikring'!F38+'DNB Livsforsikring'!F38+'Eika Forsikring AS'!F38+'Frende Livsforsikring'!F38+'Frende Skadeforsikring'!F38+'Gjensidige Forsikring'!F38+'Gjensidige Pensjon'!F38+'Handelsbanken Liv'!F38+'If Skadeforsikring NUF'!F38+KLP!F38+'DNB Bedriftspensjon'!F38+'KLP Skadeforsikring AS'!F38+'Landkreditt Forsikring'!F38+Insr!F38+'Nordea Liv '!F38+'Oslo Pensjonsforsikring'!F38+'Protector Forsikring'!F38+'SHB Liv'!F38+'Sparebank 1'!F38+'Storebrand Livsforsikring'!F38+'Telenor Forsikring'!F38+'Tryg Forsikring'!F38+'WaterCircles F'!F38+'Codan Forsikring'!F38+'Euro Accident'!F38</f>
        <v>0</v>
      </c>
      <c r="F38" s="316">
        <f>'Fremtind Livsforsikring'!G38+'Danica Pensjonsforsikring'!G38+'DNB Livsforsikring'!G38+'Eika Forsikring AS'!G38+'Frende Livsforsikring'!G38+'Frende Skadeforsikring'!G38+'Gjensidige Forsikring'!G38+'Gjensidige Pensjon'!G38+'Handelsbanken Liv'!G38+'If Skadeforsikring NUF'!G38+KLP!G38+'DNB Bedriftspensjon'!G38+'KLP Skadeforsikring AS'!G38+'Landkreditt Forsikring'!G38+Insr!G38+'Nordea Liv '!G38+'Oslo Pensjonsforsikring'!G38+'Protector Forsikring'!G38+'SHB Liv'!G38+'Sparebank 1'!G38+'Storebrand Livsforsikring'!G38+'Telenor Forsikring'!G38+'Tryg Forsikring'!G38+'WaterCircles F'!G38+'Codan Forsikring'!G38+'Euro Accident'!G38</f>
        <v>0</v>
      </c>
      <c r="G38" s="170"/>
      <c r="H38" s="305">
        <f t="shared" si="8"/>
        <v>0</v>
      </c>
      <c r="I38" s="234">
        <f t="shared" si="6"/>
        <v>0</v>
      </c>
      <c r="J38" s="24"/>
    </row>
    <row r="39" spans="1:10" s="43" customFormat="1" ht="15.75" customHeight="1" x14ac:dyDescent="0.25">
      <c r="A39" s="786" t="s">
        <v>454</v>
      </c>
      <c r="B39" s="273">
        <f>'Fremtind Livsforsikring'!B39+'Danica Pensjonsforsikring'!B39+'DNB Livsforsikring'!B39+'Eika Forsikring AS'!B39+'Frende Livsforsikring'!B39+'Frende Skadeforsikring'!B39+'Gjensidige Forsikring'!B39+'Gjensidige Pensjon'!B39+'Handelsbanken Liv'!B39+'If Skadeforsikring NUF'!B39+KLP!B39+'DNB Bedriftspensjon'!B39+'KLP Skadeforsikring AS'!B39+'Landkreditt Forsikring'!B39+Insr!B39+'Nordea Liv '!B39+'Oslo Pensjonsforsikring'!B39+'Protector Forsikring'!B39+'SHB Liv'!B39+'Sparebank 1'!B39+'Storebrand Livsforsikring'!B39+'Telenor Forsikring'!B39+'Tryg Forsikring'!B39+'WaterCircles F'!B39+'Codan Forsikring'!B39+'Euro Accident'!B39</f>
        <v>19</v>
      </c>
      <c r="C39" s="273">
        <f>'Fremtind Livsforsikring'!C39+'Danica Pensjonsforsikring'!C39+'DNB Livsforsikring'!C39+'Eika Forsikring AS'!C39+'Frende Livsforsikring'!C39+'Frende Skadeforsikring'!C39+'Gjensidige Forsikring'!C39+'Gjensidige Pensjon'!C39+'Handelsbanken Liv'!C39+'If Skadeforsikring NUF'!C39+KLP!C39+'DNB Bedriftspensjon'!C39+'KLP Skadeforsikring AS'!C39+'Landkreditt Forsikring'!C39+Insr!C39+'Nordea Liv '!C39+'Oslo Pensjonsforsikring'!C39+'Protector Forsikring'!C39+'SHB Liv'!C39+'Sparebank 1'!C39+'Storebrand Livsforsikring'!C39+'Telenor Forsikring'!C39+'Tryg Forsikring'!C39+'WaterCircles F'!C39+'Codan Forsikring'!C39+'Euro Accident'!C39</f>
        <v>5</v>
      </c>
      <c r="D39" s="36">
        <f t="shared" si="5"/>
        <v>-73.7</v>
      </c>
      <c r="E39" s="322">
        <f>'Fremtind Livsforsikring'!F39+'Danica Pensjonsforsikring'!F39+'DNB Livsforsikring'!F39+'Eika Forsikring AS'!F39+'Frende Livsforsikring'!F39+'Frende Skadeforsikring'!F39+'Gjensidige Forsikring'!F39+'Gjensidige Pensjon'!F39+'Handelsbanken Liv'!F39+'If Skadeforsikring NUF'!F39+KLP!F39+'DNB Bedriftspensjon'!F39+'KLP Skadeforsikring AS'!F39+'Landkreditt Forsikring'!F39+Insr!F39+'Nordea Liv '!F39+'Oslo Pensjonsforsikring'!F39+'Protector Forsikring'!F39+'SHB Liv'!F39+'Sparebank 1'!F39+'Storebrand Livsforsikring'!F39+'Telenor Forsikring'!F39+'Tryg Forsikring'!F39+'WaterCircles F'!F39+'Codan Forsikring'!F39+'Euro Accident'!F39</f>
        <v>0</v>
      </c>
      <c r="F39" s="322">
        <f>'Fremtind Livsforsikring'!G39+'Danica Pensjonsforsikring'!G39+'DNB Livsforsikring'!G39+'Eika Forsikring AS'!G39+'Frende Livsforsikring'!G39+'Frende Skadeforsikring'!G39+'Gjensidige Forsikring'!G39+'Gjensidige Pensjon'!G39+'Handelsbanken Liv'!G39+'If Skadeforsikring NUF'!G39+KLP!G39+'DNB Bedriftspensjon'!G39+'KLP Skadeforsikring AS'!G39+'Landkreditt Forsikring'!G39+Insr!G39+'Nordea Liv '!G39+'Oslo Pensjonsforsikring'!G39+'Protector Forsikring'!G39+'SHB Liv'!G39+'Sparebank 1'!G39+'Storebrand Livsforsikring'!G39+'Telenor Forsikring'!G39+'Tryg Forsikring'!G39+'WaterCircles F'!G39+'Codan Forsikring'!G39+'Euro Accident'!G39</f>
        <v>0</v>
      </c>
      <c r="G39" s="168"/>
      <c r="H39" s="311">
        <f t="shared" si="8"/>
        <v>19</v>
      </c>
      <c r="I39" s="273">
        <f t="shared" si="6"/>
        <v>5</v>
      </c>
      <c r="J39" s="36">
        <f t="shared" si="7"/>
        <v>-73.7</v>
      </c>
    </row>
    <row r="40" spans="1:10" ht="15.75" customHeight="1" x14ac:dyDescent="0.25">
      <c r="A40" s="47"/>
    </row>
    <row r="41" spans="1:10" ht="15.75" customHeight="1" x14ac:dyDescent="0.25">
      <c r="A41" s="154"/>
    </row>
    <row r="42" spans="1:10" ht="15.75" customHeight="1" x14ac:dyDescent="0.3">
      <c r="A42" s="146" t="s">
        <v>271</v>
      </c>
      <c r="B42" s="953"/>
      <c r="C42" s="953"/>
      <c r="D42" s="953"/>
      <c r="E42" s="957"/>
      <c r="F42" s="957"/>
      <c r="G42" s="957"/>
      <c r="H42" s="957"/>
      <c r="I42" s="957"/>
      <c r="J42" s="957"/>
    </row>
    <row r="43" spans="1:10" ht="15.75" customHeight="1" x14ac:dyDescent="0.3">
      <c r="A43" s="162"/>
      <c r="B43" s="429"/>
      <c r="C43" s="429"/>
      <c r="D43" s="429"/>
      <c r="E43" s="295"/>
      <c r="F43" s="295"/>
      <c r="G43" s="295"/>
      <c r="H43" s="295"/>
      <c r="I43" s="295"/>
      <c r="J43" s="295"/>
    </row>
    <row r="44" spans="1:10" s="3" customFormat="1" ht="15.75" customHeight="1" x14ac:dyDescent="0.3">
      <c r="A44" s="245"/>
      <c r="B44" s="323" t="s">
        <v>0</v>
      </c>
      <c r="C44" s="324"/>
      <c r="D44" s="250"/>
      <c r="E44" s="42"/>
      <c r="F44" s="42"/>
      <c r="G44" s="40"/>
      <c r="H44" s="42"/>
      <c r="I44" s="42"/>
      <c r="J44" s="40"/>
    </row>
    <row r="45" spans="1:10" s="3" customFormat="1" ht="15.75" customHeight="1" x14ac:dyDescent="0.25">
      <c r="A45" s="139"/>
      <c r="B45" s="20" t="s">
        <v>508</v>
      </c>
      <c r="C45" s="20" t="s">
        <v>509</v>
      </c>
      <c r="D45" s="248" t="s">
        <v>3</v>
      </c>
      <c r="E45" s="42"/>
      <c r="F45" s="42"/>
      <c r="G45" s="40"/>
      <c r="H45" s="42"/>
      <c r="I45" s="42"/>
      <c r="J45" s="40"/>
    </row>
    <row r="46" spans="1:10" s="3" customFormat="1" ht="15.75" customHeight="1" x14ac:dyDescent="0.25">
      <c r="A46" s="927"/>
      <c r="B46" s="46"/>
      <c r="C46" s="249"/>
      <c r="D46" s="17" t="s">
        <v>4</v>
      </c>
      <c r="E46" s="40"/>
      <c r="F46" s="40"/>
      <c r="G46" s="40"/>
      <c r="H46" s="40"/>
      <c r="I46" s="40"/>
      <c r="J46" s="40"/>
    </row>
    <row r="47" spans="1:10" s="414" customFormat="1" ht="15.75" customHeight="1" x14ac:dyDescent="0.25">
      <c r="A47" s="14" t="s">
        <v>23</v>
      </c>
      <c r="B47" s="234">
        <f>'Fremtind Livsforsikring'!B47+'Danica Pensjonsforsikring'!B47+'DNB Livsforsikring'!B47+'Eika Forsikring AS'!B47+'Frende Livsforsikring'!B47+'Frende Skadeforsikring'!B47+'Gjensidige Forsikring'!B47+'Gjensidige Pensjon'!B47+'Handelsbanken Liv'!B47+'If Skadeforsikring NUF'!B47+KLP!B47+'DNB Bedriftspensjon'!B47+'KLP Skadeforsikring AS'!B47+'Landkreditt Forsikring'!B47+Insr!B47+'Nordea Liv '!B47+'Oslo Pensjonsforsikring'!B47+'Protector Forsikring'!B47+'SHB Liv'!B47+'Sparebank 1'!B47+'Storebrand Livsforsikring'!B47+'Telenor Forsikring'!B47+'Tryg Forsikring'!B47+'WaterCircles F'!B47+'Codan Forsikring'!B47+'Euro Accident'!B47</f>
        <v>4777075.9113196395</v>
      </c>
      <c r="C47" s="234">
        <f>'Fremtind Livsforsikring'!C47+'Danica Pensjonsforsikring'!C47+'DNB Livsforsikring'!C47+'Eika Forsikring AS'!C47+'Frende Livsforsikring'!C47+'Frende Skadeforsikring'!C47+'Gjensidige Forsikring'!C47+'Gjensidige Pensjon'!C47+'Handelsbanken Liv'!C47+'If Skadeforsikring NUF'!C47+KLP!C47+'DNB Bedriftspensjon'!C47+'KLP Skadeforsikring AS'!C47+'Landkreditt Forsikring'!C47+Insr!C47+'Nordea Liv '!C47+'Oslo Pensjonsforsikring'!C47+'Protector Forsikring'!C47+'SHB Liv'!C47+'Sparebank 1'!C47+'Storebrand Livsforsikring'!C47+'Telenor Forsikring'!C47+'Tryg Forsikring'!C47+'WaterCircles F'!C47+'Codan Forsikring'!C47+'Euro Accident'!C47</f>
        <v>5094004.6205929341</v>
      </c>
      <c r="D47" s="24">
        <f t="shared" ref="D47:D57" si="9">IF(B47=0, "    ---- ", IF(ABS(ROUND(100/B47*C47-100,1))&lt;999,ROUND(100/B47*C47-100,1),IF(ROUND(100/B47*C47-100,1)&gt;999,999,-999)))</f>
        <v>6.6</v>
      </c>
      <c r="E47" s="415"/>
      <c r="F47" s="416"/>
      <c r="G47" s="32"/>
      <c r="H47" s="417"/>
      <c r="I47" s="417"/>
      <c r="J47" s="32"/>
    </row>
    <row r="48" spans="1:10" s="3" customFormat="1" ht="15.75" customHeight="1" x14ac:dyDescent="0.25">
      <c r="A48" s="38" t="s">
        <v>455</v>
      </c>
      <c r="B48" s="44">
        <f>'Fremtind Livsforsikring'!B48+'Danica Pensjonsforsikring'!B48+'DNB Livsforsikring'!B48+'Eika Forsikring AS'!B48+'Frende Livsforsikring'!B48+'Frende Skadeforsikring'!B48+'Gjensidige Forsikring'!B48+'Gjensidige Pensjon'!B48+'Handelsbanken Liv'!B48+'If Skadeforsikring NUF'!B48+KLP!B48+'DNB Bedriftspensjon'!B48+'KLP Skadeforsikring AS'!B48+'Landkreditt Forsikring'!B48+Insr!B48+'Nordea Liv '!B48+'Oslo Pensjonsforsikring'!B48+'Protector Forsikring'!B48+'SHB Liv'!B48+'Sparebank 1'!B48+'Storebrand Livsforsikring'!B48+'Telenor Forsikring'!B48+'Tryg Forsikring'!B48+'WaterCircles F'!B48+'Codan Forsikring'!B48+'Euro Accident'!B48</f>
        <v>2664376.2671296396</v>
      </c>
      <c r="C48" s="44">
        <f>'Fremtind Livsforsikring'!C48+'Danica Pensjonsforsikring'!C48+'DNB Livsforsikring'!C48+'Eika Forsikring AS'!C48+'Frende Livsforsikring'!C48+'Frende Skadeforsikring'!C48+'Gjensidige Forsikring'!C48+'Gjensidige Pensjon'!C48+'Handelsbanken Liv'!C48+'If Skadeforsikring NUF'!C48+KLP!C48+'DNB Bedriftspensjon'!C48+'KLP Skadeforsikring AS'!C48+'Landkreditt Forsikring'!C48+Insr!C48+'Nordea Liv '!C48+'Oslo Pensjonsforsikring'!C48+'Protector Forsikring'!C48+'SHB Liv'!C48+'Sparebank 1'!C48+'Storebrand Livsforsikring'!C48+'Telenor Forsikring'!C48+'Tryg Forsikring'!C48+'WaterCircles F'!C48+'Codan Forsikring'!C48+'Euro Accident'!C48</f>
        <v>2832229.7221829337</v>
      </c>
      <c r="D48" s="24">
        <f t="shared" si="9"/>
        <v>6.3</v>
      </c>
      <c r="E48" s="35"/>
      <c r="F48" s="5"/>
      <c r="G48" s="34"/>
      <c r="H48" s="33"/>
      <c r="I48" s="33"/>
      <c r="J48" s="32"/>
    </row>
    <row r="49" spans="1:10" s="3" customFormat="1" ht="15.75" customHeight="1" x14ac:dyDescent="0.25">
      <c r="A49" s="38" t="s">
        <v>456</v>
      </c>
      <c r="B49" s="189">
        <f>'Fremtind Livsforsikring'!B49+'Danica Pensjonsforsikring'!B49+'DNB Livsforsikring'!B49+'Eika Forsikring AS'!B49+'Frende Livsforsikring'!B49+'Frende Skadeforsikring'!B49+'Gjensidige Forsikring'!B49+'Gjensidige Pensjon'!B49+'Handelsbanken Liv'!B49+'If Skadeforsikring NUF'!B49+KLP!B49+'DNB Bedriftspensjon'!B49+'KLP Skadeforsikring AS'!B49+'Landkreditt Forsikring'!B49+Insr!B49+'Nordea Liv '!B49+'Oslo Pensjonsforsikring'!B49+'Protector Forsikring'!B49+'SHB Liv'!B49+'Sparebank 1'!B49+'Storebrand Livsforsikring'!B49+'Telenor Forsikring'!B49+'Tryg Forsikring'!B49+'WaterCircles F'!B49+'Codan Forsikring'!B49+'Euro Accident'!B49</f>
        <v>2112699.6441900004</v>
      </c>
      <c r="C49" s="189">
        <f>'Fremtind Livsforsikring'!C49+'Danica Pensjonsforsikring'!C49+'DNB Livsforsikring'!C49+'Eika Forsikring AS'!C49+'Frende Livsforsikring'!C49+'Frende Skadeforsikring'!C49+'Gjensidige Forsikring'!C49+'Gjensidige Pensjon'!C49+'Handelsbanken Liv'!C49+'If Skadeforsikring NUF'!C49+KLP!C49+'DNB Bedriftspensjon'!C49+'KLP Skadeforsikring AS'!C49+'Landkreditt Forsikring'!C49+Insr!C49+'Nordea Liv '!C49+'Oslo Pensjonsforsikring'!C49+'Protector Forsikring'!C49+'SHB Liv'!C49+'Sparebank 1'!C49+'Storebrand Livsforsikring'!C49+'Telenor Forsikring'!C49+'Tryg Forsikring'!C49+'WaterCircles F'!C49+'Codan Forsikring'!C49+'Euro Accident'!C49</f>
        <v>2261774.8984099999</v>
      </c>
      <c r="D49" s="24">
        <f t="shared" si="9"/>
        <v>7.1</v>
      </c>
      <c r="E49" s="35"/>
      <c r="F49" s="5"/>
      <c r="G49" s="34"/>
      <c r="H49" s="37"/>
      <c r="I49" s="37"/>
      <c r="J49" s="32"/>
    </row>
    <row r="50" spans="1:10" s="3" customFormat="1" ht="15.75" customHeight="1" x14ac:dyDescent="0.25">
      <c r="A50" s="293" t="s">
        <v>6</v>
      </c>
      <c r="B50" s="44">
        <f>'Fremtind Livsforsikring'!B50+'Danica Pensjonsforsikring'!B50+'DNB Livsforsikring'!B50+'Eika Forsikring AS'!B50+'Frende Livsforsikring'!B50+'Frende Skadeforsikring'!B50+'Gjensidige Forsikring'!B50+'Gjensidige Pensjon'!B50+'Handelsbanken Liv'!B50+'If Skadeforsikring NUF'!B50+KLP!B50+'DNB Bedriftspensjon'!B50+'KLP Skadeforsikring AS'!B50+'Landkreditt Forsikring'!B50+Insr!B50+'Nordea Liv '!B50+'Oslo Pensjonsforsikring'!B50+'Protector Forsikring'!B50+'SHB Liv'!B50+'Sparebank 1'!B50+'Storebrand Livsforsikring'!B50+'Telenor Forsikring'!B50+'Tryg Forsikring'!B50+'WaterCircles F'!B50+'Codan Forsikring'!B50+'Euro Accident'!B50</f>
        <v>1523.6148900000001</v>
      </c>
      <c r="C50" s="44">
        <f>'Fremtind Livsforsikring'!C50+'Danica Pensjonsforsikring'!C50+'DNB Livsforsikring'!C50+'Eika Forsikring AS'!C50+'Frende Livsforsikring'!C50+'Frende Skadeforsikring'!C50+'Gjensidige Forsikring'!C50+'Gjensidige Pensjon'!C50+'Handelsbanken Liv'!C50+'If Skadeforsikring NUF'!C50+KLP!C50+'DNB Bedriftspensjon'!C50+'KLP Skadeforsikring AS'!C50+'Landkreditt Forsikring'!C50+Insr!C50+'Nordea Liv '!C50+'Oslo Pensjonsforsikring'!C50+'Protector Forsikring'!C50+'SHB Liv'!C50+'Sparebank 1'!C50+'Storebrand Livsforsikring'!C50+'Telenor Forsikring'!C50+'Tryg Forsikring'!C50+'WaterCircles F'!C50+'Codan Forsikring'!C50+'Euro Accident'!C50</f>
        <v>0</v>
      </c>
      <c r="D50" s="27">
        <f>IF($A$1=4,IF(B50=0, "    ---- ", IF(ABS(ROUND(100/B50*C50-100,1))&lt;999,ROUND(100/B50*C50-100,1),IF(ROUND(100/B50*C50-100,1)&gt;999,999,-999))),"")</f>
        <v>-100</v>
      </c>
      <c r="E50" s="35"/>
      <c r="F50" s="5"/>
      <c r="G50" s="34"/>
      <c r="H50" s="33"/>
      <c r="I50" s="33"/>
      <c r="J50" s="32"/>
    </row>
    <row r="51" spans="1:10" s="3" customFormat="1" ht="15.75" customHeight="1" x14ac:dyDescent="0.25">
      <c r="A51" s="293" t="s">
        <v>7</v>
      </c>
      <c r="B51" s="44">
        <f>'Fremtind Livsforsikring'!B51+'Danica Pensjonsforsikring'!B51+'DNB Livsforsikring'!B51+'Eika Forsikring AS'!B51+'Frende Livsforsikring'!B51+'Frende Skadeforsikring'!B51+'Gjensidige Forsikring'!B51+'Gjensidige Pensjon'!B51+'Handelsbanken Liv'!B51+'If Skadeforsikring NUF'!B51+KLP!B51+'DNB Bedriftspensjon'!B51+'KLP Skadeforsikring AS'!B51+'Landkreditt Forsikring'!B51+Insr!B51+'Nordea Liv '!B51+'Oslo Pensjonsforsikring'!B51+'Protector Forsikring'!B51+'SHB Liv'!B51+'Sparebank 1'!B51+'Storebrand Livsforsikring'!B51+'Telenor Forsikring'!B51+'Tryg Forsikring'!B51+'WaterCircles F'!B51+'Codan Forsikring'!B51+'Euro Accident'!B51</f>
        <v>2038468.9793199999</v>
      </c>
      <c r="C51" s="44">
        <f>'Fremtind Livsforsikring'!C51+'Danica Pensjonsforsikring'!C51+'DNB Livsforsikring'!C51+'Eika Forsikring AS'!C51+'Frende Livsforsikring'!C51+'Frende Skadeforsikring'!C51+'Gjensidige Forsikring'!C51+'Gjensidige Pensjon'!C51+'Handelsbanken Liv'!C51+'If Skadeforsikring NUF'!C51+KLP!C51+'DNB Bedriftspensjon'!C51+'KLP Skadeforsikring AS'!C51+'Landkreditt Forsikring'!C51+Insr!C51+'Nordea Liv '!C51+'Oslo Pensjonsforsikring'!C51+'Protector Forsikring'!C51+'SHB Liv'!C51+'Sparebank 1'!C51+'Storebrand Livsforsikring'!C51+'Telenor Forsikring'!C51+'Tryg Forsikring'!C51+'WaterCircles F'!C51+'Codan Forsikring'!C51+'Euro Accident'!C51</f>
        <v>2191271.55755</v>
      </c>
      <c r="D51" s="27">
        <f>IF($A$1=4,IF(B51=0, "    ---- ", IF(ABS(ROUND(100/B51*C51-100,1))&lt;999,ROUND(100/B51*C51-100,1),IF(ROUND(100/B51*C51-100,1)&gt;999,999,-999))),"")</f>
        <v>7.5</v>
      </c>
      <c r="E51" s="35"/>
      <c r="F51" s="5"/>
      <c r="G51" s="34"/>
      <c r="H51" s="33"/>
      <c r="I51" s="33"/>
      <c r="J51" s="32"/>
    </row>
    <row r="52" spans="1:10" s="3" customFormat="1" ht="15.75" customHeight="1" x14ac:dyDescent="0.25">
      <c r="A52" s="293" t="s">
        <v>8</v>
      </c>
      <c r="B52" s="44">
        <f>'Fremtind Livsforsikring'!B52+'Danica Pensjonsforsikring'!B52+'DNB Livsforsikring'!B52+'Eika Forsikring AS'!B52+'Frende Livsforsikring'!B52+'Frende Skadeforsikring'!B52+'Gjensidige Forsikring'!B52+'Gjensidige Pensjon'!B52+'Handelsbanken Liv'!B52+'If Skadeforsikring NUF'!B52+KLP!B52+'DNB Bedriftspensjon'!B52+'KLP Skadeforsikring AS'!B52+'Landkreditt Forsikring'!B52+Insr!B52+'Nordea Liv '!B52+'Oslo Pensjonsforsikring'!B52+'Protector Forsikring'!B52+'SHB Liv'!B52+'Sparebank 1'!B52+'Storebrand Livsforsikring'!B52+'Telenor Forsikring'!B52+'Tryg Forsikring'!B52+'WaterCircles F'!B52+'Codan Forsikring'!B52+'Euro Accident'!B52</f>
        <v>72707.049979999996</v>
      </c>
      <c r="C52" s="44">
        <f>'Fremtind Livsforsikring'!C52+'Danica Pensjonsforsikring'!C52+'DNB Livsforsikring'!C52+'Eika Forsikring AS'!C52+'Frende Livsforsikring'!C52+'Frende Skadeforsikring'!C52+'Gjensidige Forsikring'!C52+'Gjensidige Pensjon'!C52+'Handelsbanken Liv'!C52+'If Skadeforsikring NUF'!C52+KLP!C52+'DNB Bedriftspensjon'!C52+'KLP Skadeforsikring AS'!C52+'Landkreditt Forsikring'!C52+Insr!C52+'Nordea Liv '!C52+'Oslo Pensjonsforsikring'!C52+'Protector Forsikring'!C52+'SHB Liv'!C52+'Sparebank 1'!C52+'Storebrand Livsforsikring'!C52+'Telenor Forsikring'!C52+'Tryg Forsikring'!C52+'WaterCircles F'!C52+'Codan Forsikring'!C52+'Euro Accident'!C52</f>
        <v>70503.340859999895</v>
      </c>
      <c r="D52" s="27">
        <f>IF($A$1=4,IF(B52=0, "    ---- ", IF(ABS(ROUND(100/B52*C52-100,1))&lt;999,ROUND(100/B52*C52-100,1),IF(ROUND(100/B52*C52-100,1)&gt;999,999,-999))),"")</f>
        <v>-3</v>
      </c>
      <c r="E52" s="35"/>
      <c r="F52" s="5"/>
      <c r="G52" s="34"/>
      <c r="H52" s="33"/>
      <c r="I52" s="33"/>
      <c r="J52" s="32"/>
    </row>
    <row r="53" spans="1:10" s="414" customFormat="1" ht="15.75" customHeight="1" x14ac:dyDescent="0.25">
      <c r="A53" s="39" t="s">
        <v>457</v>
      </c>
      <c r="B53" s="234">
        <f>'Fremtind Livsforsikring'!B53+'Danica Pensjonsforsikring'!B53+'DNB Livsforsikring'!B53+'Eika Forsikring AS'!B53+'Frende Livsforsikring'!B53+'Frende Skadeforsikring'!B53+'Gjensidige Forsikring'!B53+'Gjensidige Pensjon'!B53+'Handelsbanken Liv'!B53+'If Skadeforsikring NUF'!B53+KLP!B53+'DNB Bedriftspensjon'!B53+'KLP Skadeforsikring AS'!B53+'Landkreditt Forsikring'!B53+Insr!B53+'Nordea Liv '!B53+'Oslo Pensjonsforsikring'!B53+'Protector Forsikring'!B53+'SHB Liv'!B53+'Sparebank 1'!B53+'Storebrand Livsforsikring'!B53+'Telenor Forsikring'!B53+'Tryg Forsikring'!B53+'WaterCircles F'!B53+'Codan Forsikring'!B53+'Euro Accident'!B53</f>
        <v>163646.02387602179</v>
      </c>
      <c r="C53" s="234">
        <f>'Fremtind Livsforsikring'!C53+'Danica Pensjonsforsikring'!C53+'DNB Livsforsikring'!C53+'Eika Forsikring AS'!C53+'Frende Livsforsikring'!C53+'Frende Skadeforsikring'!C53+'Gjensidige Forsikring'!C53+'Gjensidige Pensjon'!C53+'Handelsbanken Liv'!C53+'If Skadeforsikring NUF'!C53+KLP!C53+'DNB Bedriftspensjon'!C53+'KLP Skadeforsikring AS'!C53+'Landkreditt Forsikring'!C53+Insr!C53+'Nordea Liv '!C53+'Oslo Pensjonsforsikring'!C53+'Protector Forsikring'!C53+'SHB Liv'!C53+'Sparebank 1'!C53+'Storebrand Livsforsikring'!C53+'Telenor Forsikring'!C53+'Tryg Forsikring'!C53+'WaterCircles F'!C53+'Codan Forsikring'!C53+'Euro Accident'!C53</f>
        <v>273474.08687602181</v>
      </c>
      <c r="D53" s="24">
        <f t="shared" si="9"/>
        <v>67.099999999999994</v>
      </c>
      <c r="E53" s="415"/>
      <c r="F53" s="416"/>
      <c r="G53" s="32"/>
      <c r="H53" s="172"/>
      <c r="I53" s="172"/>
      <c r="J53" s="32"/>
    </row>
    <row r="54" spans="1:10" s="3" customFormat="1" ht="15.75" customHeight="1" x14ac:dyDescent="0.25">
      <c r="A54" s="38" t="s">
        <v>455</v>
      </c>
      <c r="B54" s="44">
        <f>'Fremtind Livsforsikring'!B54+'Danica Pensjonsforsikring'!B54+'DNB Livsforsikring'!B54+'Eika Forsikring AS'!B54+'Frende Livsforsikring'!B54+'Frende Skadeforsikring'!B54+'Gjensidige Forsikring'!B54+'Gjensidige Pensjon'!B54+'Handelsbanken Liv'!B54+'If Skadeforsikring NUF'!B54+KLP!B54+'DNB Bedriftspensjon'!B54+'KLP Skadeforsikring AS'!B54+'Landkreditt Forsikring'!B54+Insr!B54+'Nordea Liv '!B54+'Oslo Pensjonsforsikring'!B54+'Protector Forsikring'!B54+'SHB Liv'!B54+'Sparebank 1'!B54+'Storebrand Livsforsikring'!B54+'Telenor Forsikring'!B54+'Tryg Forsikring'!B54+'WaterCircles F'!B54+'Codan Forsikring'!B54+'Euro Accident'!B54</f>
        <v>163646.02387602179</v>
      </c>
      <c r="C54" s="44">
        <f>'Fremtind Livsforsikring'!C54+'Danica Pensjonsforsikring'!C54+'DNB Livsforsikring'!C54+'Eika Forsikring AS'!C54+'Frende Livsforsikring'!C54+'Frende Skadeforsikring'!C54+'Gjensidige Forsikring'!C54+'Gjensidige Pensjon'!C54+'Handelsbanken Liv'!C54+'If Skadeforsikring NUF'!C54+KLP!C54+'DNB Bedriftspensjon'!C54+'KLP Skadeforsikring AS'!C54+'Landkreditt Forsikring'!C54+Insr!C54+'Nordea Liv '!C54+'Oslo Pensjonsforsikring'!C54+'Protector Forsikring'!C54+'SHB Liv'!C54+'Sparebank 1'!C54+'Storebrand Livsforsikring'!C54+'Telenor Forsikring'!C54+'Tryg Forsikring'!C54+'WaterCircles F'!C54+'Codan Forsikring'!C54+'Euro Accident'!C54</f>
        <v>267348.77587602177</v>
      </c>
      <c r="D54" s="24">
        <f t="shared" si="9"/>
        <v>63.4</v>
      </c>
      <c r="E54" s="35"/>
      <c r="F54" s="5"/>
      <c r="G54" s="34"/>
      <c r="H54" s="33"/>
      <c r="I54" s="33"/>
      <c r="J54" s="32"/>
    </row>
    <row r="55" spans="1:10" s="3" customFormat="1" ht="15.75" customHeight="1" x14ac:dyDescent="0.25">
      <c r="A55" s="38" t="s">
        <v>456</v>
      </c>
      <c r="B55" s="44">
        <f>'Fremtind Livsforsikring'!B55+'Danica Pensjonsforsikring'!B55+'DNB Livsforsikring'!B55+'Eika Forsikring AS'!B55+'Frende Livsforsikring'!B55+'Frende Skadeforsikring'!B55+'Gjensidige Forsikring'!B55+'Gjensidige Pensjon'!B55+'Handelsbanken Liv'!B55+'If Skadeforsikring NUF'!B55+KLP!B55+'DNB Bedriftspensjon'!B55+'KLP Skadeforsikring AS'!B55+'Landkreditt Forsikring'!B55+Insr!B55+'Nordea Liv '!B55+'Oslo Pensjonsforsikring'!B55+'Protector Forsikring'!B55+'SHB Liv'!B55+'Sparebank 1'!B55+'Storebrand Livsforsikring'!B55+'Telenor Forsikring'!B55+'Tryg Forsikring'!B55+'WaterCircles F'!B55+'Codan Forsikring'!B55+'Euro Accident'!B55</f>
        <v>0</v>
      </c>
      <c r="C55" s="44">
        <f>'Fremtind Livsforsikring'!C55+'Danica Pensjonsforsikring'!C55+'DNB Livsforsikring'!C55+'Eika Forsikring AS'!C55+'Frende Livsforsikring'!C55+'Frende Skadeforsikring'!C55+'Gjensidige Forsikring'!C55+'Gjensidige Pensjon'!C55+'Handelsbanken Liv'!C55+'If Skadeforsikring NUF'!C55+KLP!C55+'DNB Bedriftspensjon'!C55+'KLP Skadeforsikring AS'!C55+'Landkreditt Forsikring'!C55+Insr!C55+'Nordea Liv '!C55+'Oslo Pensjonsforsikring'!C55+'Protector Forsikring'!C55+'SHB Liv'!C55+'Sparebank 1'!C55+'Storebrand Livsforsikring'!C55+'Telenor Forsikring'!C55+'Tryg Forsikring'!C55+'WaterCircles F'!C55+'Codan Forsikring'!C55+'Euro Accident'!C55</f>
        <v>6125.3109999999997</v>
      </c>
      <c r="D55" s="24" t="str">
        <f t="shared" si="9"/>
        <v xml:space="preserve">    ---- </v>
      </c>
      <c r="E55" s="35"/>
      <c r="F55" s="5"/>
      <c r="G55" s="34"/>
      <c r="H55" s="33"/>
      <c r="I55" s="33"/>
      <c r="J55" s="32"/>
    </row>
    <row r="56" spans="1:10" s="414" customFormat="1" ht="15.75" customHeight="1" x14ac:dyDescent="0.25">
      <c r="A56" s="39" t="s">
        <v>458</v>
      </c>
      <c r="B56" s="234">
        <f>'Fremtind Livsforsikring'!B56+'Danica Pensjonsforsikring'!B56+'DNB Livsforsikring'!B56+'Eika Forsikring AS'!B56+'Frende Livsforsikring'!B56+'Frende Skadeforsikring'!B56+'Gjensidige Forsikring'!B56+'Gjensidige Pensjon'!B56+'Handelsbanken Liv'!B56+'If Skadeforsikring NUF'!B56+KLP!B56+'DNB Bedriftspensjon'!B56+'KLP Skadeforsikring AS'!B56+'Landkreditt Forsikring'!B56+Insr!B56+'Nordea Liv '!B56+'Oslo Pensjonsforsikring'!B56+'Protector Forsikring'!B56+'SHB Liv'!B56+'Sparebank 1'!B56+'Storebrand Livsforsikring'!B56+'Telenor Forsikring'!B56+'Tryg Forsikring'!B56+'WaterCircles F'!B56+'Codan Forsikring'!B56+'Euro Accident'!B56</f>
        <v>126883.65</v>
      </c>
      <c r="C56" s="234">
        <f>'Fremtind Livsforsikring'!C56+'Danica Pensjonsforsikring'!C56+'DNB Livsforsikring'!C56+'Eika Forsikring AS'!C56+'Frende Livsforsikring'!C56+'Frende Skadeforsikring'!C56+'Gjensidige Forsikring'!C56+'Gjensidige Pensjon'!C56+'Handelsbanken Liv'!C56+'If Skadeforsikring NUF'!C56+KLP!C56+'DNB Bedriftspensjon'!C56+'KLP Skadeforsikring AS'!C56+'Landkreditt Forsikring'!C56+Insr!C56+'Nordea Liv '!C56+'Oslo Pensjonsforsikring'!C56+'Protector Forsikring'!C56+'SHB Liv'!C56+'Sparebank 1'!C56+'Storebrand Livsforsikring'!C56+'Telenor Forsikring'!C56+'Tryg Forsikring'!C56+'WaterCircles F'!C56+'Codan Forsikring'!C56+'Euro Accident'!C56</f>
        <v>357127.69000000006</v>
      </c>
      <c r="D56" s="24">
        <f t="shared" si="9"/>
        <v>181.5</v>
      </c>
      <c r="E56" s="415"/>
      <c r="F56" s="416"/>
      <c r="G56" s="32"/>
      <c r="H56" s="172"/>
      <c r="I56" s="172"/>
      <c r="J56" s="32"/>
    </row>
    <row r="57" spans="1:10" s="3" customFormat="1" ht="15.75" customHeight="1" x14ac:dyDescent="0.25">
      <c r="A57" s="38" t="s">
        <v>455</v>
      </c>
      <c r="B57" s="44">
        <f>'Fremtind Livsforsikring'!B57+'Danica Pensjonsforsikring'!B57+'DNB Livsforsikring'!B57+'Eika Forsikring AS'!B57+'Frende Livsforsikring'!B57+'Frende Skadeforsikring'!B57+'Gjensidige Forsikring'!B57+'Gjensidige Pensjon'!B57+'Handelsbanken Liv'!B57+'If Skadeforsikring NUF'!B57+KLP!B57+'DNB Bedriftspensjon'!B57+'KLP Skadeforsikring AS'!B57+'Landkreditt Forsikring'!B57+Insr!B57+'Nordea Liv '!B57+'Oslo Pensjonsforsikring'!B57+'Protector Forsikring'!B57+'SHB Liv'!B57+'Sparebank 1'!B57+'Storebrand Livsforsikring'!B57+'Telenor Forsikring'!B57+'Tryg Forsikring'!B57+'WaterCircles F'!B57+'Codan Forsikring'!B57+'Euro Accident'!B57</f>
        <v>126883.65</v>
      </c>
      <c r="C57" s="44">
        <f>'Fremtind Livsforsikring'!C57+'Danica Pensjonsforsikring'!C57+'DNB Livsforsikring'!C57+'Eika Forsikring AS'!C57+'Frende Livsforsikring'!C57+'Frende Skadeforsikring'!C57+'Gjensidige Forsikring'!C57+'Gjensidige Pensjon'!C57+'Handelsbanken Liv'!C57+'If Skadeforsikring NUF'!C57+KLP!C57+'DNB Bedriftspensjon'!C57+'KLP Skadeforsikring AS'!C57+'Landkreditt Forsikring'!C57+Insr!C57+'Nordea Liv '!C57+'Oslo Pensjonsforsikring'!C57+'Protector Forsikring'!C57+'SHB Liv'!C57+'Sparebank 1'!C57+'Storebrand Livsforsikring'!C57+'Telenor Forsikring'!C57+'Tryg Forsikring'!C57+'WaterCircles F'!C57+'Codan Forsikring'!C57+'Euro Accident'!C57</f>
        <v>357127.69000000006</v>
      </c>
      <c r="D57" s="24">
        <f t="shared" si="9"/>
        <v>181.5</v>
      </c>
      <c r="E57" s="35"/>
      <c r="F57" s="5"/>
      <c r="G57" s="34"/>
      <c r="H57" s="33"/>
      <c r="I57" s="33"/>
      <c r="J57" s="32"/>
    </row>
    <row r="58" spans="1:10" s="3" customFormat="1" ht="15.75" customHeight="1" x14ac:dyDescent="0.25">
      <c r="A58" s="38" t="s">
        <v>456</v>
      </c>
      <c r="B58" s="45">
        <f>'Fremtind Livsforsikring'!B58+'Danica Pensjonsforsikring'!B58+'DNB Livsforsikring'!B58+'Eika Forsikring AS'!B58+'Frende Livsforsikring'!B58+'Frende Skadeforsikring'!B58+'Gjensidige Forsikring'!B58+'Gjensidige Pensjon'!B58+'Handelsbanken Liv'!B58+'If Skadeforsikring NUF'!B58+KLP!B58+'DNB Bedriftspensjon'!B58+'KLP Skadeforsikring AS'!B58+'Landkreditt Forsikring'!B58+Insr!B58+'Nordea Liv '!B58+'Oslo Pensjonsforsikring'!B58+'Protector Forsikring'!B58+'SHB Liv'!B58+'Sparebank 1'!B58+'Storebrand Livsforsikring'!B58+'Telenor Forsikring'!B58+'Tryg Forsikring'!B58+'WaterCircles F'!B58+'Codan Forsikring'!B58+'Euro Accident'!B58</f>
        <v>0</v>
      </c>
      <c r="C58" s="45">
        <f>'Fremtind Livsforsikring'!C58+'Danica Pensjonsforsikring'!C58+'DNB Livsforsikring'!C58+'Eika Forsikring AS'!C58+'Frende Livsforsikring'!C58+'Frende Skadeforsikring'!C58+'Gjensidige Forsikring'!C58+'Gjensidige Pensjon'!C58+'Handelsbanken Liv'!C58+'If Skadeforsikring NUF'!C58+KLP!C58+'DNB Bedriftspensjon'!C58+'KLP Skadeforsikring AS'!C58+'Landkreditt Forsikring'!C58+Insr!C58+'Nordea Liv '!C58+'Oslo Pensjonsforsikring'!C58+'Protector Forsikring'!C58+'SHB Liv'!C58+'Sparebank 1'!C58+'Storebrand Livsforsikring'!C58+'Telenor Forsikring'!C58+'Tryg Forsikring'!C58+'WaterCircles F'!C58+'Codan Forsikring'!C58+'Euro Accident'!C58</f>
        <v>0</v>
      </c>
      <c r="D58" s="36"/>
      <c r="E58" s="35"/>
      <c r="F58" s="5"/>
      <c r="G58" s="34"/>
      <c r="H58" s="33"/>
      <c r="I58" s="33"/>
      <c r="J58" s="32"/>
    </row>
    <row r="59" spans="1:10" s="3" customFormat="1" ht="15.75" customHeight="1" x14ac:dyDescent="0.3">
      <c r="A59" s="163"/>
      <c r="B59" s="30"/>
      <c r="C59" s="30"/>
      <c r="D59" s="30"/>
      <c r="E59" s="31"/>
      <c r="F59" s="31"/>
      <c r="G59" s="31"/>
      <c r="H59" s="31"/>
      <c r="I59" s="31"/>
      <c r="J59" s="31"/>
    </row>
    <row r="60" spans="1:10" ht="15.75" customHeight="1" x14ac:dyDescent="0.25">
      <c r="A60" s="154"/>
    </row>
    <row r="61" spans="1:10" ht="15.75" customHeight="1" x14ac:dyDescent="0.3">
      <c r="A61" s="146" t="s">
        <v>272</v>
      </c>
      <c r="C61" s="26"/>
      <c r="D61" s="25"/>
      <c r="E61" s="26"/>
      <c r="F61" s="26"/>
      <c r="G61" s="25"/>
      <c r="H61" s="26"/>
      <c r="I61" s="26"/>
      <c r="J61" s="25"/>
    </row>
    <row r="62" spans="1:10" ht="20.100000000000001" customHeight="1" x14ac:dyDescent="0.3">
      <c r="A62" s="148"/>
      <c r="B62" s="953"/>
      <c r="C62" s="953"/>
      <c r="D62" s="953"/>
      <c r="E62" s="953"/>
      <c r="F62" s="953"/>
      <c r="G62" s="953"/>
      <c r="H62" s="953"/>
      <c r="I62" s="953"/>
      <c r="J62" s="953"/>
    </row>
    <row r="63" spans="1:10" ht="15.75" customHeight="1" x14ac:dyDescent="0.25">
      <c r="A63" s="143"/>
      <c r="B63" s="954" t="s">
        <v>0</v>
      </c>
      <c r="C63" s="955"/>
      <c r="D63" s="955"/>
      <c r="E63" s="954" t="s">
        <v>1</v>
      </c>
      <c r="F63" s="955"/>
      <c r="G63" s="956"/>
      <c r="H63" s="955" t="s">
        <v>2</v>
      </c>
      <c r="I63" s="955"/>
      <c r="J63" s="956"/>
    </row>
    <row r="64" spans="1:10" ht="15.75" customHeight="1" x14ac:dyDescent="0.25">
      <c r="A64" s="139"/>
      <c r="B64" s="20" t="s">
        <v>508</v>
      </c>
      <c r="C64" s="20" t="s">
        <v>509</v>
      </c>
      <c r="D64" s="19" t="s">
        <v>3</v>
      </c>
      <c r="E64" s="20" t="s">
        <v>508</v>
      </c>
      <c r="F64" s="20" t="s">
        <v>509</v>
      </c>
      <c r="G64" s="19" t="s">
        <v>3</v>
      </c>
      <c r="H64" s="20" t="s">
        <v>508</v>
      </c>
      <c r="I64" s="20" t="s">
        <v>509</v>
      </c>
      <c r="J64" s="19" t="s">
        <v>3</v>
      </c>
    </row>
    <row r="65" spans="1:10" ht="15.75" customHeight="1" x14ac:dyDescent="0.25">
      <c r="A65" s="927"/>
      <c r="B65" s="15"/>
      <c r="C65" s="15"/>
      <c r="D65" s="17" t="s">
        <v>4</v>
      </c>
      <c r="E65" s="16"/>
      <c r="F65" s="16"/>
      <c r="G65" s="15" t="s">
        <v>4</v>
      </c>
      <c r="H65" s="16"/>
      <c r="I65" s="16"/>
      <c r="J65" s="15" t="s">
        <v>4</v>
      </c>
    </row>
    <row r="66" spans="1:10" s="43" customFormat="1" ht="15.75" customHeight="1" x14ac:dyDescent="0.25">
      <c r="A66" s="14" t="s">
        <v>23</v>
      </c>
      <c r="B66" s="325">
        <f>'Fremtind Livsforsikring'!B66+'Danica Pensjonsforsikring'!B66+'DNB Livsforsikring'!B66+'Eika Forsikring AS'!B66+'Frende Livsforsikring'!B66+'Frende Skadeforsikring'!B66+'Gjensidige Forsikring'!B66+'Gjensidige Pensjon'!B66+'Handelsbanken Liv'!B66+'If Skadeforsikring NUF'!B66+KLP!B66+'DNB Bedriftspensjon'!B66+'KLP Skadeforsikring AS'!B66+'Landkreditt Forsikring'!B66+Insr!B66+'Nordea Liv '!B66+'Oslo Pensjonsforsikring'!B66+'Protector Forsikring'!B66+'SHB Liv'!B66+'Sparebank 1'!B66+'Storebrand Livsforsikring'!B66+'Telenor Forsikring'!B66+'Tryg Forsikring'!B66+'WaterCircles F'!B66+'Codan Forsikring'!B66+'Euro Accident'!B66</f>
        <v>7426995.2183599994</v>
      </c>
      <c r="C66" s="325">
        <f>'Fremtind Livsforsikring'!C66+'Danica Pensjonsforsikring'!C66+'DNB Livsforsikring'!C66+'Eika Forsikring AS'!C66+'Frende Livsforsikring'!C66+'Frende Skadeforsikring'!C66+'Gjensidige Forsikring'!C66+'Gjensidige Pensjon'!C66+'Handelsbanken Liv'!C66+'If Skadeforsikring NUF'!C66+KLP!C66+'DNB Bedriftspensjon'!C66+'KLP Skadeforsikring AS'!C66+'Landkreditt Forsikring'!C66+Insr!C66+'Nordea Liv '!C66+'Oslo Pensjonsforsikring'!C66+'Protector Forsikring'!C66+'SHB Liv'!C66+'Sparebank 1'!C66+'Storebrand Livsforsikring'!C66+'Telenor Forsikring'!C66+'Tryg Forsikring'!C66+'WaterCircles F'!C66+'Codan Forsikring'!C66+'Euro Accident'!C66</f>
        <v>7601221.4551599994</v>
      </c>
      <c r="D66" s="24">
        <f>IF(B66=0, "    ---- ", IF(ABS(ROUND(100/B66*C66-100,1))&lt;999,ROUND(100/B66*C66-100,1),IF(ROUND(100/B66*C66-100,1)&gt;999,999,-999)))</f>
        <v>2.2999999999999998</v>
      </c>
      <c r="E66" s="234">
        <f>'Fremtind Livsforsikring'!F66+'Danica Pensjonsforsikring'!F66+'DNB Livsforsikring'!F66+'Eika Forsikring AS'!F66+'Frende Livsforsikring'!F66+'Frende Skadeforsikring'!F66+'Gjensidige Forsikring'!F66+'Gjensidige Pensjon'!F66+'Handelsbanken Liv'!F66+'If Skadeforsikring NUF'!F66+KLP!F66+'DNB Bedriftspensjon'!F66+'KLP Skadeforsikring AS'!F66+'Landkreditt Forsikring'!F66+Insr!F66+'Nordea Liv '!F66+'Oslo Pensjonsforsikring'!F66+'Protector Forsikring'!F66+'SHB Liv'!F66+'Sparebank 1'!F66+'Storebrand Livsforsikring'!F66+'Telenor Forsikring'!F66+'Tryg Forsikring'!F66+'WaterCircles F'!F66+'Codan Forsikring'!F66+'Euro Accident'!F66</f>
        <v>35012148.002570003</v>
      </c>
      <c r="F66" s="234">
        <f>'Fremtind Livsforsikring'!G66+'Danica Pensjonsforsikring'!G66+'DNB Livsforsikring'!G66+'Eika Forsikring AS'!G66+'Frende Livsforsikring'!G66+'Frende Skadeforsikring'!G66+'Gjensidige Forsikring'!G66+'Gjensidige Pensjon'!G66+'Handelsbanken Liv'!G66+'If Skadeforsikring NUF'!G66+KLP!G66+'DNB Bedriftspensjon'!G66+'KLP Skadeforsikring AS'!G66+'Landkreditt Forsikring'!G66+Insr!G66+'Nordea Liv '!G66+'Oslo Pensjonsforsikring'!G66+'Protector Forsikring'!G66+'SHB Liv'!G66+'Sparebank 1'!G66+'Storebrand Livsforsikring'!G66+'Telenor Forsikring'!G66+'Tryg Forsikring'!G66+'WaterCircles F'!G66+'Codan Forsikring'!G66+'Euro Accident'!G66</f>
        <v>38178258.521789998</v>
      </c>
      <c r="G66" s="24">
        <f>IF(E66=0, "    ---- ", IF(ABS(ROUND(100/E66*F66-100,1))&lt;999,ROUND(100/E66*F66-100,1),IF(ROUND(100/E66*F66-100,1)&gt;999,999,-999)))</f>
        <v>9</v>
      </c>
      <c r="H66" s="325">
        <f t="shared" ref="H66:H86" si="10">SUM(B66,E66)</f>
        <v>42439143.220930003</v>
      </c>
      <c r="I66" s="325">
        <f t="shared" ref="I66:I86" si="11">SUM(C66,F66)</f>
        <v>45779479.976949997</v>
      </c>
      <c r="J66" s="24">
        <f t="shared" ref="J66:J111" si="12">IF(H66=0, "    ---- ", IF(ABS(ROUND(100/H66*I66-100,1))&lt;999,ROUND(100/H66*I66-100,1),IF(ROUND(100/H66*I66-100,1)&gt;999,999,-999)))</f>
        <v>7.9</v>
      </c>
    </row>
    <row r="67" spans="1:10" ht="15.75" customHeight="1" x14ac:dyDescent="0.3">
      <c r="A67" s="21" t="s">
        <v>9</v>
      </c>
      <c r="B67" s="232">
        <f>'Fremtind Livsforsikring'!B67+'Danica Pensjonsforsikring'!B67+'DNB Livsforsikring'!B67+'Eika Forsikring AS'!B67+'Frende Livsforsikring'!B67+'Frende Skadeforsikring'!B67+'Gjensidige Forsikring'!B67+'Gjensidige Pensjon'!B67+'Handelsbanken Liv'!B67+'If Skadeforsikring NUF'!B67+KLP!B67+'DNB Bedriftspensjon'!B67+'KLP Skadeforsikring AS'!B67+'Landkreditt Forsikring'!B67+Insr!B67+'Nordea Liv '!B67+'Oslo Pensjonsforsikring'!B67+'Protector Forsikring'!B67+'SHB Liv'!B67+'Sparebank 1'!B67+'Storebrand Livsforsikring'!B67+'Telenor Forsikring'!B67+'Tryg Forsikring'!B67+'WaterCircles F'!B67+'Codan Forsikring'!B67+'Euro Accident'!B67</f>
        <v>5138517.3029399998</v>
      </c>
      <c r="C67" s="232">
        <f>'Fremtind Livsforsikring'!C67+'Danica Pensjonsforsikring'!C67+'DNB Livsforsikring'!C67+'Eika Forsikring AS'!C67+'Frende Livsforsikring'!C67+'Frende Skadeforsikring'!C67+'Gjensidige Forsikring'!C67+'Gjensidige Pensjon'!C67+'Handelsbanken Liv'!C67+'If Skadeforsikring NUF'!C67+KLP!C67+'DNB Bedriftspensjon'!C67+'KLP Skadeforsikring AS'!C67+'Landkreditt Forsikring'!C67+Insr!C67+'Nordea Liv '!C67+'Oslo Pensjonsforsikring'!C67+'Protector Forsikring'!C67+'SHB Liv'!C67+'Sparebank 1'!C67+'Storebrand Livsforsikring'!C67+'Telenor Forsikring'!C67+'Tryg Forsikring'!C67+'WaterCircles F'!C67+'Codan Forsikring'!C67+'Euro Accident'!C67</f>
        <v>5174908.4881999996</v>
      </c>
      <c r="D67" s="239">
        <f>IF(B67=0, "    ---- ", IF(ABS(ROUND(100/B67*C67-100,1))&lt;999,ROUND(100/B67*C67-100,1),IF(ROUND(100/B67*C67-100,1)&gt;999,999,-999)))</f>
        <v>0.7</v>
      </c>
      <c r="E67" s="44">
        <f>'Fremtind Livsforsikring'!F67+'Danica Pensjonsforsikring'!F67+'DNB Livsforsikring'!F67+'Eika Forsikring AS'!F67+'Frende Livsforsikring'!F67+'Frende Skadeforsikring'!F67+'Gjensidige Forsikring'!F67+'Gjensidige Pensjon'!F67+'Handelsbanken Liv'!F67+'If Skadeforsikring NUF'!F67+KLP!F67+'DNB Bedriftspensjon'!F67+'KLP Skadeforsikring AS'!F67+'Landkreditt Forsikring'!F67+Insr!F67+'Nordea Liv '!F67+'Oslo Pensjonsforsikring'!F67+'Protector Forsikring'!F67+'SHB Liv'!F67+'Sparebank 1'!F67+'Storebrand Livsforsikring'!F67+'Telenor Forsikring'!F67+'Tryg Forsikring'!F67+'WaterCircles F'!F67+'Codan Forsikring'!F67+'Euro Accident'!F67</f>
        <v>0</v>
      </c>
      <c r="F67" s="44">
        <f>'Fremtind Livsforsikring'!G67+'Danica Pensjonsforsikring'!G67+'DNB Livsforsikring'!G67+'Eika Forsikring AS'!G67+'Frende Livsforsikring'!G67+'Frende Skadeforsikring'!G67+'Gjensidige Forsikring'!G67+'Gjensidige Pensjon'!G67+'Handelsbanken Liv'!G67+'If Skadeforsikring NUF'!G67+KLP!G67+'DNB Bedriftspensjon'!G67+'KLP Skadeforsikring AS'!G67+'Landkreditt Forsikring'!G67+Insr!G67+'Nordea Liv '!G67+'Oslo Pensjonsforsikring'!G67+'Protector Forsikring'!G67+'SHB Liv'!G67+'Sparebank 1'!G67+'Storebrand Livsforsikring'!G67+'Telenor Forsikring'!G67+'Tryg Forsikring'!G67+'WaterCircles F'!G67+'Codan Forsikring'!G67+'Euro Accident'!G67</f>
        <v>0</v>
      </c>
      <c r="G67" s="165"/>
      <c r="H67" s="235">
        <f t="shared" si="10"/>
        <v>5138517.3029399998</v>
      </c>
      <c r="I67" s="235">
        <f t="shared" si="11"/>
        <v>5174908.4881999996</v>
      </c>
      <c r="J67" s="23">
        <f t="shared" si="12"/>
        <v>0.7</v>
      </c>
    </row>
    <row r="68" spans="1:10" ht="15.75" customHeight="1" x14ac:dyDescent="0.3">
      <c r="A68" s="21" t="s">
        <v>10</v>
      </c>
      <c r="B68" s="232">
        <f>'Fremtind Livsforsikring'!B68+'Danica Pensjonsforsikring'!B68+'DNB Livsforsikring'!B68+'Eika Forsikring AS'!B68+'Frende Livsforsikring'!B68+'Frende Skadeforsikring'!B68+'Gjensidige Forsikring'!B68+'Gjensidige Pensjon'!B68+'Handelsbanken Liv'!B68+'If Skadeforsikring NUF'!B68+KLP!B68+'DNB Bedriftspensjon'!B68+'KLP Skadeforsikring AS'!B68+'Landkreditt Forsikring'!B68+Insr!B68+'Nordea Liv '!B68+'Oslo Pensjonsforsikring'!B68+'Protector Forsikring'!B68+'SHB Liv'!B68+'Sparebank 1'!B68+'Storebrand Livsforsikring'!B68+'Telenor Forsikring'!B68+'Tryg Forsikring'!B68+'WaterCircles F'!B68+'Codan Forsikring'!B68+'Euro Accident'!B68</f>
        <v>123280.45339000001</v>
      </c>
      <c r="C68" s="232">
        <f>'Fremtind Livsforsikring'!C68+'Danica Pensjonsforsikring'!C68+'DNB Livsforsikring'!C68+'Eika Forsikring AS'!C68+'Frende Livsforsikring'!C68+'Frende Skadeforsikring'!C68+'Gjensidige Forsikring'!C68+'Gjensidige Pensjon'!C68+'Handelsbanken Liv'!C68+'If Skadeforsikring NUF'!C68+KLP!C68+'DNB Bedriftspensjon'!C68+'KLP Skadeforsikring AS'!C68+'Landkreditt Forsikring'!C68+Insr!C68+'Nordea Liv '!C68+'Oslo Pensjonsforsikring'!C68+'Protector Forsikring'!C68+'SHB Liv'!C68+'Sparebank 1'!C68+'Storebrand Livsforsikring'!C68+'Telenor Forsikring'!C68+'Tryg Forsikring'!C68+'WaterCircles F'!C68+'Codan Forsikring'!C68+'Euro Accident'!C68</f>
        <v>45700.668400000002</v>
      </c>
      <c r="D68" s="239">
        <f>IF(B68=0, "    ---- ", IF(ABS(ROUND(100/B68*C68-100,1))&lt;999,ROUND(100/B68*C68-100,1),IF(ROUND(100/B68*C68-100,1)&gt;999,999,-999)))</f>
        <v>-62.9</v>
      </c>
      <c r="E68" s="44">
        <f>'Fremtind Livsforsikring'!F68+'Danica Pensjonsforsikring'!F68+'DNB Livsforsikring'!F68+'Eika Forsikring AS'!F68+'Frende Livsforsikring'!F68+'Frende Skadeforsikring'!F68+'Gjensidige Forsikring'!F68+'Gjensidige Pensjon'!F68+'Handelsbanken Liv'!F68+'If Skadeforsikring NUF'!F68+KLP!F68+'DNB Bedriftspensjon'!F68+'KLP Skadeforsikring AS'!F68+'Landkreditt Forsikring'!F68+Insr!F68+'Nordea Liv '!F68+'Oslo Pensjonsforsikring'!F68+'Protector Forsikring'!F68+'SHB Liv'!F68+'Sparebank 1'!F68+'Storebrand Livsforsikring'!F68+'Telenor Forsikring'!F68+'Tryg Forsikring'!F68+'WaterCircles F'!F68+'Codan Forsikring'!F68+'Euro Accident'!F68</f>
        <v>33633161.564300001</v>
      </c>
      <c r="F68" s="44">
        <f>'Fremtind Livsforsikring'!G68+'Danica Pensjonsforsikring'!G68+'DNB Livsforsikring'!G68+'Eika Forsikring AS'!G68+'Frende Livsforsikring'!G68+'Frende Skadeforsikring'!G68+'Gjensidige Forsikring'!G68+'Gjensidige Pensjon'!G68+'Handelsbanken Liv'!G68+'If Skadeforsikring NUF'!G68+KLP!G68+'DNB Bedriftspensjon'!G68+'KLP Skadeforsikring AS'!G68+'Landkreditt Forsikring'!G68+Insr!G68+'Nordea Liv '!G68+'Oslo Pensjonsforsikring'!G68+'Protector Forsikring'!G68+'SHB Liv'!G68+'Sparebank 1'!G68+'Storebrand Livsforsikring'!G68+'Telenor Forsikring'!G68+'Tryg Forsikring'!G68+'WaterCircles F'!G68+'Codan Forsikring'!G68+'Euro Accident'!G68</f>
        <v>36662264.570779994</v>
      </c>
      <c r="G68" s="165">
        <f t="shared" ref="G68:G125" si="13">IF(E68=0, "    ---- ", IF(ABS(ROUND(100/E68*F68-100,1))&lt;999,ROUND(100/E68*F68-100,1),IF(ROUND(100/E68*F68-100,1)&gt;999,999,-999)))</f>
        <v>9</v>
      </c>
      <c r="H68" s="235">
        <f t="shared" si="10"/>
        <v>33756442.017690003</v>
      </c>
      <c r="I68" s="235">
        <f t="shared" si="11"/>
        <v>36707965.239179991</v>
      </c>
      <c r="J68" s="23">
        <f t="shared" si="12"/>
        <v>8.6999999999999993</v>
      </c>
    </row>
    <row r="69" spans="1:10" ht="15.75" customHeight="1" x14ac:dyDescent="0.25">
      <c r="A69" s="293" t="s">
        <v>459</v>
      </c>
      <c r="B69" s="44">
        <f>'Fremtind Livsforsikring'!B69+'Danica Pensjonsforsikring'!B69+'DNB Livsforsikring'!B69+'Eika Forsikring AS'!B69+'Frende Livsforsikring'!B69+'Frende Skadeforsikring'!B69+'Gjensidige Forsikring'!B69+'Gjensidige Pensjon'!B69+'Handelsbanken Liv'!B69+'If Skadeforsikring NUF'!B69+KLP!B69+'DNB Bedriftspensjon'!B69+'KLP Skadeforsikring AS'!B69+'Landkreditt Forsikring'!B69+Insr!B69+'Nordea Liv '!B69+'Oslo Pensjonsforsikring'!B69+'Protector Forsikring'!B69+'SHB Liv'!B69+'Sparebank 1'!B69+'Storebrand Livsforsikring'!B69+'Telenor Forsikring'!B69+'Tryg Forsikring'!B69+'WaterCircles F'!B69+'Codan Forsikring'!B69+'Euro Accident'!B69</f>
        <v>10552</v>
      </c>
      <c r="C69" s="44">
        <f>'Fremtind Livsforsikring'!C69+'Danica Pensjonsforsikring'!C69+'DNB Livsforsikring'!C69+'Eika Forsikring AS'!C69+'Frende Livsforsikring'!C69+'Frende Skadeforsikring'!C69+'Gjensidige Forsikring'!C69+'Gjensidige Pensjon'!C69+'Handelsbanken Liv'!C69+'If Skadeforsikring NUF'!C69+KLP!C69+'DNB Bedriftspensjon'!C69+'KLP Skadeforsikring AS'!C69+'Landkreditt Forsikring'!C69+Insr!C69+'Nordea Liv '!C69+'Oslo Pensjonsforsikring'!C69+'Protector Forsikring'!C69+'SHB Liv'!C69+'Sparebank 1'!C69+'Storebrand Livsforsikring'!C69+'Telenor Forsikring'!C69+'Tryg Forsikring'!C69+'WaterCircles F'!C69+'Codan Forsikring'!C69+'Euro Accident'!C69</f>
        <v>7541</v>
      </c>
      <c r="D69" s="27">
        <f t="shared" ref="D69:D72" si="14">IF($A$1=4,IF(B69=0, "    ---- ", IF(ABS(ROUND(100/B69*C69-100,1))&lt;999,ROUND(100/B69*C69-100,1),IF(ROUND(100/B69*C69-100,1)&gt;999,999,-999))),"")</f>
        <v>-28.5</v>
      </c>
      <c r="E69" s="44">
        <f>'Fremtind Livsforsikring'!F69+'Danica Pensjonsforsikring'!F69+'DNB Livsforsikring'!F69+'Eika Forsikring AS'!F69+'Frende Livsforsikring'!F69+'Frende Skadeforsikring'!F69+'Gjensidige Forsikring'!F69+'Gjensidige Pensjon'!F69+'Handelsbanken Liv'!F69+'If Skadeforsikring NUF'!F69+KLP!F69+'DNB Bedriftspensjon'!F69+'KLP Skadeforsikring AS'!F69+'Landkreditt Forsikring'!F69+Insr!F69+'Nordea Liv '!F69+'Oslo Pensjonsforsikring'!F69+'Protector Forsikring'!F69+'SHB Liv'!F69+'Sparebank 1'!F69+'Storebrand Livsforsikring'!F69+'Telenor Forsikring'!F69+'Tryg Forsikring'!F69+'WaterCircles F'!F69+'Codan Forsikring'!F69+'Euro Accident'!F69</f>
        <v>2496</v>
      </c>
      <c r="F69" s="44">
        <f>'Fremtind Livsforsikring'!G69+'Danica Pensjonsforsikring'!G69+'DNB Livsforsikring'!G69+'Eika Forsikring AS'!G69+'Frende Livsforsikring'!G69+'Frende Skadeforsikring'!G69+'Gjensidige Forsikring'!G69+'Gjensidige Pensjon'!G69+'Handelsbanken Liv'!G69+'If Skadeforsikring NUF'!G69+KLP!G69+'DNB Bedriftspensjon'!G69+'KLP Skadeforsikring AS'!G69+'Landkreditt Forsikring'!G69+Insr!G69+'Nordea Liv '!G69+'Oslo Pensjonsforsikring'!G69+'Protector Forsikring'!G69+'SHB Liv'!G69+'Sparebank 1'!G69+'Storebrand Livsforsikring'!G69+'Telenor Forsikring'!G69+'Tryg Forsikring'!G69+'WaterCircles F'!G69+'Codan Forsikring'!G69+'Euro Accident'!G69</f>
        <v>2145</v>
      </c>
      <c r="G69" s="165">
        <f t="shared" si="13"/>
        <v>-14.1</v>
      </c>
      <c r="H69" s="235">
        <f t="shared" si="10"/>
        <v>13048</v>
      </c>
      <c r="I69" s="235">
        <f t="shared" si="11"/>
        <v>9686</v>
      </c>
      <c r="J69" s="23">
        <f t="shared" si="12"/>
        <v>-25.8</v>
      </c>
    </row>
    <row r="70" spans="1:10" ht="15.75" customHeight="1" x14ac:dyDescent="0.25">
      <c r="A70" s="293" t="s">
        <v>12</v>
      </c>
      <c r="B70" s="233">
        <f>'Fremtind Livsforsikring'!B70+'Danica Pensjonsforsikring'!B70+'DNB Livsforsikring'!B70+'Eika Forsikring AS'!B70+'Frende Livsforsikring'!B70+'Frende Skadeforsikring'!B70+'Gjensidige Forsikring'!B70+'Gjensidige Pensjon'!B70+'Handelsbanken Liv'!B70+'If Skadeforsikring NUF'!B70+KLP!B70+'DNB Bedriftspensjon'!B70+'KLP Skadeforsikring AS'!B70+'Landkreditt Forsikring'!B70+Insr!B70+'Nordea Liv '!B70+'Oslo Pensjonsforsikring'!B70+'Protector Forsikring'!B70+'SHB Liv'!B70+'Sparebank 1'!B70+'Storebrand Livsforsikring'!B70+'Telenor Forsikring'!B70+'Tryg Forsikring'!B70+'WaterCircles F'!B70+'Codan Forsikring'!B70+'Euro Accident'!B70</f>
        <v>0</v>
      </c>
      <c r="C70" s="233">
        <f>'Fremtind Livsforsikring'!C70+'Danica Pensjonsforsikring'!C70+'DNB Livsforsikring'!C70+'Eika Forsikring AS'!C70+'Frende Livsforsikring'!C70+'Frende Skadeforsikring'!C70+'Gjensidige Forsikring'!C70+'Gjensidige Pensjon'!C70+'Handelsbanken Liv'!C70+'If Skadeforsikring NUF'!C70+KLP!C70+'DNB Bedriftspensjon'!C70+'KLP Skadeforsikring AS'!C70+'Landkreditt Forsikring'!C70+Insr!C70+'Nordea Liv '!C70+'Oslo Pensjonsforsikring'!C70+'Protector Forsikring'!C70+'SHB Liv'!C70+'Sparebank 1'!C70+'Storebrand Livsforsikring'!C70+'Telenor Forsikring'!C70+'Tryg Forsikring'!C70+'WaterCircles F'!C70+'Codan Forsikring'!C70+'Euro Accident'!C70</f>
        <v>0</v>
      </c>
      <c r="D70" s="27"/>
      <c r="E70" s="44">
        <f>'Fremtind Livsforsikring'!F70+'Danica Pensjonsforsikring'!F70+'DNB Livsforsikring'!F70+'Eika Forsikring AS'!F70+'Frende Livsforsikring'!F70+'Frende Skadeforsikring'!F70+'Gjensidige Forsikring'!F70+'Gjensidige Pensjon'!F70+'Handelsbanken Liv'!F70+'If Skadeforsikring NUF'!F70+KLP!F70+'DNB Bedriftspensjon'!F70+'KLP Skadeforsikring AS'!F70+'Landkreditt Forsikring'!F70+Insr!F70+'Nordea Liv '!F70+'Oslo Pensjonsforsikring'!F70+'Protector Forsikring'!F70+'SHB Liv'!F70+'Sparebank 1'!F70+'Storebrand Livsforsikring'!F70+'Telenor Forsikring'!F70+'Tryg Forsikring'!F70+'WaterCircles F'!F70+'Codan Forsikring'!F70+'Euro Accident'!F70</f>
        <v>1</v>
      </c>
      <c r="F70" s="44">
        <f>'Fremtind Livsforsikring'!G70+'Danica Pensjonsforsikring'!G70+'DNB Livsforsikring'!G70+'Eika Forsikring AS'!G70+'Frende Livsforsikring'!G70+'Frende Skadeforsikring'!G70+'Gjensidige Forsikring'!G70+'Gjensidige Pensjon'!G70+'Handelsbanken Liv'!G70+'If Skadeforsikring NUF'!G70+KLP!G70+'DNB Bedriftspensjon'!G70+'KLP Skadeforsikring AS'!G70+'Landkreditt Forsikring'!G70+Insr!G70+'Nordea Liv '!G70+'Oslo Pensjonsforsikring'!G70+'Protector Forsikring'!G70+'SHB Liv'!G70+'Sparebank 1'!G70+'Storebrand Livsforsikring'!G70+'Telenor Forsikring'!G70+'Tryg Forsikring'!G70+'WaterCircles F'!G70+'Codan Forsikring'!G70+'Euro Accident'!G70</f>
        <v>0</v>
      </c>
      <c r="G70" s="165">
        <f t="shared" si="13"/>
        <v>-100</v>
      </c>
      <c r="H70" s="235">
        <f t="shared" si="10"/>
        <v>1</v>
      </c>
      <c r="I70" s="235">
        <f t="shared" si="11"/>
        <v>0</v>
      </c>
      <c r="J70" s="23">
        <f t="shared" si="12"/>
        <v>-100</v>
      </c>
    </row>
    <row r="71" spans="1:10" ht="15.75" customHeight="1" x14ac:dyDescent="0.25">
      <c r="A71" s="293" t="s">
        <v>13</v>
      </c>
      <c r="B71" s="233">
        <f>'Fremtind Livsforsikring'!B71+'Danica Pensjonsforsikring'!B71+'DNB Livsforsikring'!B71+'Eika Forsikring AS'!B71+'Frende Livsforsikring'!B71+'Frende Skadeforsikring'!B71+'Gjensidige Forsikring'!B71+'Gjensidige Pensjon'!B71+'Handelsbanken Liv'!B71+'If Skadeforsikring NUF'!B71+KLP!B71+'DNB Bedriftspensjon'!B71+'KLP Skadeforsikring AS'!B71+'Landkreditt Forsikring'!B71+Insr!B71+'Nordea Liv '!B71+'Oslo Pensjonsforsikring'!B71+'Protector Forsikring'!B71+'SHB Liv'!B71+'Sparebank 1'!B71+'Storebrand Livsforsikring'!B71+'Telenor Forsikring'!B71+'Tryg Forsikring'!B71+'WaterCircles F'!B71+'Codan Forsikring'!B71+'Euro Accident'!B71</f>
        <v>0</v>
      </c>
      <c r="C71" s="233">
        <f>'Fremtind Livsforsikring'!C71+'Danica Pensjonsforsikring'!C71+'DNB Livsforsikring'!C71+'Eika Forsikring AS'!C71+'Frende Livsforsikring'!C71+'Frende Skadeforsikring'!C71+'Gjensidige Forsikring'!C71+'Gjensidige Pensjon'!C71+'Handelsbanken Liv'!C71+'If Skadeforsikring NUF'!C71+KLP!C71+'DNB Bedriftspensjon'!C71+'KLP Skadeforsikring AS'!C71+'Landkreditt Forsikring'!C71+Insr!C71+'Nordea Liv '!C71+'Oslo Pensjonsforsikring'!C71+'Protector Forsikring'!C71+'SHB Liv'!C71+'Sparebank 1'!C71+'Storebrand Livsforsikring'!C71+'Telenor Forsikring'!C71+'Tryg Forsikring'!C71+'WaterCircles F'!C71+'Codan Forsikring'!C71+'Euro Accident'!C71</f>
        <v>0</v>
      </c>
      <c r="D71" s="27"/>
      <c r="E71" s="44">
        <f>'Fremtind Livsforsikring'!F71+'Danica Pensjonsforsikring'!F71+'DNB Livsforsikring'!F71+'Eika Forsikring AS'!F71+'Frende Livsforsikring'!F71+'Frende Skadeforsikring'!F71+'Gjensidige Forsikring'!F71+'Gjensidige Pensjon'!F71+'Handelsbanken Liv'!F71+'If Skadeforsikring NUF'!F71+KLP!F71+'DNB Bedriftspensjon'!F71+'KLP Skadeforsikring AS'!F71+'Landkreditt Forsikring'!F71+Insr!F71+'Nordea Liv '!F71+'Oslo Pensjonsforsikring'!F71+'Protector Forsikring'!F71+'SHB Liv'!F71+'Sparebank 1'!F71+'Storebrand Livsforsikring'!F71+'Telenor Forsikring'!F71+'Tryg Forsikring'!F71+'WaterCircles F'!F71+'Codan Forsikring'!F71+'Euro Accident'!F71</f>
        <v>2495</v>
      </c>
      <c r="F71" s="44">
        <f>'Fremtind Livsforsikring'!G71+'Danica Pensjonsforsikring'!G71+'DNB Livsforsikring'!G71+'Eika Forsikring AS'!G71+'Frende Livsforsikring'!G71+'Frende Skadeforsikring'!G71+'Gjensidige Forsikring'!G71+'Gjensidige Pensjon'!G71+'Handelsbanken Liv'!G71+'If Skadeforsikring NUF'!G71+KLP!G71+'DNB Bedriftspensjon'!G71+'KLP Skadeforsikring AS'!G71+'Landkreditt Forsikring'!G71+Insr!G71+'Nordea Liv '!G71+'Oslo Pensjonsforsikring'!G71+'Protector Forsikring'!G71+'SHB Liv'!G71+'Sparebank 1'!G71+'Storebrand Livsforsikring'!G71+'Telenor Forsikring'!G71+'Tryg Forsikring'!G71+'WaterCircles F'!G71+'Codan Forsikring'!G71+'Euro Accident'!G71</f>
        <v>2145</v>
      </c>
      <c r="G71" s="165">
        <f t="shared" si="13"/>
        <v>-14</v>
      </c>
      <c r="H71" s="235">
        <f t="shared" si="10"/>
        <v>2495</v>
      </c>
      <c r="I71" s="235">
        <f t="shared" si="11"/>
        <v>2145</v>
      </c>
      <c r="J71" s="23">
        <f t="shared" si="12"/>
        <v>-14</v>
      </c>
    </row>
    <row r="72" spans="1:10" ht="15.75" customHeight="1" x14ac:dyDescent="0.25">
      <c r="A72" s="293" t="s">
        <v>460</v>
      </c>
      <c r="B72" s="44">
        <f>'Fremtind Livsforsikring'!B72+'Danica Pensjonsforsikring'!B72+'DNB Livsforsikring'!B72+'Eika Forsikring AS'!B72+'Frende Livsforsikring'!B72+'Frende Skadeforsikring'!B72+'Gjensidige Forsikring'!B72+'Gjensidige Pensjon'!B72+'Handelsbanken Liv'!B72+'If Skadeforsikring NUF'!B72+KLP!B72+'DNB Bedriftspensjon'!B72+'KLP Skadeforsikring AS'!B72+'Landkreditt Forsikring'!B72+Insr!B72+'Nordea Liv '!B72+'Oslo Pensjonsforsikring'!B72+'Protector Forsikring'!B72+'SHB Liv'!B72+'Sparebank 1'!B72+'Storebrand Livsforsikring'!B72+'Telenor Forsikring'!B72+'Tryg Forsikring'!B72+'WaterCircles F'!B72+'Codan Forsikring'!B72+'Euro Accident'!B72</f>
        <v>112728.45339000001</v>
      </c>
      <c r="C72" s="44">
        <f>'Fremtind Livsforsikring'!C72+'Danica Pensjonsforsikring'!C72+'DNB Livsforsikring'!C72+'Eika Forsikring AS'!C72+'Frende Livsforsikring'!C72+'Frende Skadeforsikring'!C72+'Gjensidige Forsikring'!C72+'Gjensidige Pensjon'!C72+'Handelsbanken Liv'!C72+'If Skadeforsikring NUF'!C72+KLP!C72+'DNB Bedriftspensjon'!C72+'KLP Skadeforsikring AS'!C72+'Landkreditt Forsikring'!C72+Insr!C72+'Nordea Liv '!C72+'Oslo Pensjonsforsikring'!C72+'Protector Forsikring'!C72+'SHB Liv'!C72+'Sparebank 1'!C72+'Storebrand Livsforsikring'!C72+'Telenor Forsikring'!C72+'Tryg Forsikring'!C72+'WaterCircles F'!C72+'Codan Forsikring'!C72+'Euro Accident'!C72</f>
        <v>38159.668400000002</v>
      </c>
      <c r="D72" s="27">
        <f t="shared" si="14"/>
        <v>-66.099999999999994</v>
      </c>
      <c r="E72" s="44">
        <f>'Fremtind Livsforsikring'!F72+'Danica Pensjonsforsikring'!F72+'DNB Livsforsikring'!F72+'Eika Forsikring AS'!F72+'Frende Livsforsikring'!F72+'Frende Skadeforsikring'!F72+'Gjensidige Forsikring'!F72+'Gjensidige Pensjon'!F72+'Handelsbanken Liv'!F72+'If Skadeforsikring NUF'!F72+KLP!F72+'DNB Bedriftspensjon'!F72+'KLP Skadeforsikring AS'!F72+'Landkreditt Forsikring'!F72+Insr!F72+'Nordea Liv '!F72+'Oslo Pensjonsforsikring'!F72+'Protector Forsikring'!F72+'SHB Liv'!F72+'Sparebank 1'!F72+'Storebrand Livsforsikring'!F72+'Telenor Forsikring'!F72+'Tryg Forsikring'!F72+'WaterCircles F'!F72+'Codan Forsikring'!F72+'Euro Accident'!F72</f>
        <v>33630665.564300001</v>
      </c>
      <c r="F72" s="44">
        <f>'Fremtind Livsforsikring'!G72+'Danica Pensjonsforsikring'!G72+'DNB Livsforsikring'!G72+'Eika Forsikring AS'!G72+'Frende Livsforsikring'!G72+'Frende Skadeforsikring'!G72+'Gjensidige Forsikring'!G72+'Gjensidige Pensjon'!G72+'Handelsbanken Liv'!G72+'If Skadeforsikring NUF'!G72+KLP!G72+'DNB Bedriftspensjon'!G72+'KLP Skadeforsikring AS'!G72+'Landkreditt Forsikring'!G72+Insr!G72+'Nordea Liv '!G72+'Oslo Pensjonsforsikring'!G72+'Protector Forsikring'!G72+'SHB Liv'!G72+'Sparebank 1'!G72+'Storebrand Livsforsikring'!G72+'Telenor Forsikring'!G72+'Tryg Forsikring'!G72+'WaterCircles F'!G72+'Codan Forsikring'!G72+'Euro Accident'!G72</f>
        <v>36660119.570779994</v>
      </c>
      <c r="G72" s="165">
        <f t="shared" si="13"/>
        <v>9</v>
      </c>
      <c r="H72" s="235">
        <f t="shared" si="10"/>
        <v>33743394.017690003</v>
      </c>
      <c r="I72" s="235">
        <f t="shared" si="11"/>
        <v>36698279.239179991</v>
      </c>
      <c r="J72" s="24">
        <f t="shared" si="12"/>
        <v>8.8000000000000007</v>
      </c>
    </row>
    <row r="73" spans="1:10" ht="15.75" customHeight="1" x14ac:dyDescent="0.25">
      <c r="A73" s="293" t="s">
        <v>12</v>
      </c>
      <c r="B73" s="233">
        <f>'Fremtind Livsforsikring'!B73+'Danica Pensjonsforsikring'!B73+'DNB Livsforsikring'!B73+'Eika Forsikring AS'!B73+'Frende Livsforsikring'!B73+'Frende Skadeforsikring'!B73+'Gjensidige Forsikring'!B73+'Gjensidige Pensjon'!B73+'Handelsbanken Liv'!B73+'If Skadeforsikring NUF'!B73+KLP!B73+'DNB Bedriftspensjon'!B73+'KLP Skadeforsikring AS'!B73+'Landkreditt Forsikring'!B73+Insr!B73+'Nordea Liv '!B73+'Oslo Pensjonsforsikring'!B73+'Protector Forsikring'!B73+'SHB Liv'!B73+'Sparebank 1'!B73+'Storebrand Livsforsikring'!B73+'Telenor Forsikring'!B73+'Tryg Forsikring'!B73+'WaterCircles F'!B73+'Codan Forsikring'!B73+'Euro Accident'!B73</f>
        <v>0</v>
      </c>
      <c r="C73" s="233">
        <f>'Fremtind Livsforsikring'!C73+'Danica Pensjonsforsikring'!C73+'DNB Livsforsikring'!C73+'Eika Forsikring AS'!C73+'Frende Livsforsikring'!C73+'Frende Skadeforsikring'!C73+'Gjensidige Forsikring'!C73+'Gjensidige Pensjon'!C73+'Handelsbanken Liv'!C73+'If Skadeforsikring NUF'!C73+KLP!C73+'DNB Bedriftspensjon'!C73+'KLP Skadeforsikring AS'!C73+'Landkreditt Forsikring'!C73+Insr!C73+'Nordea Liv '!C73+'Oslo Pensjonsforsikring'!C73+'Protector Forsikring'!C73+'SHB Liv'!C73+'Sparebank 1'!C73+'Storebrand Livsforsikring'!C73+'Telenor Forsikring'!C73+'Tryg Forsikring'!C73+'WaterCircles F'!C73+'Codan Forsikring'!C73+'Euro Accident'!C73</f>
        <v>0</v>
      </c>
      <c r="D73" s="27"/>
      <c r="E73" s="44">
        <f>'Fremtind Livsforsikring'!F73+'Danica Pensjonsforsikring'!F73+'DNB Livsforsikring'!F73+'Eika Forsikring AS'!F73+'Frende Livsforsikring'!F73+'Frende Skadeforsikring'!F73+'Gjensidige Forsikring'!F73+'Gjensidige Pensjon'!F73+'Handelsbanken Liv'!F73+'If Skadeforsikring NUF'!F73+KLP!F73+'DNB Bedriftspensjon'!F73+'KLP Skadeforsikring AS'!F73+'Landkreditt Forsikring'!F73+Insr!F73+'Nordea Liv '!F73+'Oslo Pensjonsforsikring'!F73+'Protector Forsikring'!F73+'SHB Liv'!F73+'Sparebank 1'!F73+'Storebrand Livsforsikring'!F73+'Telenor Forsikring'!F73+'Tryg Forsikring'!F73+'WaterCircles F'!F73+'Codan Forsikring'!F73+'Euro Accident'!F73</f>
        <v>1017</v>
      </c>
      <c r="F73" s="44">
        <f>'Fremtind Livsforsikring'!G73+'Danica Pensjonsforsikring'!G73+'DNB Livsforsikring'!G73+'Eika Forsikring AS'!G73+'Frende Livsforsikring'!G73+'Frende Skadeforsikring'!G73+'Gjensidige Forsikring'!G73+'Gjensidige Pensjon'!G73+'Handelsbanken Liv'!G73+'If Skadeforsikring NUF'!G73+KLP!G73+'DNB Bedriftspensjon'!G73+'KLP Skadeforsikring AS'!G73+'Landkreditt Forsikring'!G73+Insr!G73+'Nordea Liv '!G73+'Oslo Pensjonsforsikring'!G73+'Protector Forsikring'!G73+'SHB Liv'!G73+'Sparebank 1'!G73+'Storebrand Livsforsikring'!G73+'Telenor Forsikring'!G73+'Tryg Forsikring'!G73+'WaterCircles F'!G73+'Codan Forsikring'!G73+'Euro Accident'!G73</f>
        <v>8</v>
      </c>
      <c r="G73" s="165">
        <f t="shared" si="13"/>
        <v>-99.2</v>
      </c>
      <c r="H73" s="235">
        <f t="shared" si="10"/>
        <v>1017</v>
      </c>
      <c r="I73" s="235">
        <f t="shared" si="11"/>
        <v>8</v>
      </c>
      <c r="J73" s="23">
        <f t="shared" si="12"/>
        <v>-99.2</v>
      </c>
    </row>
    <row r="74" spans="1:10" s="3" customFormat="1" ht="15.75" customHeight="1" x14ac:dyDescent="0.25">
      <c r="A74" s="293" t="s">
        <v>13</v>
      </c>
      <c r="B74" s="233">
        <f>'Fremtind Livsforsikring'!B74+'Danica Pensjonsforsikring'!B74+'DNB Livsforsikring'!B74+'Eika Forsikring AS'!B74+'Frende Livsforsikring'!B74+'Frende Skadeforsikring'!B74+'Gjensidige Forsikring'!B74+'Gjensidige Pensjon'!B74+'Handelsbanken Liv'!B74+'If Skadeforsikring NUF'!B74+KLP!B74+'DNB Bedriftspensjon'!B74+'KLP Skadeforsikring AS'!B74+'Landkreditt Forsikring'!B74+Insr!B74+'Nordea Liv '!B74+'Oslo Pensjonsforsikring'!B74+'Protector Forsikring'!B74+'SHB Liv'!B74+'Sparebank 1'!B74+'Storebrand Livsforsikring'!B74+'Telenor Forsikring'!B74+'Tryg Forsikring'!B74+'WaterCircles F'!B74+'Codan Forsikring'!B74+'Euro Accident'!B74</f>
        <v>0</v>
      </c>
      <c r="C74" s="233">
        <f>'Fremtind Livsforsikring'!C74+'Danica Pensjonsforsikring'!C74+'DNB Livsforsikring'!C74+'Eika Forsikring AS'!C74+'Frende Livsforsikring'!C74+'Frende Skadeforsikring'!C74+'Gjensidige Forsikring'!C74+'Gjensidige Pensjon'!C74+'Handelsbanken Liv'!C74+'If Skadeforsikring NUF'!C74+KLP!C74+'DNB Bedriftspensjon'!C74+'KLP Skadeforsikring AS'!C74+'Landkreditt Forsikring'!C74+Insr!C74+'Nordea Liv '!C74+'Oslo Pensjonsforsikring'!C74+'Protector Forsikring'!C74+'SHB Liv'!C74+'Sparebank 1'!C74+'Storebrand Livsforsikring'!C74+'Telenor Forsikring'!C74+'Tryg Forsikring'!C74+'WaterCircles F'!C74+'Codan Forsikring'!C74+'Euro Accident'!C74</f>
        <v>0</v>
      </c>
      <c r="D74" s="27"/>
      <c r="E74" s="44">
        <f>'Fremtind Livsforsikring'!F74+'Danica Pensjonsforsikring'!F74+'DNB Livsforsikring'!F74+'Eika Forsikring AS'!F74+'Frende Livsforsikring'!F74+'Frende Skadeforsikring'!F74+'Gjensidige Forsikring'!F74+'Gjensidige Pensjon'!F74+'Handelsbanken Liv'!F74+'If Skadeforsikring NUF'!F74+KLP!F74+'DNB Bedriftspensjon'!F74+'KLP Skadeforsikring AS'!F74+'Landkreditt Forsikring'!F74+Insr!F74+'Nordea Liv '!F74+'Oslo Pensjonsforsikring'!F74+'Protector Forsikring'!F74+'SHB Liv'!F74+'Sparebank 1'!F74+'Storebrand Livsforsikring'!F74+'Telenor Forsikring'!F74+'Tryg Forsikring'!F74+'WaterCircles F'!F74+'Codan Forsikring'!F74+'Euro Accident'!F74</f>
        <v>33629648.564300001</v>
      </c>
      <c r="F74" s="44">
        <f>'Fremtind Livsforsikring'!G74+'Danica Pensjonsforsikring'!G74+'DNB Livsforsikring'!G74+'Eika Forsikring AS'!G74+'Frende Livsforsikring'!G74+'Frende Skadeforsikring'!G74+'Gjensidige Forsikring'!G74+'Gjensidige Pensjon'!G74+'Handelsbanken Liv'!G74+'If Skadeforsikring NUF'!G74+KLP!G74+'DNB Bedriftspensjon'!G74+'KLP Skadeforsikring AS'!G74+'Landkreditt Forsikring'!G74+Insr!G74+'Nordea Liv '!G74+'Oslo Pensjonsforsikring'!G74+'Protector Forsikring'!G74+'SHB Liv'!G74+'Sparebank 1'!G74+'Storebrand Livsforsikring'!G74+'Telenor Forsikring'!G74+'Tryg Forsikring'!G74+'WaterCircles F'!G74+'Codan Forsikring'!G74+'Euro Accident'!G74</f>
        <v>36660111.570779994</v>
      </c>
      <c r="G74" s="165">
        <f t="shared" si="13"/>
        <v>9</v>
      </c>
      <c r="H74" s="235">
        <f t="shared" si="10"/>
        <v>33629648.564300001</v>
      </c>
      <c r="I74" s="235">
        <f t="shared" si="11"/>
        <v>36660111.570779994</v>
      </c>
      <c r="J74" s="23">
        <f t="shared" si="12"/>
        <v>9</v>
      </c>
    </row>
    <row r="75" spans="1:10" s="3" customFormat="1" ht="15.75" customHeight="1" x14ac:dyDescent="0.25">
      <c r="A75" s="21" t="s">
        <v>348</v>
      </c>
      <c r="B75" s="44">
        <f>'Fremtind Livsforsikring'!B75+'Danica Pensjonsforsikring'!B75+'DNB Livsforsikring'!B75+'Eika Forsikring AS'!B75+'Frende Livsforsikring'!B75+'Frende Skadeforsikring'!B75+'Gjensidige Forsikring'!B75+'Gjensidige Pensjon'!B75+'Handelsbanken Liv'!B75+'If Skadeforsikring NUF'!B75+KLP!B75+'DNB Bedriftspensjon'!B75+'KLP Skadeforsikring AS'!B75+'Landkreditt Forsikring'!B75+Insr!B75+'Nordea Liv '!B75+'Oslo Pensjonsforsikring'!B75+'Protector Forsikring'!B75+'SHB Liv'!B75+'Sparebank 1'!B75+'Storebrand Livsforsikring'!B75+'Telenor Forsikring'!B75+'Tryg Forsikring'!B75+'WaterCircles F'!B75+'Codan Forsikring'!B75+'Euro Accident'!B75</f>
        <v>451485.31695000001</v>
      </c>
      <c r="C75" s="44">
        <f>'Fremtind Livsforsikring'!C75+'Danica Pensjonsforsikring'!C75+'DNB Livsforsikring'!C75+'Eika Forsikring AS'!C75+'Frende Livsforsikring'!C75+'Frende Skadeforsikring'!C75+'Gjensidige Forsikring'!C75+'Gjensidige Pensjon'!C75+'Handelsbanken Liv'!C75+'If Skadeforsikring NUF'!C75+KLP!C75+'DNB Bedriftspensjon'!C75+'KLP Skadeforsikring AS'!C75+'Landkreditt Forsikring'!C75+Insr!C75+'Nordea Liv '!C75+'Oslo Pensjonsforsikring'!C75+'Protector Forsikring'!C75+'SHB Liv'!C75+'Sparebank 1'!C75+'Storebrand Livsforsikring'!C75+'Telenor Forsikring'!C75+'Tryg Forsikring'!C75+'WaterCircles F'!C75+'Codan Forsikring'!C75+'Euro Accident'!C75</f>
        <v>532842.79666999995</v>
      </c>
      <c r="D75" s="23">
        <f>IF(B75=0, "    ---- ", IF(ABS(ROUND(100/B75*C75-100,1))&lt;999,ROUND(100/B75*C75-100,1),IF(ROUND(100/B75*C75-100,1)&gt;999,999,-999)))</f>
        <v>18</v>
      </c>
      <c r="E75" s="44">
        <f>'Fremtind Livsforsikring'!F75+'Danica Pensjonsforsikring'!F75+'DNB Livsforsikring'!F75+'Eika Forsikring AS'!F75+'Frende Livsforsikring'!F75+'Frende Skadeforsikring'!F75+'Gjensidige Forsikring'!F75+'Gjensidige Pensjon'!F75+'Handelsbanken Liv'!F75+'If Skadeforsikring NUF'!F75+KLP!F75+'DNB Bedriftspensjon'!F75+'KLP Skadeforsikring AS'!F75+'Landkreditt Forsikring'!F75+Insr!F75+'Nordea Liv '!F75+'Oslo Pensjonsforsikring'!F75+'Protector Forsikring'!F75+'SHB Liv'!F75+'Sparebank 1'!F75+'Storebrand Livsforsikring'!F75+'Telenor Forsikring'!F75+'Tryg Forsikring'!F75+'WaterCircles F'!F75+'Codan Forsikring'!F75+'Euro Accident'!F75</f>
        <v>1378986.4382699998</v>
      </c>
      <c r="F75" s="44">
        <f>'Fremtind Livsforsikring'!G75+'Danica Pensjonsforsikring'!G75+'DNB Livsforsikring'!G75+'Eika Forsikring AS'!G75+'Frende Livsforsikring'!G75+'Frende Skadeforsikring'!G75+'Gjensidige Forsikring'!G75+'Gjensidige Pensjon'!G75+'Handelsbanken Liv'!G75+'If Skadeforsikring NUF'!G75+KLP!G75+'DNB Bedriftspensjon'!G75+'KLP Skadeforsikring AS'!G75+'Landkreditt Forsikring'!G75+Insr!G75+'Nordea Liv '!G75+'Oslo Pensjonsforsikring'!G75+'Protector Forsikring'!G75+'SHB Liv'!G75+'Sparebank 1'!G75+'Storebrand Livsforsikring'!G75+'Telenor Forsikring'!G75+'Tryg Forsikring'!G75+'WaterCircles F'!G75+'Codan Forsikring'!G75+'Euro Accident'!G75</f>
        <v>1515993.95101</v>
      </c>
      <c r="G75" s="165">
        <f t="shared" si="13"/>
        <v>9.9</v>
      </c>
      <c r="H75" s="235">
        <f t="shared" si="10"/>
        <v>1830471.7552199997</v>
      </c>
      <c r="I75" s="235">
        <f t="shared" si="11"/>
        <v>2048836.74768</v>
      </c>
      <c r="J75" s="23">
        <f t="shared" si="12"/>
        <v>11.9</v>
      </c>
    </row>
    <row r="76" spans="1:10" s="3" customFormat="1" ht="15.75" customHeight="1" x14ac:dyDescent="0.25">
      <c r="A76" s="21" t="s">
        <v>347</v>
      </c>
      <c r="B76" s="44">
        <f>'Fremtind Livsforsikring'!B76+'Danica Pensjonsforsikring'!B76+'DNB Livsforsikring'!B76+'Eika Forsikring AS'!B76+'Frende Livsforsikring'!B76+'Frende Skadeforsikring'!B76+'Gjensidige Forsikring'!B76+'Gjensidige Pensjon'!B76+'Handelsbanken Liv'!B76+'If Skadeforsikring NUF'!B76+KLP!B76+'DNB Bedriftspensjon'!B76+'KLP Skadeforsikring AS'!B76+'Landkreditt Forsikring'!B76+Insr!B76+'Nordea Liv '!B76+'Oslo Pensjonsforsikring'!B76+'Protector Forsikring'!B76+'SHB Liv'!B76+'Sparebank 1'!B76+'Storebrand Livsforsikring'!B76+'Telenor Forsikring'!B76+'Tryg Forsikring'!B76+'WaterCircles F'!B76+'Codan Forsikring'!B76+'Euro Accident'!B76</f>
        <v>1713712.1450800002</v>
      </c>
      <c r="C76" s="44">
        <f>'Fremtind Livsforsikring'!C76+'Danica Pensjonsforsikring'!C76+'DNB Livsforsikring'!C76+'Eika Forsikring AS'!C76+'Frende Livsforsikring'!C76+'Frende Skadeforsikring'!C76+'Gjensidige Forsikring'!C76+'Gjensidige Pensjon'!C76+'Handelsbanken Liv'!C76+'If Skadeforsikring NUF'!C76+KLP!C76+'DNB Bedriftspensjon'!C76+'KLP Skadeforsikring AS'!C76+'Landkreditt Forsikring'!C76+Insr!C76+'Nordea Liv '!C76+'Oslo Pensjonsforsikring'!C76+'Protector Forsikring'!C76+'SHB Liv'!C76+'Sparebank 1'!C76+'Storebrand Livsforsikring'!C76+'Telenor Forsikring'!C76+'Tryg Forsikring'!C76+'WaterCircles F'!C76+'Codan Forsikring'!C76+'Euro Accident'!C76</f>
        <v>1847769.50189</v>
      </c>
      <c r="D76" s="23">
        <f>IF(B76=0, "    ---- ", IF(ABS(ROUND(100/B76*C76-100,1))&lt;999,ROUND(100/B76*C76-100,1),IF(ROUND(100/B76*C76-100,1)&gt;999,999,-999)))</f>
        <v>7.8</v>
      </c>
      <c r="E76" s="44">
        <f>'Fremtind Livsforsikring'!F76+'Danica Pensjonsforsikring'!F76+'DNB Livsforsikring'!F76+'Eika Forsikring AS'!F76+'Frende Livsforsikring'!F76+'Frende Skadeforsikring'!F76+'Gjensidige Forsikring'!F76+'Gjensidige Pensjon'!F76+'Handelsbanken Liv'!F76+'If Skadeforsikring NUF'!F76+KLP!F76+'DNB Bedriftspensjon'!F76+'KLP Skadeforsikring AS'!F76+'Landkreditt Forsikring'!F76+Insr!F76+'Nordea Liv '!F76+'Oslo Pensjonsforsikring'!F76+'Protector Forsikring'!F76+'SHB Liv'!F76+'Sparebank 1'!F76+'Storebrand Livsforsikring'!F76+'Telenor Forsikring'!F76+'Tryg Forsikring'!F76+'WaterCircles F'!F76+'Codan Forsikring'!F76+'Euro Accident'!F76</f>
        <v>0</v>
      </c>
      <c r="F76" s="44">
        <f>'Fremtind Livsforsikring'!G76+'Danica Pensjonsforsikring'!G76+'DNB Livsforsikring'!G76+'Eika Forsikring AS'!G76+'Frende Livsforsikring'!G76+'Frende Skadeforsikring'!G76+'Gjensidige Forsikring'!G76+'Gjensidige Pensjon'!G76+'Handelsbanken Liv'!G76+'If Skadeforsikring NUF'!G76+KLP!G76+'DNB Bedriftspensjon'!G76+'KLP Skadeforsikring AS'!G76+'Landkreditt Forsikring'!G76+Insr!G76+'Nordea Liv '!G76+'Oslo Pensjonsforsikring'!G76+'Protector Forsikring'!G76+'SHB Liv'!G76+'Sparebank 1'!G76+'Storebrand Livsforsikring'!G76+'Telenor Forsikring'!G76+'Tryg Forsikring'!G76+'WaterCircles F'!G76+'Codan Forsikring'!G76+'Euro Accident'!G76</f>
        <v>0</v>
      </c>
      <c r="G76" s="165"/>
      <c r="H76" s="235">
        <f>SUM(B76,E76)</f>
        <v>1713712.1450800002</v>
      </c>
      <c r="I76" s="235">
        <f>SUM(C76,F76)</f>
        <v>1847769.50189</v>
      </c>
      <c r="J76" s="23">
        <f>IF(H76=0, "    ---- ", IF(ABS(ROUND(100/H76*I76-100,1))&lt;999,ROUND(100/H76*I76-100,1),IF(ROUND(100/H76*I76-100,1)&gt;999,999,-999)))</f>
        <v>7.8</v>
      </c>
    </row>
    <row r="77" spans="1:10" ht="15.75" customHeight="1" x14ac:dyDescent="0.25">
      <c r="A77" s="21" t="s">
        <v>461</v>
      </c>
      <c r="B77" s="44">
        <f>'Fremtind Livsforsikring'!B77+'Danica Pensjonsforsikring'!B77+'DNB Livsforsikring'!B77+'Eika Forsikring AS'!B77+'Frende Livsforsikring'!B77+'Frende Skadeforsikring'!B77+'Gjensidige Forsikring'!B77+'Gjensidige Pensjon'!B77+'Handelsbanken Liv'!B77+'If Skadeforsikring NUF'!B77+KLP!B77+'DNB Bedriftspensjon'!B77+'KLP Skadeforsikring AS'!B77+'Landkreditt Forsikring'!B77+Insr!B77+'Nordea Liv '!B77+'Oslo Pensjonsforsikring'!B77+'Protector Forsikring'!B77+'SHB Liv'!B77+'Sparebank 1'!B77+'Storebrand Livsforsikring'!B77+'Telenor Forsikring'!B77+'Tryg Forsikring'!B77+'WaterCircles F'!B77+'Codan Forsikring'!B77+'Euro Accident'!B77</f>
        <v>5117962.7183299996</v>
      </c>
      <c r="C77" s="44">
        <f>'Fremtind Livsforsikring'!C77+'Danica Pensjonsforsikring'!C77+'DNB Livsforsikring'!C77+'Eika Forsikring AS'!C77+'Frende Livsforsikring'!C77+'Frende Skadeforsikring'!C77+'Gjensidige Forsikring'!C77+'Gjensidige Pensjon'!C77+'Handelsbanken Liv'!C77+'If Skadeforsikring NUF'!C77+KLP!C77+'DNB Bedriftspensjon'!C77+'KLP Skadeforsikring AS'!C77+'Landkreditt Forsikring'!C77+Insr!C77+'Nordea Liv '!C77+'Oslo Pensjonsforsikring'!C77+'Protector Forsikring'!C77+'SHB Liv'!C77+'Sparebank 1'!C77+'Storebrand Livsforsikring'!C77+'Telenor Forsikring'!C77+'Tryg Forsikring'!C77+'WaterCircles F'!C77+'Codan Forsikring'!C77+'Euro Accident'!C77</f>
        <v>5123961.1226000004</v>
      </c>
      <c r="D77" s="23">
        <f>IF(B77=0, "    ---- ", IF(ABS(ROUND(100/B77*C77-100,1))&lt;999,ROUND(100/B77*C77-100,1),IF(ROUND(100/B77*C77-100,1)&gt;999,999,-999)))</f>
        <v>0.1</v>
      </c>
      <c r="E77" s="44">
        <f>'Fremtind Livsforsikring'!F77+'Danica Pensjonsforsikring'!F77+'DNB Livsforsikring'!F77+'Eika Forsikring AS'!F77+'Frende Livsforsikring'!F77+'Frende Skadeforsikring'!F77+'Gjensidige Forsikring'!F77+'Gjensidige Pensjon'!F77+'Handelsbanken Liv'!F77+'If Skadeforsikring NUF'!F77+KLP!F77+'DNB Bedriftspensjon'!F77+'KLP Skadeforsikring AS'!F77+'Landkreditt Forsikring'!F77+Insr!F77+'Nordea Liv '!F77+'Oslo Pensjonsforsikring'!F77+'Protector Forsikring'!F77+'SHB Liv'!F77+'Sparebank 1'!F77+'Storebrand Livsforsikring'!F77+'Telenor Forsikring'!F77+'Tryg Forsikring'!F77+'WaterCircles F'!F77+'Codan Forsikring'!F77+'Euro Accident'!F77</f>
        <v>33618974.871239997</v>
      </c>
      <c r="F77" s="44">
        <f>'Fremtind Livsforsikring'!G77+'Danica Pensjonsforsikring'!G77+'DNB Livsforsikring'!G77+'Eika Forsikring AS'!G77+'Frende Livsforsikring'!G77+'Frende Skadeforsikring'!G77+'Gjensidige Forsikring'!G77+'Gjensidige Pensjon'!G77+'Handelsbanken Liv'!G77+'If Skadeforsikring NUF'!G77+KLP!G77+'DNB Bedriftspensjon'!G77+'KLP Skadeforsikring AS'!G77+'Landkreditt Forsikring'!G77+Insr!G77+'Nordea Liv '!G77+'Oslo Pensjonsforsikring'!G77+'Protector Forsikring'!G77+'SHB Liv'!G77+'Sparebank 1'!G77+'Storebrand Livsforsikring'!G77+'Telenor Forsikring'!G77+'Tryg Forsikring'!G77+'WaterCircles F'!G77+'Codan Forsikring'!G77+'Euro Accident'!G77</f>
        <v>36650206.860770002</v>
      </c>
      <c r="G77" s="165">
        <f t="shared" si="13"/>
        <v>9</v>
      </c>
      <c r="H77" s="235">
        <f t="shared" si="10"/>
        <v>38736937.589570001</v>
      </c>
      <c r="I77" s="235">
        <f t="shared" si="11"/>
        <v>41774167.983370006</v>
      </c>
      <c r="J77" s="23">
        <f t="shared" si="12"/>
        <v>7.8</v>
      </c>
    </row>
    <row r="78" spans="1:10" ht="15.75" customHeight="1" x14ac:dyDescent="0.25">
      <c r="A78" s="21" t="s">
        <v>9</v>
      </c>
      <c r="B78" s="44">
        <f>'Fremtind Livsforsikring'!B78+'Danica Pensjonsforsikring'!B78+'DNB Livsforsikring'!B78+'Eika Forsikring AS'!B78+'Frende Livsforsikring'!B78+'Frende Skadeforsikring'!B78+'Gjensidige Forsikring'!B78+'Gjensidige Pensjon'!B78+'Handelsbanken Liv'!B78+'If Skadeforsikring NUF'!B78+KLP!B78+'DNB Bedriftspensjon'!B78+'KLP Skadeforsikring AS'!B78+'Landkreditt Forsikring'!B78+Insr!B78+'Nordea Liv '!B78+'Oslo Pensjonsforsikring'!B78+'Protector Forsikring'!B78+'SHB Liv'!B78+'Sparebank 1'!B78+'Storebrand Livsforsikring'!B78+'Telenor Forsikring'!B78+'Tryg Forsikring'!B78+'WaterCircles F'!B78+'Codan Forsikring'!B78+'Euro Accident'!B78</f>
        <v>4997185.5249399999</v>
      </c>
      <c r="C78" s="44">
        <f>'Fremtind Livsforsikring'!C78+'Danica Pensjonsforsikring'!C78+'DNB Livsforsikring'!C78+'Eika Forsikring AS'!C78+'Frende Livsforsikring'!C78+'Frende Skadeforsikring'!C78+'Gjensidige Forsikring'!C78+'Gjensidige Pensjon'!C78+'Handelsbanken Liv'!C78+'If Skadeforsikring NUF'!C78+KLP!C78+'DNB Bedriftspensjon'!C78+'KLP Skadeforsikring AS'!C78+'Landkreditt Forsikring'!C78+Insr!C78+'Nordea Liv '!C78+'Oslo Pensjonsforsikring'!C78+'Protector Forsikring'!C78+'SHB Liv'!C78+'Sparebank 1'!C78+'Storebrand Livsforsikring'!C78+'Telenor Forsikring'!C78+'Tryg Forsikring'!C78+'WaterCircles F'!C78+'Codan Forsikring'!C78+'Euro Accident'!C78</f>
        <v>5080412.4541999996</v>
      </c>
      <c r="D78" s="23">
        <f>IF(B78=0, "    ---- ", IF(ABS(ROUND(100/B78*C78-100,1))&lt;999,ROUND(100/B78*C78-100,1),IF(ROUND(100/B78*C78-100,1)&gt;999,999,-999)))</f>
        <v>1.7</v>
      </c>
      <c r="E78" s="44">
        <f>'Fremtind Livsforsikring'!F78+'Danica Pensjonsforsikring'!F78+'DNB Livsforsikring'!F78+'Eika Forsikring AS'!F78+'Frende Livsforsikring'!F78+'Frende Skadeforsikring'!F78+'Gjensidige Forsikring'!F78+'Gjensidige Pensjon'!F78+'Handelsbanken Liv'!F78+'If Skadeforsikring NUF'!F78+KLP!F78+'DNB Bedriftspensjon'!F78+'KLP Skadeforsikring AS'!F78+'Landkreditt Forsikring'!F78+Insr!F78+'Nordea Liv '!F78+'Oslo Pensjonsforsikring'!F78+'Protector Forsikring'!F78+'SHB Liv'!F78+'Sparebank 1'!F78+'Storebrand Livsforsikring'!F78+'Telenor Forsikring'!F78+'Tryg Forsikring'!F78+'WaterCircles F'!F78+'Codan Forsikring'!F78+'Euro Accident'!F78</f>
        <v>0</v>
      </c>
      <c r="F78" s="44">
        <f>'Fremtind Livsforsikring'!G78+'Danica Pensjonsforsikring'!G78+'DNB Livsforsikring'!G78+'Eika Forsikring AS'!G78+'Frende Livsforsikring'!G78+'Frende Skadeforsikring'!G78+'Gjensidige Forsikring'!G78+'Gjensidige Pensjon'!G78+'Handelsbanken Liv'!G78+'If Skadeforsikring NUF'!G78+KLP!G78+'DNB Bedriftspensjon'!G78+'KLP Skadeforsikring AS'!G78+'Landkreditt Forsikring'!G78+Insr!G78+'Nordea Liv '!G78+'Oslo Pensjonsforsikring'!G78+'Protector Forsikring'!G78+'SHB Liv'!G78+'Sparebank 1'!G78+'Storebrand Livsforsikring'!G78+'Telenor Forsikring'!G78+'Tryg Forsikring'!G78+'WaterCircles F'!G78+'Codan Forsikring'!G78+'Euro Accident'!G78</f>
        <v>0</v>
      </c>
      <c r="G78" s="165"/>
      <c r="H78" s="235">
        <f t="shared" si="10"/>
        <v>4997185.5249399999</v>
      </c>
      <c r="I78" s="235">
        <f t="shared" si="11"/>
        <v>5080412.4541999996</v>
      </c>
      <c r="J78" s="23">
        <f t="shared" si="12"/>
        <v>1.7</v>
      </c>
    </row>
    <row r="79" spans="1:10" ht="15.75" customHeight="1" x14ac:dyDescent="0.25">
      <c r="A79" s="38" t="s">
        <v>495</v>
      </c>
      <c r="B79" s="44">
        <f>'Fremtind Livsforsikring'!B79+'Danica Pensjonsforsikring'!B79+'DNB Livsforsikring'!B79+'Eika Forsikring AS'!B79+'Frende Livsforsikring'!B79+'Frende Skadeforsikring'!B79+'Gjensidige Forsikring'!B79+'Gjensidige Pensjon'!B79+'Handelsbanken Liv'!B79+'If Skadeforsikring NUF'!B79+KLP!B79+'DNB Bedriftspensjon'!B79+'KLP Skadeforsikring AS'!B79+'Landkreditt Forsikring'!B79+Insr!B79+'Nordea Liv '!B79+'Oslo Pensjonsforsikring'!B79+'Protector Forsikring'!B79+'SHB Liv'!B79+'Sparebank 1'!B79+'Storebrand Livsforsikring'!B79+'Telenor Forsikring'!B79+'Tryg Forsikring'!B79+'WaterCircles F'!B79+'Codan Forsikring'!B79+'Euro Accident'!B79</f>
        <v>120777.19339</v>
      </c>
      <c r="C79" s="44">
        <f>'Fremtind Livsforsikring'!C79+'Danica Pensjonsforsikring'!C79+'DNB Livsforsikring'!C79+'Eika Forsikring AS'!C79+'Frende Livsforsikring'!C79+'Frende Skadeforsikring'!C79+'Gjensidige Forsikring'!C79+'Gjensidige Pensjon'!C79+'Handelsbanken Liv'!C79+'If Skadeforsikring NUF'!C79+KLP!C79+'DNB Bedriftspensjon'!C79+'KLP Skadeforsikring AS'!C79+'Landkreditt Forsikring'!C79+Insr!C79+'Nordea Liv '!C79+'Oslo Pensjonsforsikring'!C79+'Protector Forsikring'!C79+'SHB Liv'!C79+'Sparebank 1'!C79+'Storebrand Livsforsikring'!C79+'Telenor Forsikring'!C79+'Tryg Forsikring'!C79+'WaterCircles F'!C79+'Codan Forsikring'!C79+'Euro Accident'!C79</f>
        <v>43548.668400000002</v>
      </c>
      <c r="D79" s="23">
        <f>IF(B79=0, "    ---- ", IF(ABS(ROUND(100/B79*C79-100,1))&lt;999,ROUND(100/B79*C79-100,1),IF(ROUND(100/B79*C79-100,1)&gt;999,999,-999)))</f>
        <v>-63.9</v>
      </c>
      <c r="E79" s="44">
        <f>'Fremtind Livsforsikring'!F79+'Danica Pensjonsforsikring'!F79+'DNB Livsforsikring'!F79+'Eika Forsikring AS'!F79+'Frende Livsforsikring'!F79+'Frende Skadeforsikring'!F79+'Gjensidige Forsikring'!F79+'Gjensidige Pensjon'!F79+'Handelsbanken Liv'!F79+'If Skadeforsikring NUF'!F79+KLP!F79+'DNB Bedriftspensjon'!F79+'KLP Skadeforsikring AS'!F79+'Landkreditt Forsikring'!F79+Insr!F79+'Nordea Liv '!F79+'Oslo Pensjonsforsikring'!F79+'Protector Forsikring'!F79+'SHB Liv'!F79+'Sparebank 1'!F79+'Storebrand Livsforsikring'!F79+'Telenor Forsikring'!F79+'Tryg Forsikring'!F79+'WaterCircles F'!F79+'Codan Forsikring'!F79+'Euro Accident'!F79</f>
        <v>33618974.871239997</v>
      </c>
      <c r="F79" s="44">
        <f>'Fremtind Livsforsikring'!G79+'Danica Pensjonsforsikring'!G79+'DNB Livsforsikring'!G79+'Eika Forsikring AS'!G79+'Frende Livsforsikring'!G79+'Frende Skadeforsikring'!G79+'Gjensidige Forsikring'!G79+'Gjensidige Pensjon'!G79+'Handelsbanken Liv'!G79+'If Skadeforsikring NUF'!G79+KLP!G79+'DNB Bedriftspensjon'!G79+'KLP Skadeforsikring AS'!G79+'Landkreditt Forsikring'!G79+Insr!G79+'Nordea Liv '!G79+'Oslo Pensjonsforsikring'!G79+'Protector Forsikring'!G79+'SHB Liv'!G79+'Sparebank 1'!G79+'Storebrand Livsforsikring'!G79+'Telenor Forsikring'!G79+'Tryg Forsikring'!G79+'WaterCircles F'!G79+'Codan Forsikring'!G79+'Euro Accident'!G79</f>
        <v>36650206.860770002</v>
      </c>
      <c r="G79" s="165">
        <f t="shared" si="13"/>
        <v>9</v>
      </c>
      <c r="H79" s="235">
        <f t="shared" si="10"/>
        <v>33739752.064629994</v>
      </c>
      <c r="I79" s="235">
        <f t="shared" si="11"/>
        <v>36693755.529169999</v>
      </c>
      <c r="J79" s="23">
        <f t="shared" si="12"/>
        <v>8.8000000000000007</v>
      </c>
    </row>
    <row r="80" spans="1:10" ht="15.75" customHeight="1" x14ac:dyDescent="0.25">
      <c r="A80" s="293" t="s">
        <v>459</v>
      </c>
      <c r="B80" s="44">
        <f>'Fremtind Livsforsikring'!B80+'Danica Pensjonsforsikring'!B80+'DNB Livsforsikring'!B80+'Eika Forsikring AS'!B80+'Frende Livsforsikring'!B80+'Frende Skadeforsikring'!B80+'Gjensidige Forsikring'!B80+'Gjensidige Pensjon'!B80+'Handelsbanken Liv'!B80+'If Skadeforsikring NUF'!B80+KLP!B80+'DNB Bedriftspensjon'!B80+'KLP Skadeforsikring AS'!B80+'Landkreditt Forsikring'!B80+Insr!B80+'Nordea Liv '!B80+'Oslo Pensjonsforsikring'!B80+'Protector Forsikring'!B80+'SHB Liv'!B80+'Sparebank 1'!B80+'Storebrand Livsforsikring'!B80+'Telenor Forsikring'!B80+'Tryg Forsikring'!B80+'WaterCircles F'!B80+'Codan Forsikring'!B80+'Euro Accident'!B80</f>
        <v>0</v>
      </c>
      <c r="C80" s="44">
        <f>'Fremtind Livsforsikring'!C80+'Danica Pensjonsforsikring'!C80+'DNB Livsforsikring'!C80+'Eika Forsikring AS'!C80+'Frende Livsforsikring'!C80+'Frende Skadeforsikring'!C80+'Gjensidige Forsikring'!C80+'Gjensidige Pensjon'!C80+'Handelsbanken Liv'!C80+'If Skadeforsikring NUF'!C80+KLP!C80+'DNB Bedriftspensjon'!C80+'KLP Skadeforsikring AS'!C80+'Landkreditt Forsikring'!C80+Insr!C80+'Nordea Liv '!C80+'Oslo Pensjonsforsikring'!C80+'Protector Forsikring'!C80+'SHB Liv'!C80+'Sparebank 1'!C80+'Storebrand Livsforsikring'!C80+'Telenor Forsikring'!C80+'Tryg Forsikring'!C80+'WaterCircles F'!C80+'Codan Forsikring'!C80+'Euro Accident'!C80</f>
        <v>0</v>
      </c>
      <c r="D80" s="27"/>
      <c r="E80" s="44">
        <f>'Fremtind Livsforsikring'!F80+'Danica Pensjonsforsikring'!F80+'DNB Livsforsikring'!F80+'Eika Forsikring AS'!F80+'Frende Livsforsikring'!F80+'Frende Skadeforsikring'!F80+'Gjensidige Forsikring'!F80+'Gjensidige Pensjon'!F80+'Handelsbanken Liv'!F80+'If Skadeforsikring NUF'!F80+KLP!F80+'DNB Bedriftspensjon'!F80+'KLP Skadeforsikring AS'!F80+'Landkreditt Forsikring'!F80+Insr!F80+'Nordea Liv '!F80+'Oslo Pensjonsforsikring'!F80+'Protector Forsikring'!F80+'SHB Liv'!F80+'Sparebank 1'!F80+'Storebrand Livsforsikring'!F80+'Telenor Forsikring'!F80+'Tryg Forsikring'!F80+'WaterCircles F'!F80+'Codan Forsikring'!F80+'Euro Accident'!F80</f>
        <v>0</v>
      </c>
      <c r="F80" s="44">
        <f>'Fremtind Livsforsikring'!G80+'Danica Pensjonsforsikring'!G80+'DNB Livsforsikring'!G80+'Eika Forsikring AS'!G80+'Frende Livsforsikring'!G80+'Frende Skadeforsikring'!G80+'Gjensidige Forsikring'!G80+'Gjensidige Pensjon'!G80+'Handelsbanken Liv'!G80+'If Skadeforsikring NUF'!G80+KLP!G80+'DNB Bedriftspensjon'!G80+'KLP Skadeforsikring AS'!G80+'Landkreditt Forsikring'!G80+Insr!G80+'Nordea Liv '!G80+'Oslo Pensjonsforsikring'!G80+'Protector Forsikring'!G80+'SHB Liv'!G80+'Sparebank 1'!G80+'Storebrand Livsforsikring'!G80+'Telenor Forsikring'!G80+'Tryg Forsikring'!G80+'WaterCircles F'!G80+'Codan Forsikring'!G80+'Euro Accident'!G80</f>
        <v>0</v>
      </c>
      <c r="G80" s="165"/>
      <c r="H80" s="235">
        <f t="shared" si="10"/>
        <v>0</v>
      </c>
      <c r="I80" s="235">
        <f t="shared" si="11"/>
        <v>0</v>
      </c>
      <c r="J80" s="23"/>
    </row>
    <row r="81" spans="1:13" ht="15.75" customHeight="1" x14ac:dyDescent="0.25">
      <c r="A81" s="293" t="s">
        <v>12</v>
      </c>
      <c r="B81" s="233">
        <f>'Fremtind Livsforsikring'!B81+'Danica Pensjonsforsikring'!B81+'DNB Livsforsikring'!B81+'Eika Forsikring AS'!B81+'Frende Livsforsikring'!B81+'Frende Skadeforsikring'!B81+'Gjensidige Forsikring'!B81+'Gjensidige Pensjon'!B81+'Handelsbanken Liv'!B81+'If Skadeforsikring NUF'!B81+KLP!B81+'DNB Bedriftspensjon'!B81+'KLP Skadeforsikring AS'!B81+'Landkreditt Forsikring'!B81+Insr!B81+'Nordea Liv '!B81+'Oslo Pensjonsforsikring'!B81+'Protector Forsikring'!B81+'SHB Liv'!B81+'Sparebank 1'!B81+'Storebrand Livsforsikring'!B81+'Telenor Forsikring'!B81+'Tryg Forsikring'!B81+'WaterCircles F'!B81+'Codan Forsikring'!B81+'Euro Accident'!B81</f>
        <v>0</v>
      </c>
      <c r="C81" s="233">
        <f>'Fremtind Livsforsikring'!C81+'Danica Pensjonsforsikring'!C81+'DNB Livsforsikring'!C81+'Eika Forsikring AS'!C81+'Frende Livsforsikring'!C81+'Frende Skadeforsikring'!C81+'Gjensidige Forsikring'!C81+'Gjensidige Pensjon'!C81+'Handelsbanken Liv'!C81+'If Skadeforsikring NUF'!C81+KLP!C81+'DNB Bedriftspensjon'!C81+'KLP Skadeforsikring AS'!C81+'Landkreditt Forsikring'!C81+Insr!C81+'Nordea Liv '!C81+'Oslo Pensjonsforsikring'!C81+'Protector Forsikring'!C81+'SHB Liv'!C81+'Sparebank 1'!C81+'Storebrand Livsforsikring'!C81+'Telenor Forsikring'!C81+'Tryg Forsikring'!C81+'WaterCircles F'!C81+'Codan Forsikring'!C81+'Euro Accident'!C81</f>
        <v>0</v>
      </c>
      <c r="D81" s="27"/>
      <c r="E81" s="44">
        <f>'Fremtind Livsforsikring'!F81+'Danica Pensjonsforsikring'!F81+'DNB Livsforsikring'!F81+'Eika Forsikring AS'!F81+'Frende Livsforsikring'!F81+'Frende Skadeforsikring'!F81+'Gjensidige Forsikring'!F81+'Gjensidige Pensjon'!F81+'Handelsbanken Liv'!F81+'If Skadeforsikring NUF'!F81+KLP!F81+'DNB Bedriftspensjon'!F81+'KLP Skadeforsikring AS'!F81+'Landkreditt Forsikring'!F81+Insr!F81+'Nordea Liv '!F81+'Oslo Pensjonsforsikring'!F81+'Protector Forsikring'!F81+'SHB Liv'!F81+'Sparebank 1'!F81+'Storebrand Livsforsikring'!F81+'Telenor Forsikring'!F81+'Tryg Forsikring'!F81+'WaterCircles F'!F81+'Codan Forsikring'!F81+'Euro Accident'!F81</f>
        <v>0</v>
      </c>
      <c r="F81" s="44">
        <f>'Fremtind Livsforsikring'!G81+'Danica Pensjonsforsikring'!G81+'DNB Livsforsikring'!G81+'Eika Forsikring AS'!G81+'Frende Livsforsikring'!G81+'Frende Skadeforsikring'!G81+'Gjensidige Forsikring'!G81+'Gjensidige Pensjon'!G81+'Handelsbanken Liv'!G81+'If Skadeforsikring NUF'!G81+KLP!G81+'DNB Bedriftspensjon'!G81+'KLP Skadeforsikring AS'!G81+'Landkreditt Forsikring'!G81+Insr!G81+'Nordea Liv '!G81+'Oslo Pensjonsforsikring'!G81+'Protector Forsikring'!G81+'SHB Liv'!G81+'Sparebank 1'!G81+'Storebrand Livsforsikring'!G81+'Telenor Forsikring'!G81+'Tryg Forsikring'!G81+'WaterCircles F'!G81+'Codan Forsikring'!G81+'Euro Accident'!G81</f>
        <v>0</v>
      </c>
      <c r="G81" s="165"/>
      <c r="H81" s="235">
        <f t="shared" si="10"/>
        <v>0</v>
      </c>
      <c r="I81" s="235">
        <f t="shared" si="11"/>
        <v>0</v>
      </c>
      <c r="J81" s="23"/>
    </row>
    <row r="82" spans="1:13" ht="15.75" customHeight="1" x14ac:dyDescent="0.25">
      <c r="A82" s="293" t="s">
        <v>13</v>
      </c>
      <c r="B82" s="233">
        <f>'Fremtind Livsforsikring'!B82+'Danica Pensjonsforsikring'!B82+'DNB Livsforsikring'!B82+'Eika Forsikring AS'!B82+'Frende Livsforsikring'!B82+'Frende Skadeforsikring'!B82+'Gjensidige Forsikring'!B82+'Gjensidige Pensjon'!B82+'Handelsbanken Liv'!B82+'If Skadeforsikring NUF'!B82+KLP!B82+'DNB Bedriftspensjon'!B82+'KLP Skadeforsikring AS'!B82+'Landkreditt Forsikring'!B82+Insr!B82+'Nordea Liv '!B82+'Oslo Pensjonsforsikring'!B82+'Protector Forsikring'!B82+'SHB Liv'!B82+'Sparebank 1'!B82+'Storebrand Livsforsikring'!B82+'Telenor Forsikring'!B82+'Tryg Forsikring'!B82+'WaterCircles F'!B82+'Codan Forsikring'!B82+'Euro Accident'!B82</f>
        <v>0</v>
      </c>
      <c r="C82" s="233">
        <f>'Fremtind Livsforsikring'!C82+'Danica Pensjonsforsikring'!C82+'DNB Livsforsikring'!C82+'Eika Forsikring AS'!C82+'Frende Livsforsikring'!C82+'Frende Skadeforsikring'!C82+'Gjensidige Forsikring'!C82+'Gjensidige Pensjon'!C82+'Handelsbanken Liv'!C82+'If Skadeforsikring NUF'!C82+KLP!C82+'DNB Bedriftspensjon'!C82+'KLP Skadeforsikring AS'!C82+'Landkreditt Forsikring'!C82+Insr!C82+'Nordea Liv '!C82+'Oslo Pensjonsforsikring'!C82+'Protector Forsikring'!C82+'SHB Liv'!C82+'Sparebank 1'!C82+'Storebrand Livsforsikring'!C82+'Telenor Forsikring'!C82+'Tryg Forsikring'!C82+'WaterCircles F'!C82+'Codan Forsikring'!C82+'Euro Accident'!C82</f>
        <v>0</v>
      </c>
      <c r="D82" s="27"/>
      <c r="E82" s="44">
        <f>'Fremtind Livsforsikring'!F82+'Danica Pensjonsforsikring'!F82+'DNB Livsforsikring'!F82+'Eika Forsikring AS'!F82+'Frende Livsforsikring'!F82+'Frende Skadeforsikring'!F82+'Gjensidige Forsikring'!F82+'Gjensidige Pensjon'!F82+'Handelsbanken Liv'!F82+'If Skadeforsikring NUF'!F82+KLP!F82+'DNB Bedriftspensjon'!F82+'KLP Skadeforsikring AS'!F82+'Landkreditt Forsikring'!F82+Insr!F82+'Nordea Liv '!F82+'Oslo Pensjonsforsikring'!F82+'Protector Forsikring'!F82+'SHB Liv'!F82+'Sparebank 1'!F82+'Storebrand Livsforsikring'!F82+'Telenor Forsikring'!F82+'Tryg Forsikring'!F82+'WaterCircles F'!F82+'Codan Forsikring'!F82+'Euro Accident'!F82</f>
        <v>0</v>
      </c>
      <c r="F82" s="44">
        <f>'Fremtind Livsforsikring'!G82+'Danica Pensjonsforsikring'!G82+'DNB Livsforsikring'!G82+'Eika Forsikring AS'!G82+'Frende Livsforsikring'!G82+'Frende Skadeforsikring'!G82+'Gjensidige Forsikring'!G82+'Gjensidige Pensjon'!G82+'Handelsbanken Liv'!G82+'If Skadeforsikring NUF'!G82+KLP!G82+'DNB Bedriftspensjon'!G82+'KLP Skadeforsikring AS'!G82+'Landkreditt Forsikring'!G82+Insr!G82+'Nordea Liv '!G82+'Oslo Pensjonsforsikring'!G82+'Protector Forsikring'!G82+'SHB Liv'!G82+'Sparebank 1'!G82+'Storebrand Livsforsikring'!G82+'Telenor Forsikring'!G82+'Tryg Forsikring'!G82+'WaterCircles F'!G82+'Codan Forsikring'!G82+'Euro Accident'!G82</f>
        <v>0</v>
      </c>
      <c r="G82" s="165"/>
      <c r="H82" s="235">
        <f t="shared" si="10"/>
        <v>0</v>
      </c>
      <c r="I82" s="235">
        <f t="shared" si="11"/>
        <v>0</v>
      </c>
      <c r="J82" s="23"/>
    </row>
    <row r="83" spans="1:13" ht="15.75" customHeight="1" x14ac:dyDescent="0.25">
      <c r="A83" s="293" t="s">
        <v>460</v>
      </c>
      <c r="B83" s="44">
        <f>'Fremtind Livsforsikring'!B83+'Danica Pensjonsforsikring'!B83+'DNB Livsforsikring'!B83+'Eika Forsikring AS'!B83+'Frende Livsforsikring'!B83+'Frende Skadeforsikring'!B83+'Gjensidige Forsikring'!B83+'Gjensidige Pensjon'!B83+'Handelsbanken Liv'!B83+'If Skadeforsikring NUF'!B83+KLP!B83+'DNB Bedriftspensjon'!B83+'KLP Skadeforsikring AS'!B83+'Landkreditt Forsikring'!B83+Insr!B83+'Nordea Liv '!B83+'Oslo Pensjonsforsikring'!B83+'Protector Forsikring'!B83+'SHB Liv'!B83+'Sparebank 1'!B83+'Storebrand Livsforsikring'!B83+'Telenor Forsikring'!B83+'Tryg Forsikring'!B83+'WaterCircles F'!B83+'Codan Forsikring'!B83+'Euro Accident'!B83</f>
        <v>120777.19339</v>
      </c>
      <c r="C83" s="44">
        <f>'Fremtind Livsforsikring'!C83+'Danica Pensjonsforsikring'!C83+'DNB Livsforsikring'!C83+'Eika Forsikring AS'!C83+'Frende Livsforsikring'!C83+'Frende Skadeforsikring'!C83+'Gjensidige Forsikring'!C83+'Gjensidige Pensjon'!C83+'Handelsbanken Liv'!C83+'If Skadeforsikring NUF'!C83+KLP!C83+'DNB Bedriftspensjon'!C83+'KLP Skadeforsikring AS'!C83+'Landkreditt Forsikring'!C83+Insr!C83+'Nordea Liv '!C83+'Oslo Pensjonsforsikring'!C83+'Protector Forsikring'!C83+'SHB Liv'!C83+'Sparebank 1'!C83+'Storebrand Livsforsikring'!C83+'Telenor Forsikring'!C83+'Tryg Forsikring'!C83+'WaterCircles F'!C83+'Codan Forsikring'!C83+'Euro Accident'!C83</f>
        <v>43548.668400000002</v>
      </c>
      <c r="D83" s="27">
        <f t="shared" ref="D83" si="15">IF($A$1=4,IF(B83=0, "    ---- ", IF(ABS(ROUND(100/B83*C83-100,1))&lt;999,ROUND(100/B83*C83-100,1),IF(ROUND(100/B83*C83-100,1)&gt;999,999,-999))),"")</f>
        <v>-63.9</v>
      </c>
      <c r="E83" s="44">
        <f>'Fremtind Livsforsikring'!F83+'Danica Pensjonsforsikring'!F83+'DNB Livsforsikring'!F83+'Eika Forsikring AS'!F83+'Frende Livsforsikring'!F83+'Frende Skadeforsikring'!F83+'Gjensidige Forsikring'!F83+'Gjensidige Pensjon'!F83+'Handelsbanken Liv'!F83+'If Skadeforsikring NUF'!F83+KLP!F83+'DNB Bedriftspensjon'!F83+'KLP Skadeforsikring AS'!F83+'Landkreditt Forsikring'!F83+Insr!F83+'Nordea Liv '!F83+'Oslo Pensjonsforsikring'!F83+'Protector Forsikring'!F83+'SHB Liv'!F83+'Sparebank 1'!F83+'Storebrand Livsforsikring'!F83+'Telenor Forsikring'!F83+'Tryg Forsikring'!F83+'WaterCircles F'!F83+'Codan Forsikring'!F83+'Euro Accident'!F83</f>
        <v>33618974.871239997</v>
      </c>
      <c r="F83" s="44">
        <f>'Fremtind Livsforsikring'!G83+'Danica Pensjonsforsikring'!G83+'DNB Livsforsikring'!G83+'Eika Forsikring AS'!G83+'Frende Livsforsikring'!G83+'Frende Skadeforsikring'!G83+'Gjensidige Forsikring'!G83+'Gjensidige Pensjon'!G83+'Handelsbanken Liv'!G83+'If Skadeforsikring NUF'!G83+KLP!G83+'DNB Bedriftspensjon'!G83+'KLP Skadeforsikring AS'!G83+'Landkreditt Forsikring'!G83+Insr!G83+'Nordea Liv '!G83+'Oslo Pensjonsforsikring'!G83+'Protector Forsikring'!G83+'SHB Liv'!G83+'Sparebank 1'!G83+'Storebrand Livsforsikring'!G83+'Telenor Forsikring'!G83+'Tryg Forsikring'!G83+'WaterCircles F'!G83+'Codan Forsikring'!G83+'Euro Accident'!G83</f>
        <v>36650206.860770002</v>
      </c>
      <c r="G83" s="165">
        <f t="shared" si="13"/>
        <v>9</v>
      </c>
      <c r="H83" s="235">
        <f t="shared" si="10"/>
        <v>33739752.064629994</v>
      </c>
      <c r="I83" s="235">
        <f t="shared" si="11"/>
        <v>36693755.529169999</v>
      </c>
      <c r="J83" s="24">
        <f t="shared" si="12"/>
        <v>8.8000000000000007</v>
      </c>
    </row>
    <row r="84" spans="1:13" ht="15.75" customHeight="1" x14ac:dyDescent="0.25">
      <c r="A84" s="293" t="s">
        <v>12</v>
      </c>
      <c r="B84" s="233">
        <f>'Fremtind Livsforsikring'!B84+'Danica Pensjonsforsikring'!B84+'DNB Livsforsikring'!B84+'Eika Forsikring AS'!B84+'Frende Livsforsikring'!B84+'Frende Skadeforsikring'!B84+'Gjensidige Forsikring'!B84+'Gjensidige Pensjon'!B84+'Handelsbanken Liv'!B84+'If Skadeforsikring NUF'!B84+KLP!B84+'DNB Bedriftspensjon'!B84+'KLP Skadeforsikring AS'!B84+'Landkreditt Forsikring'!B84+Insr!B84+'Nordea Liv '!B84+'Oslo Pensjonsforsikring'!B84+'Protector Forsikring'!B84+'SHB Liv'!B84+'Sparebank 1'!B84+'Storebrand Livsforsikring'!B84+'Telenor Forsikring'!B84+'Tryg Forsikring'!B84+'WaterCircles F'!B84+'Codan Forsikring'!B84+'Euro Accident'!B84</f>
        <v>0</v>
      </c>
      <c r="C84" s="233">
        <f>'Fremtind Livsforsikring'!C84+'Danica Pensjonsforsikring'!C84+'DNB Livsforsikring'!C84+'Eika Forsikring AS'!C84+'Frende Livsforsikring'!C84+'Frende Skadeforsikring'!C84+'Gjensidige Forsikring'!C84+'Gjensidige Pensjon'!C84+'Handelsbanken Liv'!C84+'If Skadeforsikring NUF'!C84+KLP!C84+'DNB Bedriftspensjon'!C84+'KLP Skadeforsikring AS'!C84+'Landkreditt Forsikring'!C84+Insr!C84+'Nordea Liv '!C84+'Oslo Pensjonsforsikring'!C84+'Protector Forsikring'!C84+'SHB Liv'!C84+'Sparebank 1'!C84+'Storebrand Livsforsikring'!C84+'Telenor Forsikring'!C84+'Tryg Forsikring'!C84+'WaterCircles F'!C84+'Codan Forsikring'!C84+'Euro Accident'!C84</f>
        <v>0</v>
      </c>
      <c r="D84" s="27"/>
      <c r="E84" s="44">
        <f>'Fremtind Livsforsikring'!F84+'Danica Pensjonsforsikring'!F84+'DNB Livsforsikring'!F84+'Eika Forsikring AS'!F84+'Frende Livsforsikring'!F84+'Frende Skadeforsikring'!F84+'Gjensidige Forsikring'!F84+'Gjensidige Pensjon'!F84+'Handelsbanken Liv'!F84+'If Skadeforsikring NUF'!F84+KLP!F84+'DNB Bedriftspensjon'!F84+'KLP Skadeforsikring AS'!F84+'Landkreditt Forsikring'!F84+Insr!F84+'Nordea Liv '!F84+'Oslo Pensjonsforsikring'!F84+'Protector Forsikring'!F84+'SHB Liv'!F84+'Sparebank 1'!F84+'Storebrand Livsforsikring'!F84+'Telenor Forsikring'!F84+'Tryg Forsikring'!F84+'WaterCircles F'!F84+'Codan Forsikring'!F84+'Euro Accident'!F84</f>
        <v>1017</v>
      </c>
      <c r="F84" s="44">
        <f>'Fremtind Livsforsikring'!G84+'Danica Pensjonsforsikring'!G84+'DNB Livsforsikring'!G84+'Eika Forsikring AS'!G84+'Frende Livsforsikring'!G84+'Frende Skadeforsikring'!G84+'Gjensidige Forsikring'!G84+'Gjensidige Pensjon'!G84+'Handelsbanken Liv'!G84+'If Skadeforsikring NUF'!G84+KLP!G84+'DNB Bedriftspensjon'!G84+'KLP Skadeforsikring AS'!G84+'Landkreditt Forsikring'!G84+Insr!G84+'Nordea Liv '!G84+'Oslo Pensjonsforsikring'!G84+'Protector Forsikring'!G84+'SHB Liv'!G84+'Sparebank 1'!G84+'Storebrand Livsforsikring'!G84+'Telenor Forsikring'!G84+'Tryg Forsikring'!G84+'WaterCircles F'!G84+'Codan Forsikring'!G84+'Euro Accident'!G84</f>
        <v>8</v>
      </c>
      <c r="G84" s="165">
        <f t="shared" si="13"/>
        <v>-99.2</v>
      </c>
      <c r="H84" s="235">
        <f t="shared" si="10"/>
        <v>1017</v>
      </c>
      <c r="I84" s="235">
        <f t="shared" si="11"/>
        <v>8</v>
      </c>
      <c r="J84" s="23">
        <f t="shared" si="12"/>
        <v>-99.2</v>
      </c>
    </row>
    <row r="85" spans="1:13" ht="15.75" customHeight="1" x14ac:dyDescent="0.25">
      <c r="A85" s="293" t="s">
        <v>13</v>
      </c>
      <c r="B85" s="233">
        <f>'Fremtind Livsforsikring'!B85+'Danica Pensjonsforsikring'!B85+'DNB Livsforsikring'!B85+'Eika Forsikring AS'!B85+'Frende Livsforsikring'!B85+'Frende Skadeforsikring'!B85+'Gjensidige Forsikring'!B85+'Gjensidige Pensjon'!B85+'Handelsbanken Liv'!B85+'If Skadeforsikring NUF'!B85+KLP!B85+'DNB Bedriftspensjon'!B85+'KLP Skadeforsikring AS'!B85+'Landkreditt Forsikring'!B85+Insr!B85+'Nordea Liv '!B85+'Oslo Pensjonsforsikring'!B85+'Protector Forsikring'!B85+'SHB Liv'!B85+'Sparebank 1'!B85+'Storebrand Livsforsikring'!B85+'Telenor Forsikring'!B85+'Tryg Forsikring'!B85+'WaterCircles F'!B85+'Codan Forsikring'!B85+'Euro Accident'!B85</f>
        <v>0</v>
      </c>
      <c r="C85" s="233">
        <f>'Fremtind Livsforsikring'!C85+'Danica Pensjonsforsikring'!C85+'DNB Livsforsikring'!C85+'Eika Forsikring AS'!C85+'Frende Livsforsikring'!C85+'Frende Skadeforsikring'!C85+'Gjensidige Forsikring'!C85+'Gjensidige Pensjon'!C85+'Handelsbanken Liv'!C85+'If Skadeforsikring NUF'!C85+KLP!C85+'DNB Bedriftspensjon'!C85+'KLP Skadeforsikring AS'!C85+'Landkreditt Forsikring'!C85+Insr!C85+'Nordea Liv '!C85+'Oslo Pensjonsforsikring'!C85+'Protector Forsikring'!C85+'SHB Liv'!C85+'Sparebank 1'!C85+'Storebrand Livsforsikring'!C85+'Telenor Forsikring'!C85+'Tryg Forsikring'!C85+'WaterCircles F'!C85+'Codan Forsikring'!C85+'Euro Accident'!C85</f>
        <v>0</v>
      </c>
      <c r="D85" s="27"/>
      <c r="E85" s="44">
        <f>'Fremtind Livsforsikring'!F85+'Danica Pensjonsforsikring'!F85+'DNB Livsforsikring'!F85+'Eika Forsikring AS'!F85+'Frende Livsforsikring'!F85+'Frende Skadeforsikring'!F85+'Gjensidige Forsikring'!F85+'Gjensidige Pensjon'!F85+'Handelsbanken Liv'!F85+'If Skadeforsikring NUF'!F85+KLP!F85+'DNB Bedriftspensjon'!F85+'KLP Skadeforsikring AS'!F85+'Landkreditt Forsikring'!F85+Insr!F85+'Nordea Liv '!F85+'Oslo Pensjonsforsikring'!F85+'Protector Forsikring'!F85+'SHB Liv'!F85+'Sparebank 1'!F85+'Storebrand Livsforsikring'!F85+'Telenor Forsikring'!F85+'Tryg Forsikring'!F85+'WaterCircles F'!F85+'Codan Forsikring'!F85+'Euro Accident'!F85</f>
        <v>33617957.871239997</v>
      </c>
      <c r="F85" s="44">
        <f>'Fremtind Livsforsikring'!G85+'Danica Pensjonsforsikring'!G85+'DNB Livsforsikring'!G85+'Eika Forsikring AS'!G85+'Frende Livsforsikring'!G85+'Frende Skadeforsikring'!G85+'Gjensidige Forsikring'!G85+'Gjensidige Pensjon'!G85+'Handelsbanken Liv'!G85+'If Skadeforsikring NUF'!G85+KLP!G85+'DNB Bedriftspensjon'!G85+'KLP Skadeforsikring AS'!G85+'Landkreditt Forsikring'!G85+Insr!G85+'Nordea Liv '!G85+'Oslo Pensjonsforsikring'!G85+'Protector Forsikring'!G85+'SHB Liv'!G85+'Sparebank 1'!G85+'Storebrand Livsforsikring'!G85+'Telenor Forsikring'!G85+'Tryg Forsikring'!G85+'WaterCircles F'!G85+'Codan Forsikring'!G85+'Euro Accident'!G85</f>
        <v>36650198.860770002</v>
      </c>
      <c r="G85" s="165">
        <f t="shared" si="13"/>
        <v>9</v>
      </c>
      <c r="H85" s="235">
        <f t="shared" si="10"/>
        <v>33617957.871239997</v>
      </c>
      <c r="I85" s="235">
        <f t="shared" si="11"/>
        <v>36650198.860770002</v>
      </c>
      <c r="J85" s="23">
        <f t="shared" si="12"/>
        <v>9</v>
      </c>
    </row>
    <row r="86" spans="1:13" ht="15.75" customHeight="1" x14ac:dyDescent="0.25">
      <c r="A86" s="21" t="s">
        <v>462</v>
      </c>
      <c r="B86" s="232">
        <f>'Fremtind Livsforsikring'!B86+'Danica Pensjonsforsikring'!B86+'DNB Livsforsikring'!B86+'Eika Forsikring AS'!B86+'Frende Livsforsikring'!B86+'Frende Skadeforsikring'!B86+'Gjensidige Forsikring'!B86+'Gjensidige Pensjon'!B86+'Handelsbanken Liv'!B86+'If Skadeforsikring NUF'!B86+KLP!B86+'DNB Bedriftspensjon'!B86+'KLP Skadeforsikring AS'!B86+'Landkreditt Forsikring'!B86+Insr!B86+'Nordea Liv '!B86+'Oslo Pensjonsforsikring'!B86+'Protector Forsikring'!B86+'SHB Liv'!B86+'Sparebank 1'!B86+'Storebrand Livsforsikring'!B86+'Telenor Forsikring'!B86+'Tryg Forsikring'!B86+'WaterCircles F'!B86+'Codan Forsikring'!B86+'Euro Accident'!B86</f>
        <v>143835.038</v>
      </c>
      <c r="C86" s="232">
        <f>'Fremtind Livsforsikring'!C86+'Danica Pensjonsforsikring'!C86+'DNB Livsforsikring'!C86+'Eika Forsikring AS'!C86+'Frende Livsforsikring'!C86+'Frende Skadeforsikring'!C86+'Gjensidige Forsikring'!C86+'Gjensidige Pensjon'!C86+'Handelsbanken Liv'!C86+'If Skadeforsikring NUF'!C86+KLP!C86+'DNB Bedriftspensjon'!C86+'KLP Skadeforsikring AS'!C86+'Landkreditt Forsikring'!C86+Insr!C86+'Nordea Liv '!C86+'Oslo Pensjonsforsikring'!C86+'Protector Forsikring'!C86+'SHB Liv'!C86+'Sparebank 1'!C86+'Storebrand Livsforsikring'!C86+'Telenor Forsikring'!C86+'Tryg Forsikring'!C86+'WaterCircles F'!C86+'Codan Forsikring'!C86+'Euro Accident'!C86</f>
        <v>96647.686000000016</v>
      </c>
      <c r="D86" s="23">
        <f>IF(B86=0, "    ---- ", IF(ABS(ROUND(100/B86*C86-100,1))&lt;999,ROUND(100/B86*C86-100,1),IF(ROUND(100/B86*C86-100,1)&gt;999,999,-999)))</f>
        <v>-32.799999999999997</v>
      </c>
      <c r="E86" s="44">
        <f>'Fremtind Livsforsikring'!F86+'Danica Pensjonsforsikring'!F86+'DNB Livsforsikring'!F86+'Eika Forsikring AS'!F86+'Frende Livsforsikring'!F86+'Frende Skadeforsikring'!F86+'Gjensidige Forsikring'!F86+'Gjensidige Pensjon'!F86+'Handelsbanken Liv'!F86+'If Skadeforsikring NUF'!F86+KLP!F86+'DNB Bedriftspensjon'!F86+'KLP Skadeforsikring AS'!F86+'Landkreditt Forsikring'!F86+Insr!F86+'Nordea Liv '!F86+'Oslo Pensjonsforsikring'!F86+'Protector Forsikring'!F86+'SHB Liv'!F86+'Sparebank 1'!F86+'Storebrand Livsforsikring'!F86+'Telenor Forsikring'!F86+'Tryg Forsikring'!F86+'WaterCircles F'!F86+'Codan Forsikring'!F86+'Euro Accident'!F86</f>
        <v>14186.69306</v>
      </c>
      <c r="F86" s="44">
        <f>'Fremtind Livsforsikring'!G86+'Danica Pensjonsforsikring'!G86+'DNB Livsforsikring'!G86+'Eika Forsikring AS'!G86+'Frende Livsforsikring'!G86+'Frende Skadeforsikring'!G86+'Gjensidige Forsikring'!G86+'Gjensidige Pensjon'!G86+'Handelsbanken Liv'!G86+'If Skadeforsikring NUF'!G86+KLP!G86+'DNB Bedriftspensjon'!G86+'KLP Skadeforsikring AS'!G86+'Landkreditt Forsikring'!G86+Insr!G86+'Nordea Liv '!G86+'Oslo Pensjonsforsikring'!G86+'Protector Forsikring'!G86+'SHB Liv'!G86+'Sparebank 1'!G86+'Storebrand Livsforsikring'!G86+'Telenor Forsikring'!G86+'Tryg Forsikring'!G86+'WaterCircles F'!G86+'Codan Forsikring'!G86+'Euro Accident'!G86</f>
        <v>12057.710010000001</v>
      </c>
      <c r="G86" s="165">
        <f t="shared" si="13"/>
        <v>-15</v>
      </c>
      <c r="H86" s="235">
        <f t="shared" si="10"/>
        <v>158021.73105999999</v>
      </c>
      <c r="I86" s="235">
        <f t="shared" si="11"/>
        <v>108705.39601000001</v>
      </c>
      <c r="J86" s="23">
        <f t="shared" si="12"/>
        <v>-31.2</v>
      </c>
    </row>
    <row r="87" spans="1:13" s="43" customFormat="1" ht="15.75" customHeight="1" x14ac:dyDescent="0.25">
      <c r="A87" s="13" t="s">
        <v>444</v>
      </c>
      <c r="B87" s="305">
        <f>'Fremtind Livsforsikring'!B87+'Danica Pensjonsforsikring'!B87+'DNB Livsforsikring'!B87+'Eika Forsikring AS'!B87+'Frende Livsforsikring'!B87+'Frende Skadeforsikring'!B87+'Gjensidige Forsikring'!B87+'Gjensidige Pensjon'!B87+'Handelsbanken Liv'!B87+'If Skadeforsikring NUF'!B87+KLP!B87+'DNB Bedriftspensjon'!B87+'KLP Skadeforsikring AS'!B87+'Landkreditt Forsikring'!B87+Insr!B87+'Nordea Liv '!B87+'Oslo Pensjonsforsikring'!B87+'Protector Forsikring'!B87+'SHB Liv'!B87+'Sparebank 1'!B87+'Storebrand Livsforsikring'!B87+'Telenor Forsikring'!B87+'Tryg Forsikring'!B87+'WaterCircles F'!B87+'Codan Forsikring'!B87+'Euro Accident'!B87</f>
        <v>395207470.63050002</v>
      </c>
      <c r="C87" s="305">
        <f>'Fremtind Livsforsikring'!C87+'Danica Pensjonsforsikring'!C87+'DNB Livsforsikring'!C87+'Eika Forsikring AS'!C87+'Frende Livsforsikring'!C87+'Frende Skadeforsikring'!C87+'Gjensidige Forsikring'!C87+'Gjensidige Pensjon'!C87+'Handelsbanken Liv'!C87+'If Skadeforsikring NUF'!C87+KLP!C87+'DNB Bedriftspensjon'!C87+'KLP Skadeforsikring AS'!C87+'Landkreditt Forsikring'!C87+Insr!C87+'Nordea Liv '!C87+'Oslo Pensjonsforsikring'!C87+'Protector Forsikring'!C87+'SHB Liv'!C87+'Sparebank 1'!C87+'Storebrand Livsforsikring'!C87+'Telenor Forsikring'!C87+'Tryg Forsikring'!C87+'WaterCircles F'!C87+'Codan Forsikring'!C87+'Euro Accident'!C87</f>
        <v>404437490.50348002</v>
      </c>
      <c r="D87" s="24">
        <f>IF(B87=0, "    ---- ", IF(ABS(ROUND(100/B87*C87-100,1))&lt;999,ROUND(100/B87*C87-100,1),IF(ROUND(100/B87*C87-100,1)&gt;999,999,-999)))</f>
        <v>2.2999999999999998</v>
      </c>
      <c r="E87" s="234">
        <f>'Fremtind Livsforsikring'!F87+'Danica Pensjonsforsikring'!F87+'DNB Livsforsikring'!F87+'Eika Forsikring AS'!F87+'Frende Livsforsikring'!F87+'Frende Skadeforsikring'!F87+'Gjensidige Forsikring'!F87+'Gjensidige Pensjon'!F87+'Handelsbanken Liv'!F87+'If Skadeforsikring NUF'!F87+KLP!F87+'DNB Bedriftspensjon'!F87+'KLP Skadeforsikring AS'!F87+'Landkreditt Forsikring'!F87+Insr!F87+'Nordea Liv '!F87+'Oslo Pensjonsforsikring'!F87+'Protector Forsikring'!F87+'SHB Liv'!F87+'Sparebank 1'!F87+'Storebrand Livsforsikring'!F87+'Telenor Forsikring'!F87+'Tryg Forsikring'!F87+'WaterCircles F'!F87+'Codan Forsikring'!F87+'Euro Accident'!F87</f>
        <v>372803555.49048001</v>
      </c>
      <c r="F87" s="234">
        <f>'Fremtind Livsforsikring'!G87+'Danica Pensjonsforsikring'!G87+'DNB Livsforsikring'!G87+'Eika Forsikring AS'!G87+'Frende Livsforsikring'!G87+'Frende Skadeforsikring'!G87+'Gjensidige Forsikring'!G87+'Gjensidige Pensjon'!G87+'Handelsbanken Liv'!G87+'If Skadeforsikring NUF'!G87+KLP!G87+'DNB Bedriftspensjon'!G87+'KLP Skadeforsikring AS'!G87+'Landkreditt Forsikring'!G87+Insr!G87+'Nordea Liv '!G87+'Oslo Pensjonsforsikring'!G87+'Protector Forsikring'!G87+'SHB Liv'!G87+'Sparebank 1'!G87+'Storebrand Livsforsikring'!G87+'Telenor Forsikring'!G87+'Tryg Forsikring'!G87+'WaterCircles F'!G87+'Codan Forsikring'!G87+'Euro Accident'!G87</f>
        <v>449882436.57108998</v>
      </c>
      <c r="G87" s="170">
        <f t="shared" si="13"/>
        <v>20.7</v>
      </c>
      <c r="H87" s="325">
        <f t="shared" ref="H87:H111" si="16">SUM(B87,E87)</f>
        <v>768011026.12098002</v>
      </c>
      <c r="I87" s="325">
        <f t="shared" ref="I87:I111" si="17">SUM(C87,F87)</f>
        <v>854319927.07456994</v>
      </c>
      <c r="J87" s="24">
        <f t="shared" si="12"/>
        <v>11.2</v>
      </c>
    </row>
    <row r="88" spans="1:13" ht="15.75" customHeight="1" x14ac:dyDescent="0.25">
      <c r="A88" s="21" t="s">
        <v>9</v>
      </c>
      <c r="B88" s="232">
        <f>'Fremtind Livsforsikring'!B88+'Danica Pensjonsforsikring'!B88+'DNB Livsforsikring'!B88+'Eika Forsikring AS'!B88+'Frende Livsforsikring'!B88+'Frende Skadeforsikring'!B88+'Gjensidige Forsikring'!B88+'Gjensidige Pensjon'!B88+'Handelsbanken Liv'!B88+'If Skadeforsikring NUF'!B88+KLP!B88+'DNB Bedriftspensjon'!B88+'KLP Skadeforsikring AS'!B88+'Landkreditt Forsikring'!B88+Insr!B88+'Nordea Liv '!B88+'Oslo Pensjonsforsikring'!B88+'Protector Forsikring'!B88+'SHB Liv'!B88+'Sparebank 1'!B88+'Storebrand Livsforsikring'!B88+'Telenor Forsikring'!B88+'Tryg Forsikring'!B88+'WaterCircles F'!B88+'Codan Forsikring'!B88+'Euro Accident'!B88</f>
        <v>383347967.67581999</v>
      </c>
      <c r="C88" s="232">
        <f>'Fremtind Livsforsikring'!C88+'Danica Pensjonsforsikring'!C88+'DNB Livsforsikring'!C88+'Eika Forsikring AS'!C88+'Frende Livsforsikring'!C88+'Frende Skadeforsikring'!C88+'Gjensidige Forsikring'!C88+'Gjensidige Pensjon'!C88+'Handelsbanken Liv'!C88+'If Skadeforsikring NUF'!C88+KLP!C88+'DNB Bedriftspensjon'!C88+'KLP Skadeforsikring AS'!C88+'Landkreditt Forsikring'!C88+Insr!C88+'Nordea Liv '!C88+'Oslo Pensjonsforsikring'!C88+'Protector Forsikring'!C88+'SHB Liv'!C88+'Sparebank 1'!C88+'Storebrand Livsforsikring'!C88+'Telenor Forsikring'!C88+'Tryg Forsikring'!C88+'WaterCircles F'!C88+'Codan Forsikring'!C88+'Euro Accident'!C88</f>
        <v>390532172.21518004</v>
      </c>
      <c r="D88" s="23">
        <f>IF(B88=0, "    ---- ", IF(ABS(ROUND(100/B88*C88-100,1))&lt;999,ROUND(100/B88*C88-100,1),IF(ROUND(100/B88*C88-100,1)&gt;999,999,-999)))</f>
        <v>1.9</v>
      </c>
      <c r="E88" s="44">
        <f>'Fremtind Livsforsikring'!F88+'Danica Pensjonsforsikring'!F88+'DNB Livsforsikring'!F88+'Eika Forsikring AS'!F88+'Frende Livsforsikring'!F88+'Frende Skadeforsikring'!F88+'Gjensidige Forsikring'!F88+'Gjensidige Pensjon'!F88+'Handelsbanken Liv'!F88+'If Skadeforsikring NUF'!F88+KLP!F88+'DNB Bedriftspensjon'!F88+'KLP Skadeforsikring AS'!F88+'Landkreditt Forsikring'!F88+Insr!F88+'Nordea Liv '!F88+'Oslo Pensjonsforsikring'!F88+'Protector Forsikring'!F88+'SHB Liv'!F88+'Sparebank 1'!F88+'Storebrand Livsforsikring'!F88+'Telenor Forsikring'!F88+'Tryg Forsikring'!F88+'WaterCircles F'!F88+'Codan Forsikring'!F88+'Euro Accident'!F88</f>
        <v>0</v>
      </c>
      <c r="F88" s="44">
        <f>'Fremtind Livsforsikring'!G88+'Danica Pensjonsforsikring'!G88+'DNB Livsforsikring'!G88+'Eika Forsikring AS'!G88+'Frende Livsforsikring'!G88+'Frende Skadeforsikring'!G88+'Gjensidige Forsikring'!G88+'Gjensidige Pensjon'!G88+'Handelsbanken Liv'!G88+'If Skadeforsikring NUF'!G88+KLP!G88+'DNB Bedriftspensjon'!G88+'KLP Skadeforsikring AS'!G88+'Landkreditt Forsikring'!G88+Insr!G88+'Nordea Liv '!G88+'Oslo Pensjonsforsikring'!G88+'Protector Forsikring'!G88+'SHB Liv'!G88+'Sparebank 1'!G88+'Storebrand Livsforsikring'!G88+'Telenor Forsikring'!G88+'Tryg Forsikring'!G88+'WaterCircles F'!G88+'Codan Forsikring'!G88+'Euro Accident'!G88</f>
        <v>0</v>
      </c>
      <c r="G88" s="165"/>
      <c r="H88" s="235">
        <f t="shared" si="16"/>
        <v>383347967.67581999</v>
      </c>
      <c r="I88" s="235">
        <f t="shared" si="17"/>
        <v>390532172.21518004</v>
      </c>
      <c r="J88" s="23">
        <f t="shared" si="12"/>
        <v>1.9</v>
      </c>
      <c r="L88" s="148"/>
      <c r="M88" s="148"/>
    </row>
    <row r="89" spans="1:13" ht="15.75" customHeight="1" x14ac:dyDescent="0.25">
      <c r="A89" s="21" t="s">
        <v>10</v>
      </c>
      <c r="B89" s="232">
        <f>'Fremtind Livsforsikring'!B89+'Danica Pensjonsforsikring'!B89+'DNB Livsforsikring'!B89+'Eika Forsikring AS'!B89+'Frende Livsforsikring'!B89+'Frende Skadeforsikring'!B89+'Gjensidige Forsikring'!B89+'Gjensidige Pensjon'!B89+'Handelsbanken Liv'!B89+'If Skadeforsikring NUF'!B89+KLP!B89+'DNB Bedriftspensjon'!B89+'KLP Skadeforsikring AS'!B89+'Landkreditt Forsikring'!B89+Insr!B89+'Nordea Liv '!B89+'Oslo Pensjonsforsikring'!B89+'Protector Forsikring'!B89+'SHB Liv'!B89+'Sparebank 1'!B89+'Storebrand Livsforsikring'!B89+'Telenor Forsikring'!B89+'Tryg Forsikring'!B89+'WaterCircles F'!B89+'Codan Forsikring'!B89+'Euro Accident'!B89</f>
        <v>3052182.9967</v>
      </c>
      <c r="C89" s="232">
        <f>'Fremtind Livsforsikring'!C89+'Danica Pensjonsforsikring'!C89+'DNB Livsforsikring'!C89+'Eika Forsikring AS'!C89+'Frende Livsforsikring'!C89+'Frende Skadeforsikring'!C89+'Gjensidige Forsikring'!C89+'Gjensidige Pensjon'!C89+'Handelsbanken Liv'!C89+'If Skadeforsikring NUF'!C89+KLP!C89+'DNB Bedriftspensjon'!C89+'KLP Skadeforsikring AS'!C89+'Landkreditt Forsikring'!C89+Insr!C89+'Nordea Liv '!C89+'Oslo Pensjonsforsikring'!C89+'Protector Forsikring'!C89+'SHB Liv'!C89+'Sparebank 1'!C89+'Storebrand Livsforsikring'!C89+'Telenor Forsikring'!C89+'Tryg Forsikring'!C89+'WaterCircles F'!C89+'Codan Forsikring'!C89+'Euro Accident'!C89</f>
        <v>3168532.6383400001</v>
      </c>
      <c r="D89" s="23">
        <f>IF(B89=0, "    ---- ", IF(ABS(ROUND(100/B89*C89-100,1))&lt;999,ROUND(100/B89*C89-100,1),IF(ROUND(100/B89*C89-100,1)&gt;999,999,-999)))</f>
        <v>3.8</v>
      </c>
      <c r="E89" s="44">
        <f>'Fremtind Livsforsikring'!F89+'Danica Pensjonsforsikring'!F89+'DNB Livsforsikring'!F89+'Eika Forsikring AS'!F89+'Frende Livsforsikring'!F89+'Frende Skadeforsikring'!F89+'Gjensidige Forsikring'!F89+'Gjensidige Pensjon'!F89+'Handelsbanken Liv'!F89+'If Skadeforsikring NUF'!F89+KLP!F89+'DNB Bedriftspensjon'!F89+'KLP Skadeforsikring AS'!F89+'Landkreditt Forsikring'!F89+Insr!F89+'Nordea Liv '!F89+'Oslo Pensjonsforsikring'!F89+'Protector Forsikring'!F89+'SHB Liv'!F89+'Sparebank 1'!F89+'Storebrand Livsforsikring'!F89+'Telenor Forsikring'!F89+'Tryg Forsikring'!F89+'WaterCircles F'!F89+'Codan Forsikring'!F89+'Euro Accident'!F89</f>
        <v>369671484.44926</v>
      </c>
      <c r="F89" s="44">
        <f>'Fremtind Livsforsikring'!G89+'Danica Pensjonsforsikring'!G89+'DNB Livsforsikring'!G89+'Eika Forsikring AS'!G89+'Frende Livsforsikring'!G89+'Frende Skadeforsikring'!G89+'Gjensidige Forsikring'!G89+'Gjensidige Pensjon'!G89+'Handelsbanken Liv'!G89+'If Skadeforsikring NUF'!G89+KLP!G89+'DNB Bedriftspensjon'!G89+'KLP Skadeforsikring AS'!G89+'Landkreditt Forsikring'!G89+Insr!G89+'Nordea Liv '!G89+'Oslo Pensjonsforsikring'!G89+'Protector Forsikring'!G89+'SHB Liv'!G89+'Sparebank 1'!G89+'Storebrand Livsforsikring'!G89+'Telenor Forsikring'!G89+'Tryg Forsikring'!G89+'WaterCircles F'!G89+'Codan Forsikring'!G89+'Euro Accident'!G89</f>
        <v>445034746.03806996</v>
      </c>
      <c r="G89" s="165">
        <f t="shared" si="13"/>
        <v>20.399999999999999</v>
      </c>
      <c r="H89" s="235">
        <f t="shared" si="16"/>
        <v>372723667.44595999</v>
      </c>
      <c r="I89" s="235">
        <f t="shared" si="17"/>
        <v>448203278.67640996</v>
      </c>
      <c r="J89" s="23">
        <f t="shared" si="12"/>
        <v>20.3</v>
      </c>
      <c r="L89" s="148"/>
      <c r="M89" s="148"/>
    </row>
    <row r="90" spans="1:13" ht="15.75" customHeight="1" x14ac:dyDescent="0.25">
      <c r="A90" s="293" t="s">
        <v>459</v>
      </c>
      <c r="B90" s="44">
        <f>'Fremtind Livsforsikring'!B90+'Danica Pensjonsforsikring'!B90+'DNB Livsforsikring'!B90+'Eika Forsikring AS'!B90+'Frende Livsforsikring'!B90+'Frende Skadeforsikring'!B90+'Gjensidige Forsikring'!B90+'Gjensidige Pensjon'!B90+'Handelsbanken Liv'!B90+'If Skadeforsikring NUF'!B90+KLP!B90+'DNB Bedriftspensjon'!B90+'KLP Skadeforsikring AS'!B90+'Landkreditt Forsikring'!B90+Insr!B90+'Nordea Liv '!B90+'Oslo Pensjonsforsikring'!B90+'Protector Forsikring'!B90+'SHB Liv'!B90+'Sparebank 1'!B90+'Storebrand Livsforsikring'!B90+'Telenor Forsikring'!B90+'Tryg Forsikring'!B90+'WaterCircles F'!B90+'Codan Forsikring'!B90+'Euro Accident'!B90</f>
        <v>0</v>
      </c>
      <c r="C90" s="44">
        <f>'Fremtind Livsforsikring'!C90+'Danica Pensjonsforsikring'!C90+'DNB Livsforsikring'!C90+'Eika Forsikring AS'!C90+'Frende Livsforsikring'!C90+'Frende Skadeforsikring'!C90+'Gjensidige Forsikring'!C90+'Gjensidige Pensjon'!C90+'Handelsbanken Liv'!C90+'If Skadeforsikring NUF'!C90+KLP!C90+'DNB Bedriftspensjon'!C90+'KLP Skadeforsikring AS'!C90+'Landkreditt Forsikring'!C90+Insr!C90+'Nordea Liv '!C90+'Oslo Pensjonsforsikring'!C90+'Protector Forsikring'!C90+'SHB Liv'!C90+'Sparebank 1'!C90+'Storebrand Livsforsikring'!C90+'Telenor Forsikring'!C90+'Tryg Forsikring'!C90+'WaterCircles F'!C90+'Codan Forsikring'!C90+'Euro Accident'!C90</f>
        <v>0</v>
      </c>
      <c r="D90" s="27"/>
      <c r="E90" s="44">
        <f>'Fremtind Livsforsikring'!F90+'Danica Pensjonsforsikring'!F90+'DNB Livsforsikring'!F90+'Eika Forsikring AS'!F90+'Frende Livsforsikring'!F90+'Frende Skadeforsikring'!F90+'Gjensidige Forsikring'!F90+'Gjensidige Pensjon'!F90+'Handelsbanken Liv'!F90+'If Skadeforsikring NUF'!F90+KLP!F90+'DNB Bedriftspensjon'!F90+'KLP Skadeforsikring AS'!F90+'Landkreditt Forsikring'!F90+Insr!F90+'Nordea Liv '!F90+'Oslo Pensjonsforsikring'!F90+'Protector Forsikring'!F90+'SHB Liv'!F90+'Sparebank 1'!F90+'Storebrand Livsforsikring'!F90+'Telenor Forsikring'!F90+'Tryg Forsikring'!F90+'WaterCircles F'!F90+'Codan Forsikring'!F90+'Euro Accident'!F90</f>
        <v>115351.96799999999</v>
      </c>
      <c r="F90" s="44">
        <f>'Fremtind Livsforsikring'!G90+'Danica Pensjonsforsikring'!G90+'DNB Livsforsikring'!G90+'Eika Forsikring AS'!G90+'Frende Livsforsikring'!G90+'Frende Skadeforsikring'!G90+'Gjensidige Forsikring'!G90+'Gjensidige Pensjon'!G90+'Handelsbanken Liv'!G90+'If Skadeforsikring NUF'!G90+KLP!G90+'DNB Bedriftspensjon'!G90+'KLP Skadeforsikring AS'!G90+'Landkreditt Forsikring'!G90+Insr!G90+'Nordea Liv '!G90+'Oslo Pensjonsforsikring'!G90+'Protector Forsikring'!G90+'SHB Liv'!G90+'Sparebank 1'!G90+'Storebrand Livsforsikring'!G90+'Telenor Forsikring'!G90+'Tryg Forsikring'!G90+'WaterCircles F'!G90+'Codan Forsikring'!G90+'Euro Accident'!G90</f>
        <v>115267</v>
      </c>
      <c r="G90" s="165">
        <f t="shared" si="13"/>
        <v>-0.1</v>
      </c>
      <c r="H90" s="235">
        <f t="shared" si="16"/>
        <v>115351.96799999999</v>
      </c>
      <c r="I90" s="235">
        <f t="shared" si="17"/>
        <v>115267</v>
      </c>
      <c r="J90" s="23">
        <f t="shared" si="12"/>
        <v>-0.1</v>
      </c>
    </row>
    <row r="91" spans="1:13" ht="15.75" customHeight="1" x14ac:dyDescent="0.25">
      <c r="A91" s="293" t="s">
        <v>12</v>
      </c>
      <c r="B91" s="233">
        <f>'Fremtind Livsforsikring'!B91+'Danica Pensjonsforsikring'!B91+'DNB Livsforsikring'!B91+'Eika Forsikring AS'!B91+'Frende Livsforsikring'!B91+'Frende Skadeforsikring'!B91+'Gjensidige Forsikring'!B91+'Gjensidige Pensjon'!B91+'Handelsbanken Liv'!B91+'If Skadeforsikring NUF'!B91+KLP!B91+'DNB Bedriftspensjon'!B91+'KLP Skadeforsikring AS'!B91+'Landkreditt Forsikring'!B91+Insr!B91+'Nordea Liv '!B91+'Oslo Pensjonsforsikring'!B91+'Protector Forsikring'!B91+'SHB Liv'!B91+'Sparebank 1'!B91+'Storebrand Livsforsikring'!B91+'Telenor Forsikring'!B91+'Tryg Forsikring'!B91+'WaterCircles F'!B91+'Codan Forsikring'!B91+'Euro Accident'!B91</f>
        <v>0</v>
      </c>
      <c r="C91" s="233">
        <f>'Fremtind Livsforsikring'!C91+'Danica Pensjonsforsikring'!C91+'DNB Livsforsikring'!C91+'Eika Forsikring AS'!C91+'Frende Livsforsikring'!C91+'Frende Skadeforsikring'!C91+'Gjensidige Forsikring'!C91+'Gjensidige Pensjon'!C91+'Handelsbanken Liv'!C91+'If Skadeforsikring NUF'!C91+KLP!C91+'DNB Bedriftspensjon'!C91+'KLP Skadeforsikring AS'!C91+'Landkreditt Forsikring'!C91+Insr!C91+'Nordea Liv '!C91+'Oslo Pensjonsforsikring'!C91+'Protector Forsikring'!C91+'SHB Liv'!C91+'Sparebank 1'!C91+'Storebrand Livsforsikring'!C91+'Telenor Forsikring'!C91+'Tryg Forsikring'!C91+'WaterCircles F'!C91+'Codan Forsikring'!C91+'Euro Accident'!C91</f>
        <v>0</v>
      </c>
      <c r="D91" s="27"/>
      <c r="E91" s="44">
        <f>'Fremtind Livsforsikring'!F91+'Danica Pensjonsforsikring'!F91+'DNB Livsforsikring'!F91+'Eika Forsikring AS'!F91+'Frende Livsforsikring'!F91+'Frende Skadeforsikring'!F91+'Gjensidige Forsikring'!F91+'Gjensidige Pensjon'!F91+'Handelsbanken Liv'!F91+'If Skadeforsikring NUF'!F91+KLP!F91+'DNB Bedriftspensjon'!F91+'KLP Skadeforsikring AS'!F91+'Landkreditt Forsikring'!F91+Insr!F91+'Nordea Liv '!F91+'Oslo Pensjonsforsikring'!F91+'Protector Forsikring'!F91+'SHB Liv'!F91+'Sparebank 1'!F91+'Storebrand Livsforsikring'!F91+'Telenor Forsikring'!F91+'Tryg Forsikring'!F91+'WaterCircles F'!F91+'Codan Forsikring'!F91+'Euro Accident'!F91</f>
        <v>100750.96799999999</v>
      </c>
      <c r="F91" s="44">
        <f>'Fremtind Livsforsikring'!G91+'Danica Pensjonsforsikring'!G91+'DNB Livsforsikring'!G91+'Eika Forsikring AS'!G91+'Frende Livsforsikring'!G91+'Frende Skadeforsikring'!G91+'Gjensidige Forsikring'!G91+'Gjensidige Pensjon'!G91+'Handelsbanken Liv'!G91+'If Skadeforsikring NUF'!G91+KLP!G91+'DNB Bedriftspensjon'!G91+'KLP Skadeforsikring AS'!G91+'Landkreditt Forsikring'!G91+Insr!G91+'Nordea Liv '!G91+'Oslo Pensjonsforsikring'!G91+'Protector Forsikring'!G91+'SHB Liv'!G91+'Sparebank 1'!G91+'Storebrand Livsforsikring'!G91+'Telenor Forsikring'!G91+'Tryg Forsikring'!G91+'WaterCircles F'!G91+'Codan Forsikring'!G91+'Euro Accident'!G91</f>
        <v>101501</v>
      </c>
      <c r="G91" s="165">
        <f t="shared" si="13"/>
        <v>0.7</v>
      </c>
      <c r="H91" s="235">
        <f t="shared" si="16"/>
        <v>100750.96799999999</v>
      </c>
      <c r="I91" s="235">
        <f t="shared" si="17"/>
        <v>101501</v>
      </c>
      <c r="J91" s="23">
        <f t="shared" si="12"/>
        <v>0.7</v>
      </c>
    </row>
    <row r="92" spans="1:13" ht="15.75" customHeight="1" x14ac:dyDescent="0.25">
      <c r="A92" s="293" t="s">
        <v>13</v>
      </c>
      <c r="B92" s="233">
        <f>'Fremtind Livsforsikring'!B92+'Danica Pensjonsforsikring'!B92+'DNB Livsforsikring'!B92+'Eika Forsikring AS'!B92+'Frende Livsforsikring'!B92+'Frende Skadeforsikring'!B92+'Gjensidige Forsikring'!B92+'Gjensidige Pensjon'!B92+'Handelsbanken Liv'!B92+'If Skadeforsikring NUF'!B92+KLP!B92+'DNB Bedriftspensjon'!B92+'KLP Skadeforsikring AS'!B92+'Landkreditt Forsikring'!B92+Insr!B92+'Nordea Liv '!B92+'Oslo Pensjonsforsikring'!B92+'Protector Forsikring'!B92+'SHB Liv'!B92+'Sparebank 1'!B92+'Storebrand Livsforsikring'!B92+'Telenor Forsikring'!B92+'Tryg Forsikring'!B92+'WaterCircles F'!B92+'Codan Forsikring'!B92+'Euro Accident'!B92</f>
        <v>0</v>
      </c>
      <c r="C92" s="233">
        <f>'Fremtind Livsforsikring'!C92+'Danica Pensjonsforsikring'!C92+'DNB Livsforsikring'!C92+'Eika Forsikring AS'!C92+'Frende Livsforsikring'!C92+'Frende Skadeforsikring'!C92+'Gjensidige Forsikring'!C92+'Gjensidige Pensjon'!C92+'Handelsbanken Liv'!C92+'If Skadeforsikring NUF'!C92+KLP!C92+'DNB Bedriftspensjon'!C92+'KLP Skadeforsikring AS'!C92+'Landkreditt Forsikring'!C92+Insr!C92+'Nordea Liv '!C92+'Oslo Pensjonsforsikring'!C92+'Protector Forsikring'!C92+'SHB Liv'!C92+'Sparebank 1'!C92+'Storebrand Livsforsikring'!C92+'Telenor Forsikring'!C92+'Tryg Forsikring'!C92+'WaterCircles F'!C92+'Codan Forsikring'!C92+'Euro Accident'!C92</f>
        <v>0</v>
      </c>
      <c r="D92" s="27"/>
      <c r="E92" s="44">
        <f>'Fremtind Livsforsikring'!F92+'Danica Pensjonsforsikring'!F92+'DNB Livsforsikring'!F92+'Eika Forsikring AS'!F92+'Frende Livsforsikring'!F92+'Frende Skadeforsikring'!F92+'Gjensidige Forsikring'!F92+'Gjensidige Pensjon'!F92+'Handelsbanken Liv'!F92+'If Skadeforsikring NUF'!F92+KLP!F92+'DNB Bedriftspensjon'!F92+'KLP Skadeforsikring AS'!F92+'Landkreditt Forsikring'!F92+Insr!F92+'Nordea Liv '!F92+'Oslo Pensjonsforsikring'!F92+'Protector Forsikring'!F92+'SHB Liv'!F92+'Sparebank 1'!F92+'Storebrand Livsforsikring'!F92+'Telenor Forsikring'!F92+'Tryg Forsikring'!F92+'WaterCircles F'!F92+'Codan Forsikring'!F92+'Euro Accident'!F92</f>
        <v>14601</v>
      </c>
      <c r="F92" s="44">
        <f>'Fremtind Livsforsikring'!G92+'Danica Pensjonsforsikring'!G92+'DNB Livsforsikring'!G92+'Eika Forsikring AS'!G92+'Frende Livsforsikring'!G92+'Frende Skadeforsikring'!G92+'Gjensidige Forsikring'!G92+'Gjensidige Pensjon'!G92+'Handelsbanken Liv'!G92+'If Skadeforsikring NUF'!G92+KLP!G92+'DNB Bedriftspensjon'!G92+'KLP Skadeforsikring AS'!G92+'Landkreditt Forsikring'!G92+Insr!G92+'Nordea Liv '!G92+'Oslo Pensjonsforsikring'!G92+'Protector Forsikring'!G92+'SHB Liv'!G92+'Sparebank 1'!G92+'Storebrand Livsforsikring'!G92+'Telenor Forsikring'!G92+'Tryg Forsikring'!G92+'WaterCircles F'!G92+'Codan Forsikring'!G92+'Euro Accident'!G92</f>
        <v>13766</v>
      </c>
      <c r="G92" s="165">
        <f t="shared" si="13"/>
        <v>-5.7</v>
      </c>
      <c r="H92" s="235">
        <f t="shared" si="16"/>
        <v>14601</v>
      </c>
      <c r="I92" s="235">
        <f t="shared" si="17"/>
        <v>13766</v>
      </c>
      <c r="J92" s="23">
        <f t="shared" si="12"/>
        <v>-5.7</v>
      </c>
    </row>
    <row r="93" spans="1:13" ht="15.75" customHeight="1" x14ac:dyDescent="0.25">
      <c r="A93" s="293" t="s">
        <v>460</v>
      </c>
      <c r="B93" s="44">
        <f>'Fremtind Livsforsikring'!B93+'Danica Pensjonsforsikring'!B93+'DNB Livsforsikring'!B93+'Eika Forsikring AS'!B93+'Frende Livsforsikring'!B93+'Frende Skadeforsikring'!B93+'Gjensidige Forsikring'!B93+'Gjensidige Pensjon'!B93+'Handelsbanken Liv'!B93+'If Skadeforsikring NUF'!B93+KLP!B93+'DNB Bedriftspensjon'!B93+'KLP Skadeforsikring AS'!B93+'Landkreditt Forsikring'!B93+Insr!B93+'Nordea Liv '!B93+'Oslo Pensjonsforsikring'!B93+'Protector Forsikring'!B93+'SHB Liv'!B93+'Sparebank 1'!B93+'Storebrand Livsforsikring'!B93+'Telenor Forsikring'!B93+'Tryg Forsikring'!B93+'WaterCircles F'!B93+'Codan Forsikring'!B93+'Euro Accident'!B93</f>
        <v>3052182.9967</v>
      </c>
      <c r="C93" s="44">
        <f>'Fremtind Livsforsikring'!C93+'Danica Pensjonsforsikring'!C93+'DNB Livsforsikring'!C93+'Eika Forsikring AS'!C93+'Frende Livsforsikring'!C93+'Frende Skadeforsikring'!C93+'Gjensidige Forsikring'!C93+'Gjensidige Pensjon'!C93+'Handelsbanken Liv'!C93+'If Skadeforsikring NUF'!C93+KLP!C93+'DNB Bedriftspensjon'!C93+'KLP Skadeforsikring AS'!C93+'Landkreditt Forsikring'!C93+Insr!C93+'Nordea Liv '!C93+'Oslo Pensjonsforsikring'!C93+'Protector Forsikring'!C93+'SHB Liv'!C93+'Sparebank 1'!C93+'Storebrand Livsforsikring'!C93+'Telenor Forsikring'!C93+'Tryg Forsikring'!C93+'WaterCircles F'!C93+'Codan Forsikring'!C93+'Euro Accident'!C93</f>
        <v>3168532.6383400001</v>
      </c>
      <c r="D93" s="27">
        <f t="shared" ref="D93" si="18">IF($A$1=4,IF(B93=0, "    ---- ", IF(ABS(ROUND(100/B93*C93-100,1))&lt;999,ROUND(100/B93*C93-100,1),IF(ROUND(100/B93*C93-100,1)&gt;999,999,-999))),"")</f>
        <v>3.8</v>
      </c>
      <c r="E93" s="44">
        <f>'Fremtind Livsforsikring'!F93+'Danica Pensjonsforsikring'!F93+'DNB Livsforsikring'!F93+'Eika Forsikring AS'!F93+'Frende Livsforsikring'!F93+'Frende Skadeforsikring'!F93+'Gjensidige Forsikring'!F93+'Gjensidige Pensjon'!F93+'Handelsbanken Liv'!F93+'If Skadeforsikring NUF'!F93+KLP!F93+'DNB Bedriftspensjon'!F93+'KLP Skadeforsikring AS'!F93+'Landkreditt Forsikring'!F93+Insr!F93+'Nordea Liv '!F93+'Oslo Pensjonsforsikring'!F93+'Protector Forsikring'!F93+'SHB Liv'!F93+'Sparebank 1'!F93+'Storebrand Livsforsikring'!F93+'Telenor Forsikring'!F93+'Tryg Forsikring'!F93+'WaterCircles F'!F93+'Codan Forsikring'!F93+'Euro Accident'!F93</f>
        <v>369556132.48126</v>
      </c>
      <c r="F93" s="44">
        <f>'Fremtind Livsforsikring'!G93+'Danica Pensjonsforsikring'!G93+'DNB Livsforsikring'!G93+'Eika Forsikring AS'!G93+'Frende Livsforsikring'!G93+'Frende Skadeforsikring'!G93+'Gjensidige Forsikring'!G93+'Gjensidige Pensjon'!G93+'Handelsbanken Liv'!G93+'If Skadeforsikring NUF'!G93+KLP!G93+'DNB Bedriftspensjon'!G93+'KLP Skadeforsikring AS'!G93+'Landkreditt Forsikring'!G93+Insr!G93+'Nordea Liv '!G93+'Oslo Pensjonsforsikring'!G93+'Protector Forsikring'!G93+'SHB Liv'!G93+'Sparebank 1'!G93+'Storebrand Livsforsikring'!G93+'Telenor Forsikring'!G93+'Tryg Forsikring'!G93+'WaterCircles F'!G93+'Codan Forsikring'!G93+'Euro Accident'!G93</f>
        <v>444919479.03806996</v>
      </c>
      <c r="G93" s="165">
        <f t="shared" si="13"/>
        <v>20.399999999999999</v>
      </c>
      <c r="H93" s="235">
        <f t="shared" si="16"/>
        <v>372608315.47795999</v>
      </c>
      <c r="I93" s="235">
        <f t="shared" si="17"/>
        <v>448088011.67640996</v>
      </c>
      <c r="J93" s="23">
        <f t="shared" si="12"/>
        <v>20.3</v>
      </c>
    </row>
    <row r="94" spans="1:13" ht="15.75" customHeight="1" x14ac:dyDescent="0.25">
      <c r="A94" s="293" t="s">
        <v>12</v>
      </c>
      <c r="B94" s="233">
        <f>'Fremtind Livsforsikring'!B94+'Danica Pensjonsforsikring'!B94+'DNB Livsforsikring'!B94+'Eika Forsikring AS'!B94+'Frende Livsforsikring'!B94+'Frende Skadeforsikring'!B94+'Gjensidige Forsikring'!B94+'Gjensidige Pensjon'!B94+'Handelsbanken Liv'!B94+'If Skadeforsikring NUF'!B94+KLP!B94+'DNB Bedriftspensjon'!B94+'KLP Skadeforsikring AS'!B94+'Landkreditt Forsikring'!B94+Insr!B94+'Nordea Liv '!B94+'Oslo Pensjonsforsikring'!B94+'Protector Forsikring'!B94+'SHB Liv'!B94+'Sparebank 1'!B94+'Storebrand Livsforsikring'!B94+'Telenor Forsikring'!B94+'Tryg Forsikring'!B94+'WaterCircles F'!B94+'Codan Forsikring'!B94+'Euro Accident'!B94</f>
        <v>0</v>
      </c>
      <c r="C94" s="233">
        <f>'Fremtind Livsforsikring'!C94+'Danica Pensjonsforsikring'!C94+'DNB Livsforsikring'!C94+'Eika Forsikring AS'!C94+'Frende Livsforsikring'!C94+'Frende Skadeforsikring'!C94+'Gjensidige Forsikring'!C94+'Gjensidige Pensjon'!C94+'Handelsbanken Liv'!C94+'If Skadeforsikring NUF'!C94+KLP!C94+'DNB Bedriftspensjon'!C94+'KLP Skadeforsikring AS'!C94+'Landkreditt Forsikring'!C94+Insr!C94+'Nordea Liv '!C94+'Oslo Pensjonsforsikring'!C94+'Protector Forsikring'!C94+'SHB Liv'!C94+'Sparebank 1'!C94+'Storebrand Livsforsikring'!C94+'Telenor Forsikring'!C94+'Tryg Forsikring'!C94+'WaterCircles F'!C94+'Codan Forsikring'!C94+'Euro Accident'!C94</f>
        <v>0</v>
      </c>
      <c r="D94" s="27"/>
      <c r="E94" s="44">
        <f>'Fremtind Livsforsikring'!F94+'Danica Pensjonsforsikring'!F94+'DNB Livsforsikring'!F94+'Eika Forsikring AS'!F94+'Frende Livsforsikring'!F94+'Frende Skadeforsikring'!F94+'Gjensidige Forsikring'!F94+'Gjensidige Pensjon'!F94+'Handelsbanken Liv'!F94+'If Skadeforsikring NUF'!F94+KLP!F94+'DNB Bedriftspensjon'!F94+'KLP Skadeforsikring AS'!F94+'Landkreditt Forsikring'!F94+Insr!F94+'Nordea Liv '!F94+'Oslo Pensjonsforsikring'!F94+'Protector Forsikring'!F94+'SHB Liv'!F94+'Sparebank 1'!F94+'Storebrand Livsforsikring'!F94+'Telenor Forsikring'!F94+'Tryg Forsikring'!F94+'WaterCircles F'!F94+'Codan Forsikring'!F94+'Euro Accident'!F94</f>
        <v>842296.46030999999</v>
      </c>
      <c r="F94" s="44">
        <f>'Fremtind Livsforsikring'!G94+'Danica Pensjonsforsikring'!G94+'DNB Livsforsikring'!G94+'Eika Forsikring AS'!G94+'Frende Livsforsikring'!G94+'Frende Skadeforsikring'!G94+'Gjensidige Forsikring'!G94+'Gjensidige Pensjon'!G94+'Handelsbanken Liv'!G94+'If Skadeforsikring NUF'!G94+KLP!G94+'DNB Bedriftspensjon'!G94+'KLP Skadeforsikring AS'!G94+'Landkreditt Forsikring'!G94+Insr!G94+'Nordea Liv '!G94+'Oslo Pensjonsforsikring'!G94+'Protector Forsikring'!G94+'SHB Liv'!G94+'Sparebank 1'!G94+'Storebrand Livsforsikring'!G94+'Telenor Forsikring'!G94+'Tryg Forsikring'!G94+'WaterCircles F'!G94+'Codan Forsikring'!G94+'Euro Accident'!G94</f>
        <v>760718.19099999999</v>
      </c>
      <c r="G94" s="165">
        <f t="shared" si="13"/>
        <v>-9.6999999999999993</v>
      </c>
      <c r="H94" s="235">
        <f t="shared" si="16"/>
        <v>842296.46030999999</v>
      </c>
      <c r="I94" s="235">
        <f t="shared" si="17"/>
        <v>760718.19099999999</v>
      </c>
      <c r="J94" s="23">
        <f t="shared" si="12"/>
        <v>-9.6999999999999993</v>
      </c>
    </row>
    <row r="95" spans="1:13" ht="15.75" customHeight="1" x14ac:dyDescent="0.25">
      <c r="A95" s="293" t="s">
        <v>13</v>
      </c>
      <c r="B95" s="233">
        <f>'Fremtind Livsforsikring'!B95+'Danica Pensjonsforsikring'!B95+'DNB Livsforsikring'!B95+'Eika Forsikring AS'!B95+'Frende Livsforsikring'!B95+'Frende Skadeforsikring'!B95+'Gjensidige Forsikring'!B95+'Gjensidige Pensjon'!B95+'Handelsbanken Liv'!B95+'If Skadeforsikring NUF'!B95+KLP!B95+'DNB Bedriftspensjon'!B95+'KLP Skadeforsikring AS'!B95+'Landkreditt Forsikring'!B95+Insr!B95+'Nordea Liv '!B95+'Oslo Pensjonsforsikring'!B95+'Protector Forsikring'!B95+'SHB Liv'!B95+'Sparebank 1'!B95+'Storebrand Livsforsikring'!B95+'Telenor Forsikring'!B95+'Tryg Forsikring'!B95+'WaterCircles F'!B95+'Codan Forsikring'!B95+'Euro Accident'!B95</f>
        <v>0</v>
      </c>
      <c r="C95" s="233">
        <f>'Fremtind Livsforsikring'!C95+'Danica Pensjonsforsikring'!C95+'DNB Livsforsikring'!C95+'Eika Forsikring AS'!C95+'Frende Livsforsikring'!C95+'Frende Skadeforsikring'!C95+'Gjensidige Forsikring'!C95+'Gjensidige Pensjon'!C95+'Handelsbanken Liv'!C95+'If Skadeforsikring NUF'!C95+KLP!C95+'DNB Bedriftspensjon'!C95+'KLP Skadeforsikring AS'!C95+'Landkreditt Forsikring'!C95+Insr!C95+'Nordea Liv '!C95+'Oslo Pensjonsforsikring'!C95+'Protector Forsikring'!C95+'SHB Liv'!C95+'Sparebank 1'!C95+'Storebrand Livsforsikring'!C95+'Telenor Forsikring'!C95+'Tryg Forsikring'!C95+'WaterCircles F'!C95+'Codan Forsikring'!C95+'Euro Accident'!C95</f>
        <v>0</v>
      </c>
      <c r="D95" s="27"/>
      <c r="E95" s="44">
        <f>'Fremtind Livsforsikring'!F95+'Danica Pensjonsforsikring'!F95+'DNB Livsforsikring'!F95+'Eika Forsikring AS'!F95+'Frende Livsforsikring'!F95+'Frende Skadeforsikring'!F95+'Gjensidige Forsikring'!F95+'Gjensidige Pensjon'!F95+'Handelsbanken Liv'!F95+'If Skadeforsikring NUF'!F95+KLP!F95+'DNB Bedriftspensjon'!F95+'KLP Skadeforsikring AS'!F95+'Landkreditt Forsikring'!F95+Insr!F95+'Nordea Liv '!F95+'Oslo Pensjonsforsikring'!F95+'Protector Forsikring'!F95+'SHB Liv'!F95+'Sparebank 1'!F95+'Storebrand Livsforsikring'!F95+'Telenor Forsikring'!F95+'Tryg Forsikring'!F95+'WaterCircles F'!F95+'Codan Forsikring'!F95+'Euro Accident'!F95</f>
        <v>368713836.02095002</v>
      </c>
      <c r="F95" s="44">
        <f>'Fremtind Livsforsikring'!G95+'Danica Pensjonsforsikring'!G95+'DNB Livsforsikring'!G95+'Eika Forsikring AS'!G95+'Frende Livsforsikring'!G95+'Frende Skadeforsikring'!G95+'Gjensidige Forsikring'!G95+'Gjensidige Pensjon'!G95+'Handelsbanken Liv'!G95+'If Skadeforsikring NUF'!G95+KLP!G95+'DNB Bedriftspensjon'!G95+'KLP Skadeforsikring AS'!G95+'Landkreditt Forsikring'!G95+Insr!G95+'Nordea Liv '!G95+'Oslo Pensjonsforsikring'!G95+'Protector Forsikring'!G95+'SHB Liv'!G95+'Sparebank 1'!G95+'Storebrand Livsforsikring'!G95+'Telenor Forsikring'!G95+'Tryg Forsikring'!G95+'WaterCircles F'!G95+'Codan Forsikring'!G95+'Euro Accident'!G95</f>
        <v>444158760.84706998</v>
      </c>
      <c r="G95" s="165">
        <f t="shared" si="13"/>
        <v>20.5</v>
      </c>
      <c r="H95" s="235">
        <f t="shared" si="16"/>
        <v>368713836.02095002</v>
      </c>
      <c r="I95" s="235">
        <f t="shared" si="17"/>
        <v>444158760.84706998</v>
      </c>
      <c r="J95" s="23">
        <f t="shared" si="12"/>
        <v>20.5</v>
      </c>
    </row>
    <row r="96" spans="1:13" ht="15.75" customHeight="1" x14ac:dyDescent="0.25">
      <c r="A96" s="21" t="s">
        <v>348</v>
      </c>
      <c r="B96" s="232">
        <f>'Fremtind Livsforsikring'!B96+'Danica Pensjonsforsikring'!B96+'DNB Livsforsikring'!B96+'Eika Forsikring AS'!B96+'Frende Livsforsikring'!B96+'Frende Skadeforsikring'!B96+'Gjensidige Forsikring'!B96+'Gjensidige Pensjon'!B96+'Handelsbanken Liv'!B96+'If Skadeforsikring NUF'!B96+KLP!B96+'DNB Bedriftspensjon'!B96+'KLP Skadeforsikring AS'!B96+'Landkreditt Forsikring'!B96+Insr!B96+'Nordea Liv '!B96+'Oslo Pensjonsforsikring'!B96+'Protector Forsikring'!B96+'SHB Liv'!B96+'Sparebank 1'!B96+'Storebrand Livsforsikring'!B96+'Telenor Forsikring'!B96+'Tryg Forsikring'!B96+'WaterCircles F'!B96+'Codan Forsikring'!B96+'Euro Accident'!B96</f>
        <v>1999308.8924400001</v>
      </c>
      <c r="C96" s="232">
        <f>'Fremtind Livsforsikring'!C96+'Danica Pensjonsforsikring'!C96+'DNB Livsforsikring'!C96+'Eika Forsikring AS'!C96+'Frende Livsforsikring'!C96+'Frende Skadeforsikring'!C96+'Gjensidige Forsikring'!C96+'Gjensidige Pensjon'!C96+'Handelsbanken Liv'!C96+'If Skadeforsikring NUF'!C96+KLP!C96+'DNB Bedriftspensjon'!C96+'KLP Skadeforsikring AS'!C96+'Landkreditt Forsikring'!C96+Insr!C96+'Nordea Liv '!C96+'Oslo Pensjonsforsikring'!C96+'Protector Forsikring'!C96+'SHB Liv'!C96+'Sparebank 1'!C96+'Storebrand Livsforsikring'!C96+'Telenor Forsikring'!C96+'Tryg Forsikring'!C96+'WaterCircles F'!C96+'Codan Forsikring'!C96+'Euro Accident'!C96</f>
        <v>2858183.9760099999</v>
      </c>
      <c r="D96" s="23">
        <f>IF(B96=0, "    ---- ", IF(ABS(ROUND(100/B96*C96-100,1))&lt;999,ROUND(100/B96*C96-100,1),IF(ROUND(100/B96*C96-100,1)&gt;999,999,-999)))</f>
        <v>43</v>
      </c>
      <c r="E96" s="44">
        <f>'Fremtind Livsforsikring'!F96+'Danica Pensjonsforsikring'!F96+'DNB Livsforsikring'!F96+'Eika Forsikring AS'!F96+'Frende Livsforsikring'!F96+'Frende Skadeforsikring'!F96+'Gjensidige Forsikring'!F96+'Gjensidige Pensjon'!F96+'Handelsbanken Liv'!F96+'If Skadeforsikring NUF'!F96+KLP!F96+'DNB Bedriftspensjon'!F96+'KLP Skadeforsikring AS'!F96+'Landkreditt Forsikring'!F96+Insr!F96+'Nordea Liv '!F96+'Oslo Pensjonsforsikring'!F96+'Protector Forsikring'!F96+'SHB Liv'!F96+'Sparebank 1'!F96+'Storebrand Livsforsikring'!F96+'Telenor Forsikring'!F96+'Tryg Forsikring'!F96+'WaterCircles F'!F96+'Codan Forsikring'!F96+'Euro Accident'!F96</f>
        <v>3132071.04122</v>
      </c>
      <c r="F96" s="44">
        <f>'Fremtind Livsforsikring'!G96+'Danica Pensjonsforsikring'!G96+'DNB Livsforsikring'!G96+'Eika Forsikring AS'!G96+'Frende Livsforsikring'!G96+'Frende Skadeforsikring'!G96+'Gjensidige Forsikring'!G96+'Gjensidige Pensjon'!G96+'Handelsbanken Liv'!G96+'If Skadeforsikring NUF'!G96+KLP!G96+'DNB Bedriftspensjon'!G96+'KLP Skadeforsikring AS'!G96+'Landkreditt Forsikring'!G96+Insr!G96+'Nordea Liv '!G96+'Oslo Pensjonsforsikring'!G96+'Protector Forsikring'!G96+'SHB Liv'!G96+'Sparebank 1'!G96+'Storebrand Livsforsikring'!G96+'Telenor Forsikring'!G96+'Tryg Forsikring'!G96+'WaterCircles F'!G96+'Codan Forsikring'!G96+'Euro Accident'!G96</f>
        <v>4847690.53302</v>
      </c>
      <c r="G96" s="165">
        <f t="shared" si="13"/>
        <v>54.8</v>
      </c>
      <c r="H96" s="235">
        <f t="shared" si="16"/>
        <v>5131379.9336600006</v>
      </c>
      <c r="I96" s="235">
        <f t="shared" si="17"/>
        <v>7705874.5090299994</v>
      </c>
      <c r="J96" s="23">
        <f t="shared" si="12"/>
        <v>50.2</v>
      </c>
    </row>
    <row r="97" spans="1:12" ht="15.75" customHeight="1" x14ac:dyDescent="0.25">
      <c r="A97" s="21" t="s">
        <v>347</v>
      </c>
      <c r="B97" s="232">
        <f>'Fremtind Livsforsikring'!B97+'Danica Pensjonsforsikring'!B97+'DNB Livsforsikring'!B97+'Eika Forsikring AS'!B97+'Frende Livsforsikring'!B97+'Frende Skadeforsikring'!B97+'Gjensidige Forsikring'!B97+'Gjensidige Pensjon'!B97+'Handelsbanken Liv'!B97+'If Skadeforsikring NUF'!B97+KLP!B97+'DNB Bedriftspensjon'!B97+'KLP Skadeforsikring AS'!B97+'Landkreditt Forsikring'!B97+Insr!B97+'Nordea Liv '!B97+'Oslo Pensjonsforsikring'!B97+'Protector Forsikring'!B97+'SHB Liv'!B97+'Sparebank 1'!B97+'Storebrand Livsforsikring'!B97+'Telenor Forsikring'!B97+'Tryg Forsikring'!B97+'WaterCircles F'!B97+'Codan Forsikring'!B97+'Euro Accident'!B97</f>
        <v>6808011.0655400008</v>
      </c>
      <c r="C97" s="232">
        <f>'Fremtind Livsforsikring'!C97+'Danica Pensjonsforsikring'!C97+'DNB Livsforsikring'!C97+'Eika Forsikring AS'!C97+'Frende Livsforsikring'!C97+'Frende Skadeforsikring'!C97+'Gjensidige Forsikring'!C97+'Gjensidige Pensjon'!C97+'Handelsbanken Liv'!C97+'If Skadeforsikring NUF'!C97+KLP!C97+'DNB Bedriftspensjon'!C97+'KLP Skadeforsikring AS'!C97+'Landkreditt Forsikring'!C97+Insr!C97+'Nordea Liv '!C97+'Oslo Pensjonsforsikring'!C97+'Protector Forsikring'!C97+'SHB Liv'!C97+'Sparebank 1'!C97+'Storebrand Livsforsikring'!C97+'Telenor Forsikring'!C97+'Tryg Forsikring'!C97+'WaterCircles F'!C97+'Codan Forsikring'!C97+'Euro Accident'!C97</f>
        <v>7878601.6739500007</v>
      </c>
      <c r="D97" s="23">
        <f>IF(B97=0, "    ---- ", IF(ABS(ROUND(100/B97*C97-100,1))&lt;999,ROUND(100/B97*C97-100,1),IF(ROUND(100/B97*C97-100,1)&gt;999,999,-999)))</f>
        <v>15.7</v>
      </c>
      <c r="E97" s="44">
        <f>'Fremtind Livsforsikring'!F97+'Danica Pensjonsforsikring'!F97+'DNB Livsforsikring'!F97+'Eika Forsikring AS'!F97+'Frende Livsforsikring'!F97+'Frende Skadeforsikring'!F97+'Gjensidige Forsikring'!F97+'Gjensidige Pensjon'!F97+'Handelsbanken Liv'!F97+'If Skadeforsikring NUF'!F97+KLP!F97+'DNB Bedriftspensjon'!F97+'KLP Skadeforsikring AS'!F97+'Landkreditt Forsikring'!F97+Insr!F97+'Nordea Liv '!F97+'Oslo Pensjonsforsikring'!F97+'Protector Forsikring'!F97+'SHB Liv'!F97+'Sparebank 1'!F97+'Storebrand Livsforsikring'!F97+'Telenor Forsikring'!F97+'Tryg Forsikring'!F97+'WaterCircles F'!F97+'Codan Forsikring'!F97+'Euro Accident'!F97</f>
        <v>0</v>
      </c>
      <c r="F97" s="44">
        <f>'Fremtind Livsforsikring'!G97+'Danica Pensjonsforsikring'!G97+'DNB Livsforsikring'!G97+'Eika Forsikring AS'!G97+'Frende Livsforsikring'!G97+'Frende Skadeforsikring'!G97+'Gjensidige Forsikring'!G97+'Gjensidige Pensjon'!G97+'Handelsbanken Liv'!G97+'If Skadeforsikring NUF'!G97+KLP!G97+'DNB Bedriftspensjon'!G97+'KLP Skadeforsikring AS'!G97+'Landkreditt Forsikring'!G97+Insr!G97+'Nordea Liv '!G97+'Oslo Pensjonsforsikring'!G97+'Protector Forsikring'!G97+'SHB Liv'!G97+'Sparebank 1'!G97+'Storebrand Livsforsikring'!G97+'Telenor Forsikring'!G97+'Tryg Forsikring'!G97+'WaterCircles F'!G97+'Codan Forsikring'!G97+'Euro Accident'!G97</f>
        <v>0</v>
      </c>
      <c r="G97" s="165"/>
      <c r="H97" s="235">
        <f>SUM(B97,E97)</f>
        <v>6808011.0655400008</v>
      </c>
      <c r="I97" s="235">
        <f>SUM(C97,F97)</f>
        <v>7878601.6739500007</v>
      </c>
      <c r="J97" s="23">
        <f>IF(H97=0, "    ---- ", IF(ABS(ROUND(100/H97*I97-100,1))&lt;999,ROUND(100/H97*I97-100,1),IF(ROUND(100/H97*I97-100,1)&gt;999,999,-999)))</f>
        <v>15.7</v>
      </c>
    </row>
    <row r="98" spans="1:12" ht="15.75" customHeight="1" x14ac:dyDescent="0.25">
      <c r="A98" s="21" t="s">
        <v>461</v>
      </c>
      <c r="B98" s="232">
        <f>'Fremtind Livsforsikring'!B98+'Danica Pensjonsforsikring'!B98+'DNB Livsforsikring'!B98+'Eika Forsikring AS'!B98+'Frende Livsforsikring'!B98+'Frende Skadeforsikring'!B98+'Gjensidige Forsikring'!B98+'Gjensidige Pensjon'!B98+'Handelsbanken Liv'!B98+'If Skadeforsikring NUF'!B98+KLP!B98+'DNB Bedriftspensjon'!B98+'KLP Skadeforsikring AS'!B98+'Landkreditt Forsikring'!B98+Insr!B98+'Nordea Liv '!B98+'Oslo Pensjonsforsikring'!B98+'Protector Forsikring'!B98+'SHB Liv'!B98+'Sparebank 1'!B98+'Storebrand Livsforsikring'!B98+'Telenor Forsikring'!B98+'Tryg Forsikring'!B98+'WaterCircles F'!B98+'Codan Forsikring'!B98+'Euro Accident'!B98</f>
        <v>381953941.27552003</v>
      </c>
      <c r="C98" s="232">
        <f>'Fremtind Livsforsikring'!C98+'Danica Pensjonsforsikring'!C98+'DNB Livsforsikring'!C98+'Eika Forsikring AS'!C98+'Frende Livsforsikring'!C98+'Frende Skadeforsikring'!C98+'Gjensidige Forsikring'!C98+'Gjensidige Pensjon'!C98+'Handelsbanken Liv'!C98+'If Skadeforsikring NUF'!C98+KLP!C98+'DNB Bedriftspensjon'!C98+'KLP Skadeforsikring AS'!C98+'Landkreditt Forsikring'!C98+Insr!C98+'Nordea Liv '!C98+'Oslo Pensjonsforsikring'!C98+'Protector Forsikring'!C98+'SHB Liv'!C98+'Sparebank 1'!C98+'Storebrand Livsforsikring'!C98+'Telenor Forsikring'!C98+'Tryg Forsikring'!C98+'WaterCircles F'!C98+'Codan Forsikring'!C98+'Euro Accident'!C98</f>
        <v>389184367.90952003</v>
      </c>
      <c r="D98" s="23">
        <f>IF(B98=0, "    ---- ", IF(ABS(ROUND(100/B98*C98-100,1))&lt;999,ROUND(100/B98*C98-100,1),IF(ROUND(100/B98*C98-100,1)&gt;999,999,-999)))</f>
        <v>1.9</v>
      </c>
      <c r="E98" s="44">
        <f>'Fremtind Livsforsikring'!F98+'Danica Pensjonsforsikring'!F98+'DNB Livsforsikring'!F98+'Eika Forsikring AS'!F98+'Frende Livsforsikring'!F98+'Frende Skadeforsikring'!F98+'Gjensidige Forsikring'!F98+'Gjensidige Pensjon'!F98+'Handelsbanken Liv'!F98+'If Skadeforsikring NUF'!F98+KLP!F98+'DNB Bedriftspensjon'!F98+'KLP Skadeforsikring AS'!F98+'Landkreditt Forsikring'!F98+Insr!F98+'Nordea Liv '!F98+'Oslo Pensjonsforsikring'!F98+'Protector Forsikring'!F98+'SHB Liv'!F98+'Sparebank 1'!F98+'Storebrand Livsforsikring'!F98+'Telenor Forsikring'!F98+'Tryg Forsikring'!F98+'WaterCircles F'!F98+'Codan Forsikring'!F98+'Euro Accident'!F98</f>
        <v>368642033.39560002</v>
      </c>
      <c r="F98" s="44">
        <f>'Fremtind Livsforsikring'!G98+'Danica Pensjonsforsikring'!G98+'DNB Livsforsikring'!G98+'Eika Forsikring AS'!G98+'Frende Livsforsikring'!G98+'Frende Skadeforsikring'!G98+'Gjensidige Forsikring'!G98+'Gjensidige Pensjon'!G98+'Handelsbanken Liv'!G98+'If Skadeforsikring NUF'!G98+KLP!G98+'DNB Bedriftspensjon'!G98+'KLP Skadeforsikring AS'!G98+'Landkreditt Forsikring'!G98+Insr!G98+'Nordea Liv '!G98+'Oslo Pensjonsforsikring'!G98+'Protector Forsikring'!G98+'SHB Liv'!G98+'Sparebank 1'!G98+'Storebrand Livsforsikring'!G98+'Telenor Forsikring'!G98+'Tryg Forsikring'!G98+'WaterCircles F'!G98+'Codan Forsikring'!G98+'Euro Accident'!G98</f>
        <v>444072896.72666001</v>
      </c>
      <c r="G98" s="165">
        <f t="shared" si="13"/>
        <v>20.5</v>
      </c>
      <c r="H98" s="235">
        <f t="shared" si="16"/>
        <v>750595974.67112005</v>
      </c>
      <c r="I98" s="235">
        <f t="shared" si="17"/>
        <v>833257264.63618004</v>
      </c>
      <c r="J98" s="23">
        <f t="shared" si="12"/>
        <v>11</v>
      </c>
    </row>
    <row r="99" spans="1:12" ht="15.75" customHeight="1" x14ac:dyDescent="0.25">
      <c r="A99" s="21" t="s">
        <v>9</v>
      </c>
      <c r="B99" s="232">
        <f>'Fremtind Livsforsikring'!B99+'Danica Pensjonsforsikring'!B99+'DNB Livsforsikring'!B99+'Eika Forsikring AS'!B99+'Frende Livsforsikring'!B99+'Frende Skadeforsikring'!B99+'Gjensidige Forsikring'!B99+'Gjensidige Pensjon'!B99+'Handelsbanken Liv'!B99+'If Skadeforsikring NUF'!B99+KLP!B99+'DNB Bedriftspensjon'!B99+'KLP Skadeforsikring AS'!B99+'Landkreditt Forsikring'!B99+Insr!B99+'Nordea Liv '!B99+'Oslo Pensjonsforsikring'!B99+'Protector Forsikring'!B99+'SHB Liv'!B99+'Sparebank 1'!B99+'Storebrand Livsforsikring'!B99+'Telenor Forsikring'!B99+'Tryg Forsikring'!B99+'WaterCircles F'!B99+'Codan Forsikring'!B99+'Euro Accident'!B99</f>
        <v>378901758.27882004</v>
      </c>
      <c r="C99" s="232">
        <f>'Fremtind Livsforsikring'!C99+'Danica Pensjonsforsikring'!C99+'DNB Livsforsikring'!C99+'Eika Forsikring AS'!C99+'Frende Livsforsikring'!C99+'Frende Skadeforsikring'!C99+'Gjensidige Forsikring'!C99+'Gjensidige Pensjon'!C99+'Handelsbanken Liv'!C99+'If Skadeforsikring NUF'!C99+KLP!C99+'DNB Bedriftspensjon'!C99+'KLP Skadeforsikring AS'!C99+'Landkreditt Forsikring'!C99+Insr!C99+'Nordea Liv '!C99+'Oslo Pensjonsforsikring'!C99+'Protector Forsikring'!C99+'SHB Liv'!C99+'Sparebank 1'!C99+'Storebrand Livsforsikring'!C99+'Telenor Forsikring'!C99+'Tryg Forsikring'!C99+'WaterCircles F'!C99+'Codan Forsikring'!C99+'Euro Accident'!C99</f>
        <v>386015835.27118003</v>
      </c>
      <c r="D99" s="23">
        <f>IF(B99=0, "    ---- ", IF(ABS(ROUND(100/B99*C99-100,1))&lt;999,ROUND(100/B99*C99-100,1),IF(ROUND(100/B99*C99-100,1)&gt;999,999,-999)))</f>
        <v>1.9</v>
      </c>
      <c r="E99" s="44">
        <f>'Fremtind Livsforsikring'!F99+'Danica Pensjonsforsikring'!F99+'DNB Livsforsikring'!F99+'Eika Forsikring AS'!F99+'Frende Livsforsikring'!F99+'Frende Skadeforsikring'!F99+'Gjensidige Forsikring'!F99+'Gjensidige Pensjon'!F99+'Handelsbanken Liv'!F99+'If Skadeforsikring NUF'!F99+KLP!F99+'DNB Bedriftspensjon'!F99+'KLP Skadeforsikring AS'!F99+'Landkreditt Forsikring'!F99+Insr!F99+'Nordea Liv '!F99+'Oslo Pensjonsforsikring'!F99+'Protector Forsikring'!F99+'SHB Liv'!F99+'Sparebank 1'!F99+'Storebrand Livsforsikring'!F99+'Telenor Forsikring'!F99+'Tryg Forsikring'!F99+'WaterCircles F'!F99+'Codan Forsikring'!F99+'Euro Accident'!F99</f>
        <v>0</v>
      </c>
      <c r="F99" s="44">
        <f>'Fremtind Livsforsikring'!G99+'Danica Pensjonsforsikring'!G99+'DNB Livsforsikring'!G99+'Eika Forsikring AS'!G99+'Frende Livsforsikring'!G99+'Frende Skadeforsikring'!G99+'Gjensidige Forsikring'!G99+'Gjensidige Pensjon'!G99+'Handelsbanken Liv'!G99+'If Skadeforsikring NUF'!G99+KLP!G99+'DNB Bedriftspensjon'!G99+'KLP Skadeforsikring AS'!G99+'Landkreditt Forsikring'!G99+Insr!G99+'Nordea Liv '!G99+'Oslo Pensjonsforsikring'!G99+'Protector Forsikring'!G99+'SHB Liv'!G99+'Sparebank 1'!G99+'Storebrand Livsforsikring'!G99+'Telenor Forsikring'!G99+'Tryg Forsikring'!G99+'WaterCircles F'!G99+'Codan Forsikring'!G99+'Euro Accident'!G99</f>
        <v>0</v>
      </c>
      <c r="G99" s="165"/>
      <c r="H99" s="235">
        <f t="shared" si="16"/>
        <v>378901758.27882004</v>
      </c>
      <c r="I99" s="235">
        <f t="shared" si="17"/>
        <v>386015835.27118003</v>
      </c>
      <c r="J99" s="23">
        <f t="shared" si="12"/>
        <v>1.9</v>
      </c>
    </row>
    <row r="100" spans="1:12" ht="15.75" customHeight="1" x14ac:dyDescent="0.25">
      <c r="A100" s="38" t="s">
        <v>495</v>
      </c>
      <c r="B100" s="232">
        <f>'Fremtind Livsforsikring'!B100+'Danica Pensjonsforsikring'!B100+'DNB Livsforsikring'!B100+'Eika Forsikring AS'!B100+'Frende Livsforsikring'!B100+'Frende Skadeforsikring'!B100+'Gjensidige Forsikring'!B100+'Gjensidige Pensjon'!B100+'Handelsbanken Liv'!B100+'If Skadeforsikring NUF'!B100+KLP!B100+'DNB Bedriftspensjon'!B100+'KLP Skadeforsikring AS'!B100+'Landkreditt Forsikring'!B100+Insr!B100+'Nordea Liv '!B100+'Oslo Pensjonsforsikring'!B100+'Protector Forsikring'!B100+'SHB Liv'!B100+'Sparebank 1'!B100+'Storebrand Livsforsikring'!B100+'Telenor Forsikring'!B100+'Tryg Forsikring'!B100+'WaterCircles F'!B100+'Codan Forsikring'!B100+'Euro Accident'!B100</f>
        <v>3052182.9967</v>
      </c>
      <c r="C100" s="232">
        <f>'Fremtind Livsforsikring'!C100+'Danica Pensjonsforsikring'!C100+'DNB Livsforsikring'!C100+'Eika Forsikring AS'!C100+'Frende Livsforsikring'!C100+'Frende Skadeforsikring'!C100+'Gjensidige Forsikring'!C100+'Gjensidige Pensjon'!C100+'Handelsbanken Liv'!C100+'If Skadeforsikring NUF'!C100+KLP!C100+'DNB Bedriftspensjon'!C100+'KLP Skadeforsikring AS'!C100+'Landkreditt Forsikring'!C100+Insr!C100+'Nordea Liv '!C100+'Oslo Pensjonsforsikring'!C100+'Protector Forsikring'!C100+'SHB Liv'!C100+'Sparebank 1'!C100+'Storebrand Livsforsikring'!C100+'Telenor Forsikring'!C100+'Tryg Forsikring'!C100+'WaterCircles F'!C100+'Codan Forsikring'!C100+'Euro Accident'!C100</f>
        <v>3168532.6383400001</v>
      </c>
      <c r="D100" s="23">
        <f>IF(B100=0, "    ---- ", IF(ABS(ROUND(100/B100*C100-100,1))&lt;999,ROUND(100/B100*C100-100,1),IF(ROUND(100/B100*C100-100,1)&gt;999,999,-999)))</f>
        <v>3.8</v>
      </c>
      <c r="E100" s="44">
        <f>'Fremtind Livsforsikring'!F100+'Danica Pensjonsforsikring'!F100+'DNB Livsforsikring'!F100+'Eika Forsikring AS'!F100+'Frende Livsforsikring'!F100+'Frende Skadeforsikring'!F100+'Gjensidige Forsikring'!F100+'Gjensidige Pensjon'!F100+'Handelsbanken Liv'!F100+'If Skadeforsikring NUF'!F100+KLP!F100+'DNB Bedriftspensjon'!F100+'KLP Skadeforsikring AS'!F100+'Landkreditt Forsikring'!F100+Insr!F100+'Nordea Liv '!F100+'Oslo Pensjonsforsikring'!F100+'Protector Forsikring'!F100+'SHB Liv'!F100+'Sparebank 1'!F100+'Storebrand Livsforsikring'!F100+'Telenor Forsikring'!F100+'Tryg Forsikring'!F100+'WaterCircles F'!F100+'Codan Forsikring'!F100+'Euro Accident'!F100</f>
        <v>368642033.39560002</v>
      </c>
      <c r="F100" s="44">
        <f>'Fremtind Livsforsikring'!G100+'Danica Pensjonsforsikring'!G100+'DNB Livsforsikring'!G100+'Eika Forsikring AS'!G100+'Frende Livsforsikring'!G100+'Frende Skadeforsikring'!G100+'Gjensidige Forsikring'!G100+'Gjensidige Pensjon'!G100+'Handelsbanken Liv'!G100+'If Skadeforsikring NUF'!G100+KLP!G100+'DNB Bedriftspensjon'!G100+'KLP Skadeforsikring AS'!G100+'Landkreditt Forsikring'!G100+Insr!G100+'Nordea Liv '!G100+'Oslo Pensjonsforsikring'!G100+'Protector Forsikring'!G100+'SHB Liv'!G100+'Sparebank 1'!G100+'Storebrand Livsforsikring'!G100+'Telenor Forsikring'!G100+'Tryg Forsikring'!G100+'WaterCircles F'!G100+'Codan Forsikring'!G100+'Euro Accident'!G100</f>
        <v>444072896.72666001</v>
      </c>
      <c r="G100" s="165">
        <f t="shared" si="13"/>
        <v>20.5</v>
      </c>
      <c r="H100" s="235">
        <f t="shared" si="16"/>
        <v>371694216.39230001</v>
      </c>
      <c r="I100" s="235">
        <f t="shared" si="17"/>
        <v>447241429.36500001</v>
      </c>
      <c r="J100" s="23">
        <f t="shared" si="12"/>
        <v>20.3</v>
      </c>
    </row>
    <row r="101" spans="1:12" ht="15.75" customHeight="1" x14ac:dyDescent="0.25">
      <c r="A101" s="293" t="s">
        <v>459</v>
      </c>
      <c r="B101" s="44"/>
      <c r="C101" s="44"/>
      <c r="D101" s="27"/>
      <c r="E101" s="44"/>
      <c r="F101" s="44"/>
      <c r="G101" s="165"/>
      <c r="H101" s="235"/>
      <c r="I101" s="235"/>
      <c r="J101" s="23"/>
      <c r="L101" s="3"/>
    </row>
    <row r="102" spans="1:12" ht="15.75" customHeight="1" x14ac:dyDescent="0.25">
      <c r="A102" s="293" t="s">
        <v>12</v>
      </c>
      <c r="B102" s="233"/>
      <c r="C102" s="233"/>
      <c r="D102" s="27"/>
      <c r="E102" s="44"/>
      <c r="F102" s="44"/>
      <c r="G102" s="165"/>
      <c r="H102" s="235"/>
      <c r="I102" s="235"/>
      <c r="J102" s="23"/>
      <c r="L102" s="3"/>
    </row>
    <row r="103" spans="1:12" ht="15.75" customHeight="1" x14ac:dyDescent="0.25">
      <c r="A103" s="293" t="s">
        <v>13</v>
      </c>
      <c r="B103" s="233"/>
      <c r="C103" s="233"/>
      <c r="D103" s="27"/>
      <c r="E103" s="44"/>
      <c r="F103" s="44"/>
      <c r="G103" s="165"/>
      <c r="H103" s="235"/>
      <c r="I103" s="235"/>
      <c r="J103" s="23"/>
      <c r="L103" s="3"/>
    </row>
    <row r="104" spans="1:12" ht="15.75" customHeight="1" x14ac:dyDescent="0.25">
      <c r="A104" s="293" t="s">
        <v>460</v>
      </c>
      <c r="B104" s="44">
        <f>'Fremtind Livsforsikring'!B104+'Danica Pensjonsforsikring'!B104+'DNB Livsforsikring'!B104+'Eika Forsikring AS'!B104+'Frende Livsforsikring'!B104+'Frende Skadeforsikring'!B104+'Gjensidige Forsikring'!B104+'Gjensidige Pensjon'!B104+'Handelsbanken Liv'!B104+'If Skadeforsikring NUF'!B104+KLP!B104+'DNB Bedriftspensjon'!B104+'KLP Skadeforsikring AS'!B104+'Landkreditt Forsikring'!B104+Insr!B104+'Nordea Liv '!B104+'Oslo Pensjonsforsikring'!B104+'Protector Forsikring'!B104+'SHB Liv'!B104+'Sparebank 1'!B104+'Storebrand Livsforsikring'!B104+'Telenor Forsikring'!B104+'Tryg Forsikring'!B104+'WaterCircles F'!B104+'Codan Forsikring'!B104+'Euro Accident'!B104</f>
        <v>3052182.9967</v>
      </c>
      <c r="C104" s="44">
        <f>'Fremtind Livsforsikring'!C104+'Danica Pensjonsforsikring'!C104+'DNB Livsforsikring'!C104+'Eika Forsikring AS'!C104+'Frende Livsforsikring'!C104+'Frende Skadeforsikring'!C104+'Gjensidige Forsikring'!C104+'Gjensidige Pensjon'!C104+'Handelsbanken Liv'!C104+'If Skadeforsikring NUF'!C104+KLP!C104+'DNB Bedriftspensjon'!C104+'KLP Skadeforsikring AS'!C104+'Landkreditt Forsikring'!C104+Insr!C104+'Nordea Liv '!C104+'Oslo Pensjonsforsikring'!C104+'Protector Forsikring'!C104+'SHB Liv'!C104+'Sparebank 1'!C104+'Storebrand Livsforsikring'!C104+'Telenor Forsikring'!C104+'Tryg Forsikring'!C104+'WaterCircles F'!C104+'Codan Forsikring'!C104+'Euro Accident'!C104</f>
        <v>3168532.6383400001</v>
      </c>
      <c r="D104" s="27">
        <f t="shared" ref="D104" si="19">IF($A$1=4,IF(B104=0, "    ---- ", IF(ABS(ROUND(100/B104*C104-100,1))&lt;999,ROUND(100/B104*C104-100,1),IF(ROUND(100/B104*C104-100,1)&gt;999,999,-999))),"")</f>
        <v>3.8</v>
      </c>
      <c r="E104" s="44">
        <f>'Fremtind Livsforsikring'!F104+'Danica Pensjonsforsikring'!F104+'DNB Livsforsikring'!F104+'Eika Forsikring AS'!F104+'Frende Livsforsikring'!F104+'Frende Skadeforsikring'!F104+'Gjensidige Forsikring'!F104+'Gjensidige Pensjon'!F104+'Handelsbanken Liv'!F104+'If Skadeforsikring NUF'!F104+KLP!F104+'DNB Bedriftspensjon'!F104+'KLP Skadeforsikring AS'!F104+'Landkreditt Forsikring'!F104+Insr!F104+'Nordea Liv '!F104+'Oslo Pensjonsforsikring'!F104+'Protector Forsikring'!F104+'SHB Liv'!F104+'Sparebank 1'!F104+'Storebrand Livsforsikring'!F104+'Telenor Forsikring'!F104+'Tryg Forsikring'!F104+'WaterCircles F'!F104+'Codan Forsikring'!F104+'Euro Accident'!F104</f>
        <v>368642033.39560002</v>
      </c>
      <c r="F104" s="44">
        <f>'Fremtind Livsforsikring'!G104+'Danica Pensjonsforsikring'!G104+'DNB Livsforsikring'!G104+'Eika Forsikring AS'!G104+'Frende Livsforsikring'!G104+'Frende Skadeforsikring'!G104+'Gjensidige Forsikring'!G104+'Gjensidige Pensjon'!G104+'Handelsbanken Liv'!G104+'If Skadeforsikring NUF'!G104+KLP!G104+'DNB Bedriftspensjon'!G104+'KLP Skadeforsikring AS'!G104+'Landkreditt Forsikring'!G104+Insr!G104+'Nordea Liv '!G104+'Oslo Pensjonsforsikring'!G104+'Protector Forsikring'!G104+'SHB Liv'!G104+'Sparebank 1'!G104+'Storebrand Livsforsikring'!G104+'Telenor Forsikring'!G104+'Tryg Forsikring'!G104+'WaterCircles F'!G104+'Codan Forsikring'!G104+'Euro Accident'!G104</f>
        <v>444072896.72666001</v>
      </c>
      <c r="G104" s="165">
        <f t="shared" si="13"/>
        <v>20.5</v>
      </c>
      <c r="H104" s="235">
        <f t="shared" si="16"/>
        <v>371694216.39230001</v>
      </c>
      <c r="I104" s="235">
        <f t="shared" si="17"/>
        <v>447241429.36500001</v>
      </c>
      <c r="J104" s="23">
        <f t="shared" si="12"/>
        <v>20.3</v>
      </c>
      <c r="L104" s="3"/>
    </row>
    <row r="105" spans="1:12" ht="15.75" customHeight="1" x14ac:dyDescent="0.25">
      <c r="A105" s="293" t="s">
        <v>12</v>
      </c>
      <c r="B105" s="233">
        <f>'Fremtind Livsforsikring'!B105+'Danica Pensjonsforsikring'!B105+'DNB Livsforsikring'!B105+'Eika Forsikring AS'!B105+'Frende Livsforsikring'!B105+'Frende Skadeforsikring'!B105+'Gjensidige Forsikring'!B105+'Gjensidige Pensjon'!B105+'Handelsbanken Liv'!B105+'If Skadeforsikring NUF'!B105+KLP!B105+'DNB Bedriftspensjon'!B105+'KLP Skadeforsikring AS'!B105+'Landkreditt Forsikring'!B105+Insr!B105+'Nordea Liv '!B105+'Oslo Pensjonsforsikring'!B105+'Protector Forsikring'!B105+'SHB Liv'!B105+'Sparebank 1'!B105+'Storebrand Livsforsikring'!B105+'Telenor Forsikring'!B105+'Tryg Forsikring'!B105+'WaterCircles F'!B105+'Codan Forsikring'!B105+'Euro Accident'!B105</f>
        <v>0</v>
      </c>
      <c r="C105" s="233">
        <f>'Fremtind Livsforsikring'!C105+'Danica Pensjonsforsikring'!C105+'DNB Livsforsikring'!C105+'Eika Forsikring AS'!C105+'Frende Livsforsikring'!C105+'Frende Skadeforsikring'!C105+'Gjensidige Forsikring'!C105+'Gjensidige Pensjon'!C105+'Handelsbanken Liv'!C105+'If Skadeforsikring NUF'!C105+KLP!C105+'DNB Bedriftspensjon'!C105+'KLP Skadeforsikring AS'!C105+'Landkreditt Forsikring'!C105+Insr!C105+'Nordea Liv '!C105+'Oslo Pensjonsforsikring'!C105+'Protector Forsikring'!C105+'SHB Liv'!C105+'Sparebank 1'!C105+'Storebrand Livsforsikring'!C105+'Telenor Forsikring'!C105+'Tryg Forsikring'!C105+'WaterCircles F'!C105+'Codan Forsikring'!C105+'Euro Accident'!C105</f>
        <v>0</v>
      </c>
      <c r="D105" s="27"/>
      <c r="E105" s="44">
        <f>'Fremtind Livsforsikring'!F105+'Danica Pensjonsforsikring'!F105+'DNB Livsforsikring'!F105+'Eika Forsikring AS'!F105+'Frende Livsforsikring'!F105+'Frende Skadeforsikring'!F105+'Gjensidige Forsikring'!F105+'Gjensidige Pensjon'!F105+'Handelsbanken Liv'!F105+'If Skadeforsikring NUF'!F105+KLP!F105+'DNB Bedriftspensjon'!F105+'KLP Skadeforsikring AS'!F105+'Landkreditt Forsikring'!F105+Insr!F105+'Nordea Liv '!F105+'Oslo Pensjonsforsikring'!F105+'Protector Forsikring'!F105+'SHB Liv'!F105+'Sparebank 1'!F105+'Storebrand Livsforsikring'!F105+'Telenor Forsikring'!F105+'Tryg Forsikring'!F105+'WaterCircles F'!F105+'Codan Forsikring'!F105+'Euro Accident'!F105</f>
        <v>11517</v>
      </c>
      <c r="F105" s="44">
        <f>'Fremtind Livsforsikring'!G105+'Danica Pensjonsforsikring'!G105+'DNB Livsforsikring'!G105+'Eika Forsikring AS'!G105+'Frende Livsforsikring'!G105+'Frende Skadeforsikring'!G105+'Gjensidige Forsikring'!G105+'Gjensidige Pensjon'!G105+'Handelsbanken Liv'!G105+'If Skadeforsikring NUF'!G105+KLP!G105+'DNB Bedriftspensjon'!G105+'KLP Skadeforsikring AS'!G105+'Landkreditt Forsikring'!G105+Insr!G105+'Nordea Liv '!G105+'Oslo Pensjonsforsikring'!G105+'Protector Forsikring'!G105+'SHB Liv'!G105+'Sparebank 1'!G105+'Storebrand Livsforsikring'!G105+'Telenor Forsikring'!G105+'Tryg Forsikring'!G105+'WaterCircles F'!G105+'Codan Forsikring'!G105+'Euro Accident'!G105</f>
        <v>92.27</v>
      </c>
      <c r="G105" s="165">
        <f t="shared" si="13"/>
        <v>-99.2</v>
      </c>
      <c r="H105" s="235">
        <f t="shared" si="16"/>
        <v>11517</v>
      </c>
      <c r="I105" s="235">
        <f t="shared" si="17"/>
        <v>92.27</v>
      </c>
      <c r="J105" s="23">
        <f t="shared" si="12"/>
        <v>-99.2</v>
      </c>
      <c r="L105" s="3"/>
    </row>
    <row r="106" spans="1:12" ht="15.75" customHeight="1" x14ac:dyDescent="0.25">
      <c r="A106" s="293" t="s">
        <v>13</v>
      </c>
      <c r="B106" s="233">
        <f>'Fremtind Livsforsikring'!B106+'Danica Pensjonsforsikring'!B106+'DNB Livsforsikring'!B106+'Eika Forsikring AS'!B106+'Frende Livsforsikring'!B106+'Frende Skadeforsikring'!B106+'Gjensidige Forsikring'!B106+'Gjensidige Pensjon'!B106+'Handelsbanken Liv'!B106+'If Skadeforsikring NUF'!B106+KLP!B106+'DNB Bedriftspensjon'!B106+'KLP Skadeforsikring AS'!B106+'Landkreditt Forsikring'!B106+Insr!B106+'Nordea Liv '!B106+'Oslo Pensjonsforsikring'!B106+'Protector Forsikring'!B106+'SHB Liv'!B106+'Sparebank 1'!B106+'Storebrand Livsforsikring'!B106+'Telenor Forsikring'!B106+'Tryg Forsikring'!B106+'WaterCircles F'!B106+'Codan Forsikring'!B106+'Euro Accident'!B106</f>
        <v>0</v>
      </c>
      <c r="C106" s="233">
        <f>'Fremtind Livsforsikring'!C106+'Danica Pensjonsforsikring'!C106+'DNB Livsforsikring'!C106+'Eika Forsikring AS'!C106+'Frende Livsforsikring'!C106+'Frende Skadeforsikring'!C106+'Gjensidige Forsikring'!C106+'Gjensidige Pensjon'!C106+'Handelsbanken Liv'!C106+'If Skadeforsikring NUF'!C106+KLP!C106+'DNB Bedriftspensjon'!C106+'KLP Skadeforsikring AS'!C106+'Landkreditt Forsikring'!C106+Insr!C106+'Nordea Liv '!C106+'Oslo Pensjonsforsikring'!C106+'Protector Forsikring'!C106+'SHB Liv'!C106+'Sparebank 1'!C106+'Storebrand Livsforsikring'!C106+'Telenor Forsikring'!C106+'Tryg Forsikring'!C106+'WaterCircles F'!C106+'Codan Forsikring'!C106+'Euro Accident'!C106</f>
        <v>0</v>
      </c>
      <c r="D106" s="27"/>
      <c r="E106" s="44">
        <f>'Fremtind Livsforsikring'!F106+'Danica Pensjonsforsikring'!F106+'DNB Livsforsikring'!F106+'Eika Forsikring AS'!F106+'Frende Livsforsikring'!F106+'Frende Skadeforsikring'!F106+'Gjensidige Forsikring'!F106+'Gjensidige Pensjon'!F106+'Handelsbanken Liv'!F106+'If Skadeforsikring NUF'!F106+KLP!F106+'DNB Bedriftspensjon'!F106+'KLP Skadeforsikring AS'!F106+'Landkreditt Forsikring'!F106+Insr!F106+'Nordea Liv '!F106+'Oslo Pensjonsforsikring'!F106+'Protector Forsikring'!F106+'SHB Liv'!F106+'Sparebank 1'!F106+'Storebrand Livsforsikring'!F106+'Telenor Forsikring'!F106+'Tryg Forsikring'!F106+'WaterCircles F'!F106+'Codan Forsikring'!F106+'Euro Accident'!F106</f>
        <v>368630516.39560002</v>
      </c>
      <c r="F106" s="44">
        <f>'Fremtind Livsforsikring'!G106+'Danica Pensjonsforsikring'!G106+'DNB Livsforsikring'!G106+'Eika Forsikring AS'!G106+'Frende Livsforsikring'!G106+'Frende Skadeforsikring'!G106+'Gjensidige Forsikring'!G106+'Gjensidige Pensjon'!G106+'Handelsbanken Liv'!G106+'If Skadeforsikring NUF'!G106+KLP!G106+'DNB Bedriftspensjon'!G106+'KLP Skadeforsikring AS'!G106+'Landkreditt Forsikring'!G106+Insr!G106+'Nordea Liv '!G106+'Oslo Pensjonsforsikring'!G106+'Protector Forsikring'!G106+'SHB Liv'!G106+'Sparebank 1'!G106+'Storebrand Livsforsikring'!G106+'Telenor Forsikring'!G106+'Tryg Forsikring'!G106+'WaterCircles F'!G106+'Codan Forsikring'!G106+'Euro Accident'!G106</f>
        <v>444072804.45666003</v>
      </c>
      <c r="G106" s="165">
        <f t="shared" si="13"/>
        <v>20.5</v>
      </c>
      <c r="H106" s="235">
        <f t="shared" si="16"/>
        <v>368630516.39560002</v>
      </c>
      <c r="I106" s="235">
        <f t="shared" si="17"/>
        <v>444072804.45666003</v>
      </c>
      <c r="J106" s="23">
        <f t="shared" si="12"/>
        <v>20.5</v>
      </c>
      <c r="L106" s="3"/>
    </row>
    <row r="107" spans="1:12" ht="15.75" customHeight="1" x14ac:dyDescent="0.25">
      <c r="A107" s="21" t="s">
        <v>462</v>
      </c>
      <c r="B107" s="232">
        <f>'Fremtind Livsforsikring'!B107+'Danica Pensjonsforsikring'!B107+'DNB Livsforsikring'!B107+'Eika Forsikring AS'!B107+'Frende Livsforsikring'!B107+'Frende Skadeforsikring'!B107+'Gjensidige Forsikring'!B107+'Gjensidige Pensjon'!B107+'Handelsbanken Liv'!B107+'If Skadeforsikring NUF'!B107+KLP!B107+'DNB Bedriftspensjon'!B107+'KLP Skadeforsikring AS'!B107+'Landkreditt Forsikring'!B107+Insr!B107+'Nordea Liv '!B107+'Oslo Pensjonsforsikring'!B107+'Protector Forsikring'!B107+'SHB Liv'!B107+'Sparebank 1'!B107+'Storebrand Livsforsikring'!B107+'Telenor Forsikring'!B107+'Tryg Forsikring'!B107+'WaterCircles F'!B107+'Codan Forsikring'!B107+'Euro Accident'!B107</f>
        <v>4446209.4230000004</v>
      </c>
      <c r="C107" s="232">
        <f>'Fremtind Livsforsikring'!C107+'Danica Pensjonsforsikring'!C107+'DNB Livsforsikring'!C107+'Eika Forsikring AS'!C107+'Frende Livsforsikring'!C107+'Frende Skadeforsikring'!C107+'Gjensidige Forsikring'!C107+'Gjensidige Pensjon'!C107+'Handelsbanken Liv'!C107+'If Skadeforsikring NUF'!C107+KLP!C107+'DNB Bedriftspensjon'!C107+'KLP Skadeforsikring AS'!C107+'Landkreditt Forsikring'!C107+Insr!C107+'Nordea Liv '!C107+'Oslo Pensjonsforsikring'!C107+'Protector Forsikring'!C107+'SHB Liv'!C107+'Sparebank 1'!C107+'Storebrand Livsforsikring'!C107+'Telenor Forsikring'!C107+'Tryg Forsikring'!C107+'WaterCircles F'!C107+'Codan Forsikring'!C107+'Euro Accident'!C107</f>
        <v>4516336.5240000002</v>
      </c>
      <c r="D107" s="23">
        <f>IF(B107=0, "    ---- ", IF(ABS(ROUND(100/B107*C107-100,1))&lt;999,ROUND(100/B107*C107-100,1),IF(ROUND(100/B107*C107-100,1)&gt;999,999,-999)))</f>
        <v>1.6</v>
      </c>
      <c r="E107" s="44">
        <f>'Fremtind Livsforsikring'!F107+'Danica Pensjonsforsikring'!F107+'DNB Livsforsikring'!F107+'Eika Forsikring AS'!F107+'Frende Livsforsikring'!F107+'Frende Skadeforsikring'!F107+'Gjensidige Forsikring'!F107+'Gjensidige Pensjon'!F107+'Handelsbanken Liv'!F107+'If Skadeforsikring NUF'!F107+KLP!F107+'DNB Bedriftspensjon'!F107+'KLP Skadeforsikring AS'!F107+'Landkreditt Forsikring'!F107+Insr!F107+'Nordea Liv '!F107+'Oslo Pensjonsforsikring'!F107+'Protector Forsikring'!F107+'SHB Liv'!F107+'Sparebank 1'!F107+'Storebrand Livsforsikring'!F107+'Telenor Forsikring'!F107+'Tryg Forsikring'!F107+'WaterCircles F'!F107+'Codan Forsikring'!F107+'Euro Accident'!F107</f>
        <v>1029451.05366</v>
      </c>
      <c r="F107" s="44">
        <f>'Fremtind Livsforsikring'!G107+'Danica Pensjonsforsikring'!G107+'DNB Livsforsikring'!G107+'Eika Forsikring AS'!G107+'Frende Livsforsikring'!G107+'Frende Skadeforsikring'!G107+'Gjensidige Forsikring'!G107+'Gjensidige Pensjon'!G107+'Handelsbanken Liv'!G107+'If Skadeforsikring NUF'!G107+KLP!G107+'DNB Bedriftspensjon'!G107+'KLP Skadeforsikring AS'!G107+'Landkreditt Forsikring'!G107+Insr!G107+'Nordea Liv '!G107+'Oslo Pensjonsforsikring'!G107+'Protector Forsikring'!G107+'SHB Liv'!G107+'Sparebank 1'!G107+'Storebrand Livsforsikring'!G107+'Telenor Forsikring'!G107+'Tryg Forsikring'!G107+'WaterCircles F'!G107+'Codan Forsikring'!G107+'Euro Accident'!G107</f>
        <v>961849.31140999985</v>
      </c>
      <c r="G107" s="165">
        <f t="shared" si="13"/>
        <v>-6.6</v>
      </c>
      <c r="H107" s="235">
        <f t="shared" si="16"/>
        <v>5475660.4766600002</v>
      </c>
      <c r="I107" s="235">
        <f t="shared" si="17"/>
        <v>5478185.8354099998</v>
      </c>
      <c r="J107" s="23">
        <f t="shared" si="12"/>
        <v>0</v>
      </c>
    </row>
    <row r="108" spans="1:12" ht="15.75" customHeight="1" x14ac:dyDescent="0.25">
      <c r="A108" s="21" t="s">
        <v>463</v>
      </c>
      <c r="B108" s="232">
        <f>'Fremtind Livsforsikring'!B108+'Danica Pensjonsforsikring'!B108+'DNB Livsforsikring'!B108+'Eika Forsikring AS'!B108+'Frende Livsforsikring'!B108+'Frende Skadeforsikring'!B108+'Gjensidige Forsikring'!B108+'Gjensidige Pensjon'!B108+'Handelsbanken Liv'!B108+'If Skadeforsikring NUF'!B108+KLP!B108+'DNB Bedriftspensjon'!B108+'KLP Skadeforsikring AS'!B108+'Landkreditt Forsikring'!B108+Insr!B108+'Nordea Liv '!B108+'Oslo Pensjonsforsikring'!B108+'Protector Forsikring'!B108+'SHB Liv'!B108+'Sparebank 1'!B108+'Storebrand Livsforsikring'!B108+'Telenor Forsikring'!B108+'Tryg Forsikring'!B108+'WaterCircles F'!B108+'Codan Forsikring'!B108+'Euro Accident'!B108</f>
        <v>326729292.09174198</v>
      </c>
      <c r="C108" s="232">
        <f>'Fremtind Livsforsikring'!C108+'Danica Pensjonsforsikring'!C108+'DNB Livsforsikring'!C108+'Eika Forsikring AS'!C108+'Frende Livsforsikring'!C108+'Frende Skadeforsikring'!C108+'Gjensidige Forsikring'!C108+'Gjensidige Pensjon'!C108+'Handelsbanken Liv'!C108+'If Skadeforsikring NUF'!C108+KLP!C108+'DNB Bedriftspensjon'!C108+'KLP Skadeforsikring AS'!C108+'Landkreditt Forsikring'!C108+Insr!C108+'Nordea Liv '!C108+'Oslo Pensjonsforsikring'!C108+'Protector Forsikring'!C108+'SHB Liv'!C108+'Sparebank 1'!C108+'Storebrand Livsforsikring'!C108+'Telenor Forsikring'!C108+'Tryg Forsikring'!C108+'WaterCircles F'!C108+'Codan Forsikring'!C108+'Euro Accident'!C108</f>
        <v>336387952.71446502</v>
      </c>
      <c r="D108" s="23">
        <f>IF(B108=0, "    ---- ", IF(ABS(ROUND(100/B108*C108-100,1))&lt;999,ROUND(100/B108*C108-100,1),IF(ROUND(100/B108*C108-100,1)&gt;999,999,-999)))</f>
        <v>3</v>
      </c>
      <c r="E108" s="44">
        <f>'Fremtind Livsforsikring'!F108+'Danica Pensjonsforsikring'!F108+'DNB Livsforsikring'!F108+'Eika Forsikring AS'!F108+'Frende Livsforsikring'!F108+'Frende Skadeforsikring'!F108+'Gjensidige Forsikring'!F108+'Gjensidige Pensjon'!F108+'Handelsbanken Liv'!F108+'If Skadeforsikring NUF'!F108+KLP!F108+'DNB Bedriftspensjon'!F108+'KLP Skadeforsikring AS'!F108+'Landkreditt Forsikring'!F108+Insr!F108+'Nordea Liv '!F108+'Oslo Pensjonsforsikring'!F108+'Protector Forsikring'!F108+'SHB Liv'!F108+'Sparebank 1'!F108+'Storebrand Livsforsikring'!F108+'Telenor Forsikring'!F108+'Tryg Forsikring'!F108+'WaterCircles F'!F108+'Codan Forsikring'!F108+'Euro Accident'!F108</f>
        <v>18656640.268999998</v>
      </c>
      <c r="F108" s="44">
        <f>'Fremtind Livsforsikring'!G108+'Danica Pensjonsforsikring'!G108+'DNB Livsforsikring'!G108+'Eika Forsikring AS'!G108+'Frende Livsforsikring'!G108+'Frende Skadeforsikring'!G108+'Gjensidige Forsikring'!G108+'Gjensidige Pensjon'!G108+'Handelsbanken Liv'!G108+'If Skadeforsikring NUF'!G108+KLP!G108+'DNB Bedriftspensjon'!G108+'KLP Skadeforsikring AS'!G108+'Landkreditt Forsikring'!G108+Insr!G108+'Nordea Liv '!G108+'Oslo Pensjonsforsikring'!G108+'Protector Forsikring'!G108+'SHB Liv'!G108+'Sparebank 1'!G108+'Storebrand Livsforsikring'!G108+'Telenor Forsikring'!G108+'Tryg Forsikring'!G108+'WaterCircles F'!G108+'Codan Forsikring'!G108+'Euro Accident'!G108</f>
        <v>21054265.138</v>
      </c>
      <c r="G108" s="165">
        <f t="shared" si="13"/>
        <v>12.9</v>
      </c>
      <c r="H108" s="235">
        <f t="shared" si="16"/>
        <v>345385932.36074197</v>
      </c>
      <c r="I108" s="235">
        <f t="shared" si="17"/>
        <v>357442217.85246503</v>
      </c>
      <c r="J108" s="23">
        <f t="shared" si="12"/>
        <v>3.5</v>
      </c>
    </row>
    <row r="109" spans="1:12" ht="15.75" customHeight="1" x14ac:dyDescent="0.25">
      <c r="A109" s="21" t="s">
        <v>510</v>
      </c>
      <c r="B109" s="232">
        <f>'Fremtind Livsforsikring'!B109+'Danica Pensjonsforsikring'!B109+'DNB Livsforsikring'!B109+'Eika Forsikring AS'!B109+'Frende Livsforsikring'!B109+'Frende Skadeforsikring'!B109+'Gjensidige Forsikring'!B109+'Gjensidige Pensjon'!B109+'Handelsbanken Liv'!B109+'If Skadeforsikring NUF'!B109+KLP!B109+'DNB Bedriftspensjon'!B109+'KLP Skadeforsikring AS'!B109+'Landkreditt Forsikring'!B109+Insr!B109+'Nordea Liv '!B109+'Oslo Pensjonsforsikring'!B109+'Protector Forsikring'!B109+'SHB Liv'!B109+'Sparebank 1'!B109+'Storebrand Livsforsikring'!B109+'Telenor Forsikring'!B109+'Tryg Forsikring'!B109+'WaterCircles F'!B109+'Codan Forsikring'!B109+'Euro Accident'!B109</f>
        <v>1082817.6289900001</v>
      </c>
      <c r="C109" s="232">
        <f>'Fremtind Livsforsikring'!C109+'Danica Pensjonsforsikring'!C109+'DNB Livsforsikring'!C109+'Eika Forsikring AS'!C109+'Frende Livsforsikring'!C109+'Frende Skadeforsikring'!C109+'Gjensidige Forsikring'!C109+'Gjensidige Pensjon'!C109+'Handelsbanken Liv'!C109+'If Skadeforsikring NUF'!C109+KLP!C109+'DNB Bedriftspensjon'!C109+'KLP Skadeforsikring AS'!C109+'Landkreditt Forsikring'!C109+Insr!C109+'Nordea Liv '!C109+'Oslo Pensjonsforsikring'!C109+'Protector Forsikring'!C109+'SHB Liv'!C109+'Sparebank 1'!C109+'Storebrand Livsforsikring'!C109+'Telenor Forsikring'!C109+'Tryg Forsikring'!C109+'WaterCircles F'!C109+'Codan Forsikring'!C109+'Euro Accident'!C109</f>
        <v>1649708.3853500001</v>
      </c>
      <c r="D109" s="23">
        <f>IF(B109=0, "    ---- ", IF(ABS(ROUND(100/B109*C109-100,1))&lt;999,ROUND(100/B109*C109-100,1),IF(ROUND(100/B109*C109-100,1)&gt;999,999,-999)))</f>
        <v>52.4</v>
      </c>
      <c r="E109" s="44">
        <f>'Fremtind Livsforsikring'!F109+'Danica Pensjonsforsikring'!F109+'DNB Livsforsikring'!F109+'Eika Forsikring AS'!F109+'Frende Livsforsikring'!F109+'Frende Skadeforsikring'!F109+'Gjensidige Forsikring'!F109+'Gjensidige Pensjon'!F109+'Handelsbanken Liv'!F109+'If Skadeforsikring NUF'!F109+KLP!F109+'DNB Bedriftspensjon'!F109+'KLP Skadeforsikring AS'!F109+'Landkreditt Forsikring'!F109+Insr!F109+'Nordea Liv '!F109+'Oslo Pensjonsforsikring'!F109+'Protector Forsikring'!F109+'SHB Liv'!F109+'Sparebank 1'!F109+'Storebrand Livsforsikring'!F109+'Telenor Forsikring'!F109+'Tryg Forsikring'!F109+'WaterCircles F'!F109+'Codan Forsikring'!F109+'Euro Accident'!F109</f>
        <v>130043288.53388003</v>
      </c>
      <c r="F109" s="44">
        <f>'Fremtind Livsforsikring'!G109+'Danica Pensjonsforsikring'!G109+'DNB Livsforsikring'!G109+'Eika Forsikring AS'!G109+'Frende Livsforsikring'!G109+'Frende Skadeforsikring'!G109+'Gjensidige Forsikring'!G109+'Gjensidige Pensjon'!G109+'Handelsbanken Liv'!G109+'If Skadeforsikring NUF'!G109+KLP!G109+'DNB Bedriftspensjon'!G109+'KLP Skadeforsikring AS'!G109+'Landkreditt Forsikring'!G109+Insr!G109+'Nordea Liv '!G109+'Oslo Pensjonsforsikring'!G109+'Protector Forsikring'!G109+'SHB Liv'!G109+'Sparebank 1'!G109+'Storebrand Livsforsikring'!G109+'Telenor Forsikring'!G109+'Tryg Forsikring'!G109+'WaterCircles F'!G109+'Codan Forsikring'!G109+'Euro Accident'!G109</f>
        <v>155285126.70300001</v>
      </c>
      <c r="G109" s="165">
        <f t="shared" si="13"/>
        <v>19.399999999999999</v>
      </c>
      <c r="H109" s="235">
        <f t="shared" si="16"/>
        <v>131126106.16287002</v>
      </c>
      <c r="I109" s="235">
        <f t="shared" si="17"/>
        <v>156934835.08835</v>
      </c>
      <c r="J109" s="23">
        <f t="shared" si="12"/>
        <v>19.7</v>
      </c>
      <c r="L109" s="3"/>
    </row>
    <row r="110" spans="1:12" ht="15.75" customHeight="1" x14ac:dyDescent="0.25">
      <c r="A110" s="21" t="s">
        <v>464</v>
      </c>
      <c r="B110" s="232">
        <f>'Fremtind Livsforsikring'!B110+'Danica Pensjonsforsikring'!B110+'DNB Livsforsikring'!B110+'Eika Forsikring AS'!B110+'Frende Livsforsikring'!B110+'Frende Skadeforsikring'!B110+'Gjensidige Forsikring'!B110+'Gjensidige Pensjon'!B110+'Handelsbanken Liv'!B110+'If Skadeforsikring NUF'!B110+KLP!B110+'DNB Bedriftspensjon'!B110+'KLP Skadeforsikring AS'!B110+'Landkreditt Forsikring'!B110+Insr!B110+'Nordea Liv '!B110+'Oslo Pensjonsforsikring'!B110+'Protector Forsikring'!B110+'SHB Liv'!B110+'Sparebank 1'!B110+'Storebrand Livsforsikring'!B110+'Telenor Forsikring'!B110+'Tryg Forsikring'!B110+'WaterCircles F'!B110+'Codan Forsikring'!B110+'Euro Accident'!B110</f>
        <v>473031.61564999999</v>
      </c>
      <c r="C110" s="232">
        <f>'Fremtind Livsforsikring'!C110+'Danica Pensjonsforsikring'!C110+'DNB Livsforsikring'!C110+'Eika Forsikring AS'!C110+'Frende Livsforsikring'!C110+'Frende Skadeforsikring'!C110+'Gjensidige Forsikring'!C110+'Gjensidige Pensjon'!C110+'Handelsbanken Liv'!C110+'If Skadeforsikring NUF'!C110+KLP!C110+'DNB Bedriftspensjon'!C110+'KLP Skadeforsikring AS'!C110+'Landkreditt Forsikring'!C110+Insr!C110+'Nordea Liv '!C110+'Oslo Pensjonsforsikring'!C110+'Protector Forsikring'!C110+'SHB Liv'!C110+'Sparebank 1'!C110+'Storebrand Livsforsikring'!C110+'Telenor Forsikring'!C110+'Tryg Forsikring'!C110+'WaterCircles F'!C110+'Codan Forsikring'!C110+'Euro Accident'!C110</f>
        <v>904206.54885000002</v>
      </c>
      <c r="D110" s="23">
        <f>IF(B110=0, "    ---- ", IF(ABS(ROUND(100/B110*C110-100,1))&lt;999,ROUND(100/B110*C110-100,1),IF(ROUND(100/B110*C110-100,1)&gt;999,999,-999)))</f>
        <v>91.2</v>
      </c>
      <c r="E110" s="44">
        <f>'Fremtind Livsforsikring'!F110+'Danica Pensjonsforsikring'!F110+'DNB Livsforsikring'!F110+'Eika Forsikring AS'!F110+'Frende Livsforsikring'!F110+'Frende Skadeforsikring'!F110+'Gjensidige Forsikring'!F110+'Gjensidige Pensjon'!F110+'Handelsbanken Liv'!F110+'If Skadeforsikring NUF'!F110+KLP!F110+'DNB Bedriftspensjon'!F110+'KLP Skadeforsikring AS'!F110+'Landkreditt Forsikring'!F110+Insr!F110+'Nordea Liv '!F110+'Oslo Pensjonsforsikring'!F110+'Protector Forsikring'!F110+'SHB Liv'!F110+'Sparebank 1'!F110+'Storebrand Livsforsikring'!F110+'Telenor Forsikring'!F110+'Tryg Forsikring'!F110+'WaterCircles F'!F110+'Codan Forsikring'!F110+'Euro Accident'!F110</f>
        <v>0</v>
      </c>
      <c r="F110" s="44">
        <f>'Fremtind Livsforsikring'!G110+'Danica Pensjonsforsikring'!G110+'DNB Livsforsikring'!G110+'Eika Forsikring AS'!G110+'Frende Livsforsikring'!G110+'Frende Skadeforsikring'!G110+'Gjensidige Forsikring'!G110+'Gjensidige Pensjon'!G110+'Handelsbanken Liv'!G110+'If Skadeforsikring NUF'!G110+KLP!G110+'DNB Bedriftspensjon'!G110+'KLP Skadeforsikring AS'!G110+'Landkreditt Forsikring'!G110+Insr!G110+'Nordea Liv '!G110+'Oslo Pensjonsforsikring'!G110+'Protector Forsikring'!G110+'SHB Liv'!G110+'Sparebank 1'!G110+'Storebrand Livsforsikring'!G110+'Telenor Forsikring'!G110+'Tryg Forsikring'!G110+'WaterCircles F'!G110+'Codan Forsikring'!G110+'Euro Accident'!G110</f>
        <v>0</v>
      </c>
      <c r="G110" s="165"/>
      <c r="H110" s="235">
        <f t="shared" si="16"/>
        <v>473031.61564999999</v>
      </c>
      <c r="I110" s="235">
        <f t="shared" si="17"/>
        <v>904206.54885000002</v>
      </c>
      <c r="J110" s="23">
        <f t="shared" si="12"/>
        <v>91.2</v>
      </c>
    </row>
    <row r="111" spans="1:12" s="43" customFormat="1" ht="15.75" customHeight="1" x14ac:dyDescent="0.25">
      <c r="A111" s="13" t="s">
        <v>445</v>
      </c>
      <c r="B111" s="305">
        <f>'Fremtind Livsforsikring'!B111+'Danica Pensjonsforsikring'!B111+'DNB Livsforsikring'!B111+'Eika Forsikring AS'!B111+'Frende Livsforsikring'!B111+'Frende Skadeforsikring'!B111+'Gjensidige Forsikring'!B111+'Gjensidige Pensjon'!B111+'Handelsbanken Liv'!B111+'If Skadeforsikring NUF'!B111+KLP!B111+'DNB Bedriftspensjon'!B111+'KLP Skadeforsikring AS'!B111+'Landkreditt Forsikring'!B111+Insr!B111+'Nordea Liv '!B111+'Oslo Pensjonsforsikring'!B111+'Protector Forsikring'!B111+'SHB Liv'!B111+'Sparebank 1'!B111+'Storebrand Livsforsikring'!B111+'Telenor Forsikring'!B111+'Tryg Forsikring'!B111+'WaterCircles F'!B111+'Codan Forsikring'!B111+'Euro Accident'!B111</f>
        <v>921726.4257100001</v>
      </c>
      <c r="C111" s="305">
        <f>'Fremtind Livsforsikring'!C111+'Danica Pensjonsforsikring'!C111+'DNB Livsforsikring'!C111+'Eika Forsikring AS'!C111+'Frende Livsforsikring'!C111+'Frende Skadeforsikring'!C111+'Gjensidige Forsikring'!C111+'Gjensidige Pensjon'!C111+'Handelsbanken Liv'!C111+'If Skadeforsikring NUF'!C111+KLP!C111+'DNB Bedriftspensjon'!C111+'KLP Skadeforsikring AS'!C111+'Landkreditt Forsikring'!C111+Insr!C111+'Nordea Liv '!C111+'Oslo Pensjonsforsikring'!C111+'Protector Forsikring'!C111+'SHB Liv'!C111+'Sparebank 1'!C111+'Storebrand Livsforsikring'!C111+'Telenor Forsikring'!C111+'Tryg Forsikring'!C111+'WaterCircles F'!C111+'Codan Forsikring'!C111+'Euro Accident'!C111</f>
        <v>567894.66876000003</v>
      </c>
      <c r="D111" s="24">
        <f>IF(B111=0, "    ---- ", IF(ABS(ROUND(100/B111*C111-100,1))&lt;999,ROUND(100/B111*C111-100,1),IF(ROUND(100/B111*C111-100,1)&gt;999,999,-999)))</f>
        <v>-38.4</v>
      </c>
      <c r="E111" s="234">
        <f>'Fremtind Livsforsikring'!F111+'Danica Pensjonsforsikring'!F111+'DNB Livsforsikring'!F111+'Eika Forsikring AS'!F111+'Frende Livsforsikring'!F111+'Frende Skadeforsikring'!F111+'Gjensidige Forsikring'!F111+'Gjensidige Pensjon'!F111+'Handelsbanken Liv'!F111+'If Skadeforsikring NUF'!F111+KLP!F111+'DNB Bedriftspensjon'!F111+'KLP Skadeforsikring AS'!F111+'Landkreditt Forsikring'!F111+Insr!F111+'Nordea Liv '!F111+'Oslo Pensjonsforsikring'!F111+'Protector Forsikring'!F111+'SHB Liv'!F111+'Sparebank 1'!F111+'Storebrand Livsforsikring'!F111+'Telenor Forsikring'!F111+'Tryg Forsikring'!F111+'WaterCircles F'!F111+'Codan Forsikring'!F111+'Euro Accident'!F111</f>
        <v>22207414.858020004</v>
      </c>
      <c r="F111" s="234">
        <f>'Fremtind Livsforsikring'!G111+'Danica Pensjonsforsikring'!G111+'DNB Livsforsikring'!G111+'Eika Forsikring AS'!G111+'Frende Livsforsikring'!G111+'Frende Skadeforsikring'!G111+'Gjensidige Forsikring'!G111+'Gjensidige Pensjon'!G111+'Handelsbanken Liv'!G111+'If Skadeforsikring NUF'!G111+KLP!G111+'DNB Bedriftspensjon'!G111+'KLP Skadeforsikring AS'!G111+'Landkreditt Forsikring'!G111+Insr!G111+'Nordea Liv '!G111+'Oslo Pensjonsforsikring'!G111+'Protector Forsikring'!G111+'SHB Liv'!G111+'Sparebank 1'!G111+'Storebrand Livsforsikring'!G111+'Telenor Forsikring'!G111+'Tryg Forsikring'!G111+'WaterCircles F'!G111+'Codan Forsikring'!G111+'Euro Accident'!G111</f>
        <v>84204706.359149992</v>
      </c>
      <c r="G111" s="170">
        <f t="shared" si="13"/>
        <v>279.2</v>
      </c>
      <c r="H111" s="325">
        <f t="shared" si="16"/>
        <v>23129141.283730004</v>
      </c>
      <c r="I111" s="325">
        <f t="shared" si="17"/>
        <v>84772601.027909994</v>
      </c>
      <c r="J111" s="24">
        <f t="shared" si="12"/>
        <v>266.5</v>
      </c>
    </row>
    <row r="112" spans="1:12" ht="15.75" customHeight="1" x14ac:dyDescent="0.25">
      <c r="A112" s="21" t="s">
        <v>9</v>
      </c>
      <c r="B112" s="232">
        <f>'Fremtind Livsforsikring'!B112+'Danica Pensjonsforsikring'!B112+'DNB Livsforsikring'!B112+'Eika Forsikring AS'!B112+'Frende Livsforsikring'!B112+'Frende Skadeforsikring'!B112+'Gjensidige Forsikring'!B112+'Gjensidige Pensjon'!B112+'Handelsbanken Liv'!B112+'If Skadeforsikring NUF'!B112+KLP!B112+'DNB Bedriftspensjon'!B112+'KLP Skadeforsikring AS'!B112+'Landkreditt Forsikring'!B112+Insr!B112+'Nordea Liv '!B112+'Oslo Pensjonsforsikring'!B112+'Protector Forsikring'!B112+'SHB Liv'!B112+'Sparebank 1'!B112+'Storebrand Livsforsikring'!B112+'Telenor Forsikring'!B112+'Tryg Forsikring'!B112+'WaterCircles F'!B112+'Codan Forsikring'!B112+'Euro Accident'!B112</f>
        <v>480017.58941000002</v>
      </c>
      <c r="C112" s="232">
        <f>'Fremtind Livsforsikring'!C112+'Danica Pensjonsforsikring'!C112+'DNB Livsforsikring'!C112+'Eika Forsikring AS'!C112+'Frende Livsforsikring'!C112+'Frende Skadeforsikring'!C112+'Gjensidige Forsikring'!C112+'Gjensidige Pensjon'!C112+'Handelsbanken Liv'!C112+'If Skadeforsikring NUF'!C112+KLP!C112+'DNB Bedriftspensjon'!C112+'KLP Skadeforsikring AS'!C112+'Landkreditt Forsikring'!C112+Insr!C112+'Nordea Liv '!C112+'Oslo Pensjonsforsikring'!C112+'Protector Forsikring'!C112+'SHB Liv'!C112+'Sparebank 1'!C112+'Storebrand Livsforsikring'!C112+'Telenor Forsikring'!C112+'Tryg Forsikring'!C112+'WaterCircles F'!C112+'Codan Forsikring'!C112+'Euro Accident'!C112</f>
        <v>441955.22438999999</v>
      </c>
      <c r="D112" s="23">
        <f t="shared" ref="D112:D125" si="20">IF(B112=0, "    ---- ", IF(ABS(ROUND(100/B112*C112-100,1))&lt;999,ROUND(100/B112*C112-100,1),IF(ROUND(100/B112*C112-100,1)&gt;999,999,-999)))</f>
        <v>-7.9</v>
      </c>
      <c r="E112" s="44">
        <f>'Fremtind Livsforsikring'!F112+'Danica Pensjonsforsikring'!F112+'DNB Livsforsikring'!F112+'Eika Forsikring AS'!F112+'Frende Livsforsikring'!F112+'Frende Skadeforsikring'!F112+'Gjensidige Forsikring'!F112+'Gjensidige Pensjon'!F112+'Handelsbanken Liv'!F112+'If Skadeforsikring NUF'!F112+KLP!F112+'DNB Bedriftspensjon'!F112+'KLP Skadeforsikring AS'!F112+'Landkreditt Forsikring'!F112+Insr!F112+'Nordea Liv '!F112+'Oslo Pensjonsforsikring'!F112+'Protector Forsikring'!F112+'SHB Liv'!F112+'Sparebank 1'!F112+'Storebrand Livsforsikring'!F112+'Telenor Forsikring'!F112+'Tryg Forsikring'!F112+'WaterCircles F'!F112+'Codan Forsikring'!F112+'Euro Accident'!F112</f>
        <v>19099.904999999999</v>
      </c>
      <c r="F112" s="44">
        <f>'Fremtind Livsforsikring'!G112+'Danica Pensjonsforsikring'!G112+'DNB Livsforsikring'!G112+'Eika Forsikring AS'!G112+'Frende Livsforsikring'!G112+'Frende Skadeforsikring'!G112+'Gjensidige Forsikring'!G112+'Gjensidige Pensjon'!G112+'Handelsbanken Liv'!G112+'If Skadeforsikring NUF'!G112+KLP!G112+'DNB Bedriftspensjon'!G112+'KLP Skadeforsikring AS'!G112+'Landkreditt Forsikring'!G112+Insr!G112+'Nordea Liv '!G112+'Oslo Pensjonsforsikring'!G112+'Protector Forsikring'!G112+'SHB Liv'!G112+'Sparebank 1'!G112+'Storebrand Livsforsikring'!G112+'Telenor Forsikring'!G112+'Tryg Forsikring'!G112+'WaterCircles F'!G112+'Codan Forsikring'!G112+'Euro Accident'!G112</f>
        <v>11434.885</v>
      </c>
      <c r="G112" s="165">
        <f t="shared" si="13"/>
        <v>-40.1</v>
      </c>
      <c r="H112" s="235">
        <f t="shared" ref="H112:H126" si="21">SUM(B112,E112)</f>
        <v>499117.49441000004</v>
      </c>
      <c r="I112" s="235">
        <f t="shared" ref="I112:I126" si="22">SUM(C112,F112)</f>
        <v>453390.10939</v>
      </c>
      <c r="J112" s="23">
        <f t="shared" ref="J112:J125" si="23">IF(H112=0, "    ---- ", IF(ABS(ROUND(100/H112*I112-100,1))&lt;999,ROUND(100/H112*I112-100,1),IF(ROUND(100/H112*I112-100,1)&gt;999,999,-999)))</f>
        <v>-9.1999999999999993</v>
      </c>
    </row>
    <row r="113" spans="1:10" ht="15.75" customHeight="1" x14ac:dyDescent="0.25">
      <c r="A113" s="21" t="s">
        <v>10</v>
      </c>
      <c r="B113" s="232">
        <f>'Fremtind Livsforsikring'!B113+'Danica Pensjonsforsikring'!B113+'DNB Livsforsikring'!B113+'Eika Forsikring AS'!B113+'Frende Livsforsikring'!B113+'Frende Skadeforsikring'!B113+'Gjensidige Forsikring'!B113+'Gjensidige Pensjon'!B113+'Handelsbanken Liv'!B113+'If Skadeforsikring NUF'!B113+KLP!B113+'DNB Bedriftspensjon'!B113+'KLP Skadeforsikring AS'!B113+'Landkreditt Forsikring'!B113+Insr!B113+'Nordea Liv '!B113+'Oslo Pensjonsforsikring'!B113+'Protector Forsikring'!B113+'SHB Liv'!B113+'Sparebank 1'!B113+'Storebrand Livsforsikring'!B113+'Telenor Forsikring'!B113+'Tryg Forsikring'!B113+'WaterCircles F'!B113+'Codan Forsikring'!B113+'Euro Accident'!B113</f>
        <v>5095.6072700000004</v>
      </c>
      <c r="C113" s="232">
        <f>'Fremtind Livsforsikring'!C113+'Danica Pensjonsforsikring'!C113+'DNB Livsforsikring'!C113+'Eika Forsikring AS'!C113+'Frende Livsforsikring'!C113+'Frende Skadeforsikring'!C113+'Gjensidige Forsikring'!C113+'Gjensidige Pensjon'!C113+'Handelsbanken Liv'!C113+'If Skadeforsikring NUF'!C113+KLP!C113+'DNB Bedriftspensjon'!C113+'KLP Skadeforsikring AS'!C113+'Landkreditt Forsikring'!C113+Insr!C113+'Nordea Liv '!C113+'Oslo Pensjonsforsikring'!C113+'Protector Forsikring'!C113+'SHB Liv'!C113+'Sparebank 1'!C113+'Storebrand Livsforsikring'!C113+'Telenor Forsikring'!C113+'Tryg Forsikring'!C113+'WaterCircles F'!C113+'Codan Forsikring'!C113+'Euro Accident'!C113</f>
        <v>249.36847</v>
      </c>
      <c r="D113" s="23">
        <f t="shared" si="20"/>
        <v>-95.1</v>
      </c>
      <c r="E113" s="44">
        <f>'Fremtind Livsforsikring'!F113+'Danica Pensjonsforsikring'!F113+'DNB Livsforsikring'!F113+'Eika Forsikring AS'!F113+'Frende Livsforsikring'!F113+'Frende Skadeforsikring'!F113+'Gjensidige Forsikring'!F113+'Gjensidige Pensjon'!F113+'Handelsbanken Liv'!F113+'If Skadeforsikring NUF'!F113+KLP!F113+'DNB Bedriftspensjon'!F113+'KLP Skadeforsikring AS'!F113+'Landkreditt Forsikring'!F113+Insr!F113+'Nordea Liv '!F113+'Oslo Pensjonsforsikring'!F113+'Protector Forsikring'!F113+'SHB Liv'!F113+'Sparebank 1'!F113+'Storebrand Livsforsikring'!F113+'Telenor Forsikring'!F113+'Tryg Forsikring'!F113+'WaterCircles F'!F113+'Codan Forsikring'!F113+'Euro Accident'!F113</f>
        <v>22119367.76602</v>
      </c>
      <c r="F113" s="44">
        <f>'Fremtind Livsforsikring'!G113+'Danica Pensjonsforsikring'!G113+'DNB Livsforsikring'!G113+'Eika Forsikring AS'!G113+'Frende Livsforsikring'!G113+'Frende Skadeforsikring'!G113+'Gjensidige Forsikring'!G113+'Gjensidige Pensjon'!G113+'Handelsbanken Liv'!G113+'If Skadeforsikring NUF'!G113+KLP!G113+'DNB Bedriftspensjon'!G113+'KLP Skadeforsikring AS'!G113+'Landkreditt Forsikring'!G113+Insr!G113+'Nordea Liv '!G113+'Oslo Pensjonsforsikring'!G113+'Protector Forsikring'!G113+'SHB Liv'!G113+'Sparebank 1'!G113+'Storebrand Livsforsikring'!G113+'Telenor Forsikring'!G113+'Tryg Forsikring'!G113+'WaterCircles F'!G113+'Codan Forsikring'!G113+'Euro Accident'!G113</f>
        <v>84193271.474150002</v>
      </c>
      <c r="G113" s="170">
        <f t="shared" si="13"/>
        <v>280.60000000000002</v>
      </c>
      <c r="H113" s="235">
        <f t="shared" si="21"/>
        <v>22124463.373289999</v>
      </c>
      <c r="I113" s="235">
        <f t="shared" si="22"/>
        <v>84193520.84262</v>
      </c>
      <c r="J113" s="24">
        <f t="shared" si="23"/>
        <v>280.5</v>
      </c>
    </row>
    <row r="114" spans="1:10" ht="15.75" customHeight="1" x14ac:dyDescent="0.25">
      <c r="A114" s="21" t="s">
        <v>26</v>
      </c>
      <c r="B114" s="232">
        <f>'Fremtind Livsforsikring'!B114+'Danica Pensjonsforsikring'!B114+'DNB Livsforsikring'!B114+'Eika Forsikring AS'!B114+'Frende Livsforsikring'!B114+'Frende Skadeforsikring'!B114+'Gjensidige Forsikring'!B114+'Gjensidige Pensjon'!B114+'Handelsbanken Liv'!B114+'If Skadeforsikring NUF'!B114+KLP!B114+'DNB Bedriftspensjon'!B114+'KLP Skadeforsikring AS'!B114+'Landkreditt Forsikring'!B114+Insr!B114+'Nordea Liv '!B114+'Oslo Pensjonsforsikring'!B114+'Protector Forsikring'!B114+'SHB Liv'!B114+'Sparebank 1'!B114+'Storebrand Livsforsikring'!B114+'Telenor Forsikring'!B114+'Tryg Forsikring'!B114+'WaterCircles F'!B114+'Codan Forsikring'!B114+'Euro Accident'!B114</f>
        <v>436613.22903000005</v>
      </c>
      <c r="C114" s="232">
        <f>'Fremtind Livsforsikring'!C114+'Danica Pensjonsforsikring'!C114+'DNB Livsforsikring'!C114+'Eika Forsikring AS'!C114+'Frende Livsforsikring'!C114+'Frende Skadeforsikring'!C114+'Gjensidige Forsikring'!C114+'Gjensidige Pensjon'!C114+'Handelsbanken Liv'!C114+'If Skadeforsikring NUF'!C114+KLP!C114+'DNB Bedriftspensjon'!C114+'KLP Skadeforsikring AS'!C114+'Landkreditt Forsikring'!C114+Insr!C114+'Nordea Liv '!C114+'Oslo Pensjonsforsikring'!C114+'Protector Forsikring'!C114+'SHB Liv'!C114+'Sparebank 1'!C114+'Storebrand Livsforsikring'!C114+'Telenor Forsikring'!C114+'Tryg Forsikring'!C114+'WaterCircles F'!C114+'Codan Forsikring'!C114+'Euro Accident'!C114</f>
        <v>125690.0759</v>
      </c>
      <c r="D114" s="23">
        <f t="shared" si="20"/>
        <v>-71.2</v>
      </c>
      <c r="E114" s="44">
        <f>'Fremtind Livsforsikring'!F114+'Danica Pensjonsforsikring'!F114+'DNB Livsforsikring'!F114+'Eika Forsikring AS'!F114+'Frende Livsforsikring'!F114+'Frende Skadeforsikring'!F114+'Gjensidige Forsikring'!F114+'Gjensidige Pensjon'!F114+'Handelsbanken Liv'!F114+'If Skadeforsikring NUF'!F114+KLP!F114+'DNB Bedriftspensjon'!F114+'KLP Skadeforsikring AS'!F114+'Landkreditt Forsikring'!F114+Insr!F114+'Nordea Liv '!F114+'Oslo Pensjonsforsikring'!F114+'Protector Forsikring'!F114+'SHB Liv'!F114+'Sparebank 1'!F114+'Storebrand Livsforsikring'!F114+'Telenor Forsikring'!F114+'Tryg Forsikring'!F114+'WaterCircles F'!F114+'Codan Forsikring'!F114+'Euro Accident'!F114</f>
        <v>68947.187000000005</v>
      </c>
      <c r="F114" s="44">
        <f>'Fremtind Livsforsikring'!G114+'Danica Pensjonsforsikring'!G114+'DNB Livsforsikring'!G114+'Eika Forsikring AS'!G114+'Frende Livsforsikring'!G114+'Frende Skadeforsikring'!G114+'Gjensidige Forsikring'!G114+'Gjensidige Pensjon'!G114+'Handelsbanken Liv'!G114+'If Skadeforsikring NUF'!G114+KLP!G114+'DNB Bedriftspensjon'!G114+'KLP Skadeforsikring AS'!G114+'Landkreditt Forsikring'!G114+Insr!G114+'Nordea Liv '!G114+'Oslo Pensjonsforsikring'!G114+'Protector Forsikring'!G114+'SHB Liv'!G114+'Sparebank 1'!G114+'Storebrand Livsforsikring'!G114+'Telenor Forsikring'!G114+'Tryg Forsikring'!G114+'WaterCircles F'!G114+'Codan Forsikring'!G114+'Euro Accident'!G114</f>
        <v>0</v>
      </c>
      <c r="G114" s="170">
        <f t="shared" si="13"/>
        <v>-100</v>
      </c>
      <c r="H114" s="235">
        <f t="shared" si="21"/>
        <v>505560.41603000008</v>
      </c>
      <c r="I114" s="235">
        <f t="shared" si="22"/>
        <v>125690.0759</v>
      </c>
      <c r="J114" s="24">
        <f t="shared" si="23"/>
        <v>-75.099999999999994</v>
      </c>
    </row>
    <row r="115" spans="1:10" ht="15.75" customHeight="1" x14ac:dyDescent="0.25">
      <c r="A115" s="293" t="s">
        <v>15</v>
      </c>
      <c r="B115" s="44">
        <f>'Fremtind Livsforsikring'!B115+'Danica Pensjonsforsikring'!B115+'DNB Livsforsikring'!B115+'Eika Forsikring AS'!B115+'Frende Livsforsikring'!B115+'Frende Skadeforsikring'!B115+'Gjensidige Forsikring'!B115+'Gjensidige Pensjon'!B115+'Handelsbanken Liv'!B115+'If Skadeforsikring NUF'!B115+KLP!B115+'DNB Bedriftspensjon'!B115+'KLP Skadeforsikring AS'!B115+'Landkreditt Forsikring'!B115+Insr!B115+'Nordea Liv '!B115+'Oslo Pensjonsforsikring'!B115+'Protector Forsikring'!B115+'SHB Liv'!B115+'Sparebank 1'!B115+'Storebrand Livsforsikring'!B115+'Telenor Forsikring'!B115+'Tryg Forsikring'!B115+'WaterCircles F'!B115+'Codan Forsikring'!B115+'Euro Accident'!B115</f>
        <v>0</v>
      </c>
      <c r="C115" s="44">
        <f>'Fremtind Livsforsikring'!C115+'Danica Pensjonsforsikring'!C115+'DNB Livsforsikring'!C115+'Eika Forsikring AS'!C115+'Frende Livsforsikring'!C115+'Frende Skadeforsikring'!C115+'Gjensidige Forsikring'!C115+'Gjensidige Pensjon'!C115+'Handelsbanken Liv'!C115+'If Skadeforsikring NUF'!C115+KLP!C115+'DNB Bedriftspensjon'!C115+'KLP Skadeforsikring AS'!C115+'Landkreditt Forsikring'!C115+Insr!C115+'Nordea Liv '!C115+'Oslo Pensjonsforsikring'!C115+'Protector Forsikring'!C115+'SHB Liv'!C115+'Sparebank 1'!C115+'Storebrand Livsforsikring'!C115+'Telenor Forsikring'!C115+'Tryg Forsikring'!C115+'WaterCircles F'!C115+'Codan Forsikring'!C115+'Euro Accident'!C115</f>
        <v>0</v>
      </c>
      <c r="D115" s="27"/>
      <c r="E115" s="44">
        <f>'Fremtind Livsforsikring'!F115+'Danica Pensjonsforsikring'!F115+'DNB Livsforsikring'!F115+'Eika Forsikring AS'!F115+'Frende Livsforsikring'!F115+'Frende Skadeforsikring'!F115+'Gjensidige Forsikring'!F115+'Gjensidige Pensjon'!F115+'Handelsbanken Liv'!F115+'If Skadeforsikring NUF'!F115+KLP!F115+'DNB Bedriftspensjon'!F115+'KLP Skadeforsikring AS'!F115+'Landkreditt Forsikring'!F115+Insr!F115+'Nordea Liv '!F115+'Oslo Pensjonsforsikring'!F115+'Protector Forsikring'!F115+'SHB Liv'!F115+'Sparebank 1'!F115+'Storebrand Livsforsikring'!F115+'Telenor Forsikring'!F115+'Tryg Forsikring'!F115+'WaterCircles F'!F115+'Codan Forsikring'!F115+'Euro Accident'!F115</f>
        <v>0</v>
      </c>
      <c r="F115" s="44">
        <f>'Fremtind Livsforsikring'!G115+'Danica Pensjonsforsikring'!G115+'DNB Livsforsikring'!G115+'Eika Forsikring AS'!G115+'Frende Livsforsikring'!G115+'Frende Skadeforsikring'!G115+'Gjensidige Forsikring'!G115+'Gjensidige Pensjon'!G115+'Handelsbanken Liv'!G115+'If Skadeforsikring NUF'!G115+KLP!G115+'DNB Bedriftspensjon'!G115+'KLP Skadeforsikring AS'!G115+'Landkreditt Forsikring'!G115+Insr!G115+'Nordea Liv '!G115+'Oslo Pensjonsforsikring'!G115+'Protector Forsikring'!G115+'SHB Liv'!G115+'Sparebank 1'!G115+'Storebrand Livsforsikring'!G115+'Telenor Forsikring'!G115+'Tryg Forsikring'!G115+'WaterCircles F'!G115+'Codan Forsikring'!G115+'Euro Accident'!G115</f>
        <v>0</v>
      </c>
      <c r="G115" s="165"/>
      <c r="H115" s="235">
        <f t="shared" si="21"/>
        <v>0</v>
      </c>
      <c r="I115" s="235">
        <f t="shared" si="22"/>
        <v>0</v>
      </c>
      <c r="J115" s="23"/>
    </row>
    <row r="116" spans="1:10" ht="15.75" customHeight="1" x14ac:dyDescent="0.25">
      <c r="A116" s="21" t="s">
        <v>465</v>
      </c>
      <c r="B116" s="232">
        <f>'Fremtind Livsforsikring'!B116+'Danica Pensjonsforsikring'!B116+'DNB Livsforsikring'!B116+'Eika Forsikring AS'!B116+'Frende Livsforsikring'!B116+'Frende Skadeforsikring'!B116+'Gjensidige Forsikring'!B116+'Gjensidige Pensjon'!B116+'Handelsbanken Liv'!B116+'If Skadeforsikring NUF'!B116+KLP!B116+'DNB Bedriftspensjon'!B116+'KLP Skadeforsikring AS'!B116+'Landkreditt Forsikring'!B116+Insr!B116+'Nordea Liv '!B116+'Oslo Pensjonsforsikring'!B116+'Protector Forsikring'!B116+'SHB Liv'!B116+'Sparebank 1'!B116+'Storebrand Livsforsikring'!B116+'Telenor Forsikring'!B116+'Tryg Forsikring'!B116+'WaterCircles F'!B116+'Codan Forsikring'!B116+'Euro Accident'!B116</f>
        <v>82891.969469999996</v>
      </c>
      <c r="C116" s="232">
        <f>'Fremtind Livsforsikring'!C116+'Danica Pensjonsforsikring'!C116+'DNB Livsforsikring'!C116+'Eika Forsikring AS'!C116+'Frende Livsforsikring'!C116+'Frende Skadeforsikring'!C116+'Gjensidige Forsikring'!C116+'Gjensidige Pensjon'!C116+'Handelsbanken Liv'!C116+'If Skadeforsikring NUF'!C116+KLP!C116+'DNB Bedriftspensjon'!C116+'KLP Skadeforsikring AS'!C116+'Landkreditt Forsikring'!C116+Insr!C116+'Nordea Liv '!C116+'Oslo Pensjonsforsikring'!C116+'Protector Forsikring'!C116+'SHB Liv'!C116+'Sparebank 1'!C116+'Storebrand Livsforsikring'!C116+'Telenor Forsikring'!C116+'Tryg Forsikring'!C116+'WaterCircles F'!C116+'Codan Forsikring'!C116+'Euro Accident'!C116</f>
        <v>116823.23986</v>
      </c>
      <c r="D116" s="23">
        <f t="shared" si="20"/>
        <v>40.9</v>
      </c>
      <c r="E116" s="44">
        <f>'Fremtind Livsforsikring'!F116+'Danica Pensjonsforsikring'!F116+'DNB Livsforsikring'!F116+'Eika Forsikring AS'!F116+'Frende Livsforsikring'!F116+'Frende Skadeforsikring'!F116+'Gjensidige Forsikring'!F116+'Gjensidige Pensjon'!F116+'Handelsbanken Liv'!F116+'If Skadeforsikring NUF'!F116+KLP!F116+'DNB Bedriftspensjon'!F116+'KLP Skadeforsikring AS'!F116+'Landkreditt Forsikring'!F116+Insr!F116+'Nordea Liv '!F116+'Oslo Pensjonsforsikring'!F116+'Protector Forsikring'!F116+'SHB Liv'!F116+'Sparebank 1'!F116+'Storebrand Livsforsikring'!F116+'Telenor Forsikring'!F116+'Tryg Forsikring'!F116+'WaterCircles F'!F116+'Codan Forsikring'!F116+'Euro Accident'!F116</f>
        <v>19099.904999999999</v>
      </c>
      <c r="F116" s="44">
        <f>'Fremtind Livsforsikring'!G116+'Danica Pensjonsforsikring'!G116+'DNB Livsforsikring'!G116+'Eika Forsikring AS'!G116+'Frende Livsforsikring'!G116+'Frende Skadeforsikring'!G116+'Gjensidige Forsikring'!G116+'Gjensidige Pensjon'!G116+'Handelsbanken Liv'!G116+'If Skadeforsikring NUF'!G116+KLP!G116+'DNB Bedriftspensjon'!G116+'KLP Skadeforsikring AS'!G116+'Landkreditt Forsikring'!G116+Insr!G116+'Nordea Liv '!G116+'Oslo Pensjonsforsikring'!G116+'Protector Forsikring'!G116+'SHB Liv'!G116+'Sparebank 1'!G116+'Storebrand Livsforsikring'!G116+'Telenor Forsikring'!G116+'Tryg Forsikring'!G116+'WaterCircles F'!G116+'Codan Forsikring'!G116+'Euro Accident'!G116</f>
        <v>11434.885</v>
      </c>
      <c r="G116" s="165">
        <f t="shared" si="13"/>
        <v>-40.1</v>
      </c>
      <c r="H116" s="235">
        <f t="shared" si="21"/>
        <v>101991.87447</v>
      </c>
      <c r="I116" s="235">
        <f t="shared" si="22"/>
        <v>128258.12486</v>
      </c>
      <c r="J116" s="23">
        <f t="shared" si="23"/>
        <v>25.8</v>
      </c>
    </row>
    <row r="117" spans="1:10" ht="15.75" customHeight="1" x14ac:dyDescent="0.25">
      <c r="A117" s="21" t="s">
        <v>510</v>
      </c>
      <c r="B117" s="232">
        <f>'Fremtind Livsforsikring'!B117+'Danica Pensjonsforsikring'!B117+'DNB Livsforsikring'!B117+'Eika Forsikring AS'!B117+'Frende Livsforsikring'!B117+'Frende Skadeforsikring'!B117+'Gjensidige Forsikring'!B117+'Gjensidige Pensjon'!B117+'Handelsbanken Liv'!B117+'If Skadeforsikring NUF'!B117+KLP!B117+'DNB Bedriftspensjon'!B117+'KLP Skadeforsikring AS'!B117+'Landkreditt Forsikring'!B117+Insr!B117+'Nordea Liv '!B117+'Oslo Pensjonsforsikring'!B117+'Protector Forsikring'!B117+'SHB Liv'!B117+'Sparebank 1'!B117+'Storebrand Livsforsikring'!B117+'Telenor Forsikring'!B117+'Tryg Forsikring'!B117+'WaterCircles F'!B117+'Codan Forsikring'!B117+'Euro Accident'!B117</f>
        <v>0</v>
      </c>
      <c r="C117" s="232">
        <f>'Fremtind Livsforsikring'!C117+'Danica Pensjonsforsikring'!C117+'DNB Livsforsikring'!C117+'Eika Forsikring AS'!C117+'Frende Livsforsikring'!C117+'Frende Skadeforsikring'!C117+'Gjensidige Forsikring'!C117+'Gjensidige Pensjon'!C117+'Handelsbanken Liv'!C117+'If Skadeforsikring NUF'!C117+KLP!C117+'DNB Bedriftspensjon'!C117+'KLP Skadeforsikring AS'!C117+'Landkreditt Forsikring'!C117+Insr!C117+'Nordea Liv '!C117+'Oslo Pensjonsforsikring'!C117+'Protector Forsikring'!C117+'SHB Liv'!C117+'Sparebank 1'!C117+'Storebrand Livsforsikring'!C117+'Telenor Forsikring'!C117+'Tryg Forsikring'!C117+'WaterCircles F'!C117+'Codan Forsikring'!C117+'Euro Accident'!C117</f>
        <v>0</v>
      </c>
      <c r="D117" s="23"/>
      <c r="E117" s="44">
        <f>'Fremtind Livsforsikring'!F117+'Danica Pensjonsforsikring'!F117+'DNB Livsforsikring'!F117+'Eika Forsikring AS'!F117+'Frende Livsforsikring'!F117+'Frende Skadeforsikring'!F117+'Gjensidige Forsikring'!F117+'Gjensidige Pensjon'!F117+'Handelsbanken Liv'!F117+'If Skadeforsikring NUF'!F117+KLP!F117+'DNB Bedriftspensjon'!F117+'KLP Skadeforsikring AS'!F117+'Landkreditt Forsikring'!F117+Insr!F117+'Nordea Liv '!F117+'Oslo Pensjonsforsikring'!F117+'Protector Forsikring'!F117+'SHB Liv'!F117+'Sparebank 1'!F117+'Storebrand Livsforsikring'!F117+'Telenor Forsikring'!F117+'Tryg Forsikring'!F117+'WaterCircles F'!F117+'Codan Forsikring'!F117+'Euro Accident'!F117</f>
        <v>4894317.5991599998</v>
      </c>
      <c r="F117" s="44">
        <f>'Fremtind Livsforsikring'!G117+'Danica Pensjonsforsikring'!G117+'DNB Livsforsikring'!G117+'Eika Forsikring AS'!G117+'Frende Livsforsikring'!G117+'Frende Skadeforsikring'!G117+'Gjensidige Forsikring'!G117+'Gjensidige Pensjon'!G117+'Handelsbanken Liv'!G117+'If Skadeforsikring NUF'!G117+KLP!G117+'DNB Bedriftspensjon'!G117+'KLP Skadeforsikring AS'!G117+'Landkreditt Forsikring'!G117+Insr!G117+'Nordea Liv '!G117+'Oslo Pensjonsforsikring'!G117+'Protector Forsikring'!G117+'SHB Liv'!G117+'Sparebank 1'!G117+'Storebrand Livsforsikring'!G117+'Telenor Forsikring'!G117+'Tryg Forsikring'!G117+'WaterCircles F'!G117+'Codan Forsikring'!G117+'Euro Accident'!G117</f>
        <v>69234490.974199995</v>
      </c>
      <c r="G117" s="165">
        <f t="shared" si="13"/>
        <v>999</v>
      </c>
      <c r="H117" s="235">
        <f t="shared" si="21"/>
        <v>4894317.5991599998</v>
      </c>
      <c r="I117" s="235">
        <f t="shared" si="22"/>
        <v>69234490.974199995</v>
      </c>
      <c r="J117" s="23">
        <f t="shared" si="23"/>
        <v>999</v>
      </c>
    </row>
    <row r="118" spans="1:10" ht="15.75" customHeight="1" x14ac:dyDescent="0.25">
      <c r="A118" s="21" t="s">
        <v>464</v>
      </c>
      <c r="B118" s="232">
        <f>'Fremtind Livsforsikring'!B118+'Danica Pensjonsforsikring'!B118+'DNB Livsforsikring'!B118+'Eika Forsikring AS'!B118+'Frende Livsforsikring'!B118+'Frende Skadeforsikring'!B118+'Gjensidige Forsikring'!B118+'Gjensidige Pensjon'!B118+'Handelsbanken Liv'!B118+'If Skadeforsikring NUF'!B118+KLP!B118+'DNB Bedriftspensjon'!B118+'KLP Skadeforsikring AS'!B118+'Landkreditt Forsikring'!B118+Insr!B118+'Nordea Liv '!B118+'Oslo Pensjonsforsikring'!B118+'Protector Forsikring'!B118+'SHB Liv'!B118+'Sparebank 1'!B118+'Storebrand Livsforsikring'!B118+'Telenor Forsikring'!B118+'Tryg Forsikring'!B118+'WaterCircles F'!B118+'Codan Forsikring'!B118+'Euro Accident'!B118</f>
        <v>0</v>
      </c>
      <c r="C118" s="232">
        <f>'Fremtind Livsforsikring'!C118+'Danica Pensjonsforsikring'!C118+'DNB Livsforsikring'!C118+'Eika Forsikring AS'!C118+'Frende Livsforsikring'!C118+'Frende Skadeforsikring'!C118+'Gjensidige Forsikring'!C118+'Gjensidige Pensjon'!C118+'Handelsbanken Liv'!C118+'If Skadeforsikring NUF'!C118+KLP!C118+'DNB Bedriftspensjon'!C118+'KLP Skadeforsikring AS'!C118+'Landkreditt Forsikring'!C118+Insr!C118+'Nordea Liv '!C118+'Oslo Pensjonsforsikring'!C118+'Protector Forsikring'!C118+'SHB Liv'!C118+'Sparebank 1'!C118+'Storebrand Livsforsikring'!C118+'Telenor Forsikring'!C118+'Tryg Forsikring'!C118+'WaterCircles F'!C118+'Codan Forsikring'!C118+'Euro Accident'!C118</f>
        <v>0</v>
      </c>
      <c r="D118" s="23"/>
      <c r="E118" s="44">
        <f>'Fremtind Livsforsikring'!F118+'Danica Pensjonsforsikring'!F118+'DNB Livsforsikring'!F118+'Eika Forsikring AS'!F118+'Frende Livsforsikring'!F118+'Frende Skadeforsikring'!F118+'Gjensidige Forsikring'!F118+'Gjensidige Pensjon'!F118+'Handelsbanken Liv'!F118+'If Skadeforsikring NUF'!F118+KLP!F118+'DNB Bedriftspensjon'!F118+'KLP Skadeforsikring AS'!F118+'Landkreditt Forsikring'!F118+Insr!F118+'Nordea Liv '!F118+'Oslo Pensjonsforsikring'!F118+'Protector Forsikring'!F118+'SHB Liv'!F118+'Sparebank 1'!F118+'Storebrand Livsforsikring'!F118+'Telenor Forsikring'!F118+'Tryg Forsikring'!F118+'WaterCircles F'!F118+'Codan Forsikring'!F118+'Euro Accident'!F118</f>
        <v>0</v>
      </c>
      <c r="F118" s="44">
        <f>'Fremtind Livsforsikring'!G118+'Danica Pensjonsforsikring'!G118+'DNB Livsforsikring'!G118+'Eika Forsikring AS'!G118+'Frende Livsforsikring'!G118+'Frende Skadeforsikring'!G118+'Gjensidige Forsikring'!G118+'Gjensidige Pensjon'!G118+'Handelsbanken Liv'!G118+'If Skadeforsikring NUF'!G118+KLP!G118+'DNB Bedriftspensjon'!G118+'KLP Skadeforsikring AS'!G118+'Landkreditt Forsikring'!G118+Insr!G118+'Nordea Liv '!G118+'Oslo Pensjonsforsikring'!G118+'Protector Forsikring'!G118+'SHB Liv'!G118+'Sparebank 1'!G118+'Storebrand Livsforsikring'!G118+'Telenor Forsikring'!G118+'Tryg Forsikring'!G118+'WaterCircles F'!G118+'Codan Forsikring'!G118+'Euro Accident'!G118</f>
        <v>0</v>
      </c>
      <c r="G118" s="165"/>
      <c r="H118" s="235">
        <f t="shared" si="21"/>
        <v>0</v>
      </c>
      <c r="I118" s="235">
        <f t="shared" si="22"/>
        <v>0</v>
      </c>
      <c r="J118" s="23"/>
    </row>
    <row r="119" spans="1:10" s="43" customFormat="1" ht="15.75" customHeight="1" x14ac:dyDescent="0.25">
      <c r="A119" s="13" t="s">
        <v>446</v>
      </c>
      <c r="B119" s="325">
        <f>'Fremtind Livsforsikring'!B119+'Danica Pensjonsforsikring'!B119+'DNB Livsforsikring'!B119+'Eika Forsikring AS'!B119+'Frende Livsforsikring'!B119+'Frende Skadeforsikring'!B119+'Gjensidige Forsikring'!B119+'Gjensidige Pensjon'!B119+'Handelsbanken Liv'!B119+'If Skadeforsikring NUF'!B119+KLP!B119+'DNB Bedriftspensjon'!B119+'KLP Skadeforsikring AS'!B119+'Landkreditt Forsikring'!B119+Insr!B119+'Nordea Liv '!B119+'Oslo Pensjonsforsikring'!B119+'Protector Forsikring'!B119+'SHB Liv'!B119+'Sparebank 1'!B119+'Storebrand Livsforsikring'!B119+'Telenor Forsikring'!B119+'Tryg Forsikring'!B119+'WaterCircles F'!B119+'Codan Forsikring'!B119+'Euro Accident'!B119</f>
        <v>851674.05171999987</v>
      </c>
      <c r="C119" s="325">
        <f>'Fremtind Livsforsikring'!C119+'Danica Pensjonsforsikring'!C119+'DNB Livsforsikring'!C119+'Eika Forsikring AS'!C119+'Frende Livsforsikring'!C119+'Frende Skadeforsikring'!C119+'Gjensidige Forsikring'!C119+'Gjensidige Pensjon'!C119+'Handelsbanken Liv'!C119+'If Skadeforsikring NUF'!C119+KLP!C119+'DNB Bedriftspensjon'!C119+'KLP Skadeforsikring AS'!C119+'Landkreditt Forsikring'!C119+Insr!C119+'Nordea Liv '!C119+'Oslo Pensjonsforsikring'!C119+'Protector Forsikring'!C119+'SHB Liv'!C119+'Sparebank 1'!C119+'Storebrand Livsforsikring'!C119+'Telenor Forsikring'!C119+'Tryg Forsikring'!C119+'WaterCircles F'!C119+'Codan Forsikring'!C119+'Euro Accident'!C119</f>
        <v>523329.71695000003</v>
      </c>
      <c r="D119" s="24">
        <f t="shared" si="20"/>
        <v>-38.6</v>
      </c>
      <c r="E119" s="234">
        <f>'Fremtind Livsforsikring'!F119+'Danica Pensjonsforsikring'!F119+'DNB Livsforsikring'!F119+'Eika Forsikring AS'!F119+'Frende Livsforsikring'!F119+'Frende Skadeforsikring'!F119+'Gjensidige Forsikring'!F119+'Gjensidige Pensjon'!F119+'Handelsbanken Liv'!F119+'If Skadeforsikring NUF'!F119+KLP!F119+'DNB Bedriftspensjon'!F119+'KLP Skadeforsikring AS'!F119+'Landkreditt Forsikring'!F119+Insr!F119+'Nordea Liv '!F119+'Oslo Pensjonsforsikring'!F119+'Protector Forsikring'!F119+'SHB Liv'!F119+'Sparebank 1'!F119+'Storebrand Livsforsikring'!F119+'Telenor Forsikring'!F119+'Tryg Forsikring'!F119+'WaterCircles F'!F119+'Codan Forsikring'!F119+'Euro Accident'!F119</f>
        <v>22437527.66683</v>
      </c>
      <c r="F119" s="234">
        <f>'Fremtind Livsforsikring'!G119+'Danica Pensjonsforsikring'!G119+'DNB Livsforsikring'!G119+'Eika Forsikring AS'!G119+'Frende Livsforsikring'!G119+'Frende Skadeforsikring'!G119+'Gjensidige Forsikring'!G119+'Gjensidige Pensjon'!G119+'Handelsbanken Liv'!G119+'If Skadeforsikring NUF'!G119+KLP!G119+'DNB Bedriftspensjon'!G119+'KLP Skadeforsikring AS'!G119+'Landkreditt Forsikring'!G119+Insr!G119+'Nordea Liv '!G119+'Oslo Pensjonsforsikring'!G119+'Protector Forsikring'!G119+'SHB Liv'!G119+'Sparebank 1'!G119+'Storebrand Livsforsikring'!G119+'Telenor Forsikring'!G119+'Tryg Forsikring'!G119+'WaterCircles F'!G119+'Codan Forsikring'!G119+'Euro Accident'!G119</f>
        <v>91246912.412879989</v>
      </c>
      <c r="G119" s="170">
        <f t="shared" si="13"/>
        <v>306.7</v>
      </c>
      <c r="H119" s="325">
        <f t="shared" si="21"/>
        <v>23289201.71855</v>
      </c>
      <c r="I119" s="325">
        <f t="shared" si="22"/>
        <v>91770242.129829988</v>
      </c>
      <c r="J119" s="24">
        <f t="shared" si="23"/>
        <v>294</v>
      </c>
    </row>
    <row r="120" spans="1:10" ht="15.75" customHeight="1" x14ac:dyDescent="0.25">
      <c r="A120" s="21" t="s">
        <v>9</v>
      </c>
      <c r="B120" s="235">
        <f>'Fremtind Livsforsikring'!B120+'Danica Pensjonsforsikring'!B120+'DNB Livsforsikring'!B120+'Eika Forsikring AS'!B120+'Frende Livsforsikring'!B120+'Frende Skadeforsikring'!B120+'Gjensidige Forsikring'!B120+'Gjensidige Pensjon'!B120+'Handelsbanken Liv'!B120+'If Skadeforsikring NUF'!B120+KLP!B120+'DNB Bedriftspensjon'!B120+'KLP Skadeforsikring AS'!B120+'Landkreditt Forsikring'!B120+Insr!B120+'Nordea Liv '!B120+'Oslo Pensjonsforsikring'!B120+'Protector Forsikring'!B120+'SHB Liv'!B120+'Sparebank 1'!B120+'Storebrand Livsforsikring'!B120+'Telenor Forsikring'!B120+'Tryg Forsikring'!B120+'WaterCircles F'!B120+'Codan Forsikring'!B120+'Euro Accident'!B120</f>
        <v>615172.99599999993</v>
      </c>
      <c r="C120" s="235">
        <f>'Fremtind Livsforsikring'!C120+'Danica Pensjonsforsikring'!C120+'DNB Livsforsikring'!C120+'Eika Forsikring AS'!C120+'Frende Livsforsikring'!C120+'Frende Skadeforsikring'!C120+'Gjensidige Forsikring'!C120+'Gjensidige Pensjon'!C120+'Handelsbanken Liv'!C120+'If Skadeforsikring NUF'!C120+KLP!C120+'DNB Bedriftspensjon'!C120+'KLP Skadeforsikring AS'!C120+'Landkreditt Forsikring'!C120+Insr!C120+'Nordea Liv '!C120+'Oslo Pensjonsforsikring'!C120+'Protector Forsikring'!C120+'SHB Liv'!C120+'Sparebank 1'!C120+'Storebrand Livsforsikring'!C120+'Telenor Forsikring'!C120+'Tryg Forsikring'!C120+'WaterCircles F'!C120+'Codan Forsikring'!C120+'Euro Accident'!C120</f>
        <v>354833.07449000003</v>
      </c>
      <c r="D120" s="23">
        <f t="shared" si="20"/>
        <v>-42.3</v>
      </c>
      <c r="E120" s="44">
        <f>'Fremtind Livsforsikring'!F120+'Danica Pensjonsforsikring'!F120+'DNB Livsforsikring'!F120+'Eika Forsikring AS'!F120+'Frende Livsforsikring'!F120+'Frende Skadeforsikring'!F120+'Gjensidige Forsikring'!F120+'Gjensidige Pensjon'!F120+'Handelsbanken Liv'!F120+'If Skadeforsikring NUF'!F120+KLP!F120+'DNB Bedriftspensjon'!F120+'KLP Skadeforsikring AS'!F120+'Landkreditt Forsikring'!F120+Insr!F120+'Nordea Liv '!F120+'Oslo Pensjonsforsikring'!F120+'Protector Forsikring'!F120+'SHB Liv'!F120+'Sparebank 1'!F120+'Storebrand Livsforsikring'!F120+'Telenor Forsikring'!F120+'Tryg Forsikring'!F120+'WaterCircles F'!F120+'Codan Forsikring'!F120+'Euro Accident'!F120</f>
        <v>0</v>
      </c>
      <c r="F120" s="44">
        <f>'Fremtind Livsforsikring'!G120+'Danica Pensjonsforsikring'!G120+'DNB Livsforsikring'!G120+'Eika Forsikring AS'!G120+'Frende Livsforsikring'!G120+'Frende Skadeforsikring'!G120+'Gjensidige Forsikring'!G120+'Gjensidige Pensjon'!G120+'Handelsbanken Liv'!G120+'If Skadeforsikring NUF'!G120+KLP!G120+'DNB Bedriftspensjon'!G120+'KLP Skadeforsikring AS'!G120+'Landkreditt Forsikring'!G120+Insr!G120+'Nordea Liv '!G120+'Oslo Pensjonsforsikring'!G120+'Protector Forsikring'!G120+'SHB Liv'!G120+'Sparebank 1'!G120+'Storebrand Livsforsikring'!G120+'Telenor Forsikring'!G120+'Tryg Forsikring'!G120+'WaterCircles F'!G120+'Codan Forsikring'!G120+'Euro Accident'!G120</f>
        <v>0</v>
      </c>
      <c r="G120" s="165"/>
      <c r="H120" s="235">
        <f t="shared" si="21"/>
        <v>615172.99599999993</v>
      </c>
      <c r="I120" s="235">
        <f t="shared" si="22"/>
        <v>354833.07449000003</v>
      </c>
      <c r="J120" s="23">
        <f t="shared" si="23"/>
        <v>-42.3</v>
      </c>
    </row>
    <row r="121" spans="1:10" ht="15.75" customHeight="1" x14ac:dyDescent="0.25">
      <c r="A121" s="21" t="s">
        <v>10</v>
      </c>
      <c r="B121" s="235">
        <f>'Fremtind Livsforsikring'!B121+'Danica Pensjonsforsikring'!B121+'DNB Livsforsikring'!B121+'Eika Forsikring AS'!B121+'Frende Livsforsikring'!B121+'Frende Skadeforsikring'!B121+'Gjensidige Forsikring'!B121+'Gjensidige Pensjon'!B121+'Handelsbanken Liv'!B121+'If Skadeforsikring NUF'!B121+KLP!B121+'DNB Bedriftspensjon'!B121+'KLP Skadeforsikring AS'!B121+'Landkreditt Forsikring'!B121+Insr!B121+'Nordea Liv '!B121+'Oslo Pensjonsforsikring'!B121+'Protector Forsikring'!B121+'SHB Liv'!B121+'Sparebank 1'!B121+'Storebrand Livsforsikring'!B121+'Telenor Forsikring'!B121+'Tryg Forsikring'!B121+'WaterCircles F'!B121+'Codan Forsikring'!B121+'Euro Accident'!B121</f>
        <v>24800.234550000001</v>
      </c>
      <c r="C121" s="235">
        <f>'Fremtind Livsforsikring'!C121+'Danica Pensjonsforsikring'!C121+'DNB Livsforsikring'!C121+'Eika Forsikring AS'!C121+'Frende Livsforsikring'!C121+'Frende Skadeforsikring'!C121+'Gjensidige Forsikring'!C121+'Gjensidige Pensjon'!C121+'Handelsbanken Liv'!C121+'If Skadeforsikring NUF'!C121+KLP!C121+'DNB Bedriftspensjon'!C121+'KLP Skadeforsikring AS'!C121+'Landkreditt Forsikring'!C121+Insr!C121+'Nordea Liv '!C121+'Oslo Pensjonsforsikring'!C121+'Protector Forsikring'!C121+'SHB Liv'!C121+'Sparebank 1'!C121+'Storebrand Livsforsikring'!C121+'Telenor Forsikring'!C121+'Tryg Forsikring'!C121+'WaterCircles F'!C121+'Codan Forsikring'!C121+'Euro Accident'!C121</f>
        <v>13189.386109999999</v>
      </c>
      <c r="D121" s="23">
        <f t="shared" si="20"/>
        <v>-46.8</v>
      </c>
      <c r="E121" s="44">
        <f>'Fremtind Livsforsikring'!F121+'Danica Pensjonsforsikring'!F121+'DNB Livsforsikring'!F121+'Eika Forsikring AS'!F121+'Frende Livsforsikring'!F121+'Frende Skadeforsikring'!F121+'Gjensidige Forsikring'!F121+'Gjensidige Pensjon'!F121+'Handelsbanken Liv'!F121+'If Skadeforsikring NUF'!F121+KLP!F121+'DNB Bedriftspensjon'!F121+'KLP Skadeforsikring AS'!F121+'Landkreditt Forsikring'!F121+Insr!F121+'Nordea Liv '!F121+'Oslo Pensjonsforsikring'!F121+'Protector Forsikring'!F121+'SHB Liv'!F121+'Sparebank 1'!F121+'Storebrand Livsforsikring'!F121+'Telenor Forsikring'!F121+'Tryg Forsikring'!F121+'WaterCircles F'!F121+'Codan Forsikring'!F121+'Euro Accident'!F121</f>
        <v>22437527.66683</v>
      </c>
      <c r="F121" s="44">
        <f>'Fremtind Livsforsikring'!G121+'Danica Pensjonsforsikring'!G121+'DNB Livsforsikring'!G121+'Eika Forsikring AS'!G121+'Frende Livsforsikring'!G121+'Frende Skadeforsikring'!G121+'Gjensidige Forsikring'!G121+'Gjensidige Pensjon'!G121+'Handelsbanken Liv'!G121+'If Skadeforsikring NUF'!G121+KLP!G121+'DNB Bedriftspensjon'!G121+'KLP Skadeforsikring AS'!G121+'Landkreditt Forsikring'!G121+Insr!G121+'Nordea Liv '!G121+'Oslo Pensjonsforsikring'!G121+'Protector Forsikring'!G121+'SHB Liv'!G121+'Sparebank 1'!G121+'Storebrand Livsforsikring'!G121+'Telenor Forsikring'!G121+'Tryg Forsikring'!G121+'WaterCircles F'!G121+'Codan Forsikring'!G121+'Euro Accident'!G121</f>
        <v>91246912.412879989</v>
      </c>
      <c r="G121" s="165">
        <f t="shared" si="13"/>
        <v>306.7</v>
      </c>
      <c r="H121" s="235">
        <f t="shared" si="21"/>
        <v>22462327.901379999</v>
      </c>
      <c r="I121" s="235">
        <f t="shared" si="22"/>
        <v>91260101.798989981</v>
      </c>
      <c r="J121" s="23">
        <f t="shared" si="23"/>
        <v>306.3</v>
      </c>
    </row>
    <row r="122" spans="1:10" ht="15.75" customHeight="1" x14ac:dyDescent="0.25">
      <c r="A122" s="21" t="s">
        <v>26</v>
      </c>
      <c r="B122" s="235">
        <f>'Fremtind Livsforsikring'!B122+'Danica Pensjonsforsikring'!B122+'DNB Livsforsikring'!B122+'Eika Forsikring AS'!B122+'Frende Livsforsikring'!B122+'Frende Skadeforsikring'!B122+'Gjensidige Forsikring'!B122+'Gjensidige Pensjon'!B122+'Handelsbanken Liv'!B122+'If Skadeforsikring NUF'!B122+KLP!B122+'DNB Bedriftspensjon'!B122+'KLP Skadeforsikring AS'!B122+'Landkreditt Forsikring'!B122+Insr!B122+'Nordea Liv '!B122+'Oslo Pensjonsforsikring'!B122+'Protector Forsikring'!B122+'SHB Liv'!B122+'Sparebank 1'!B122+'Storebrand Livsforsikring'!B122+'Telenor Forsikring'!B122+'Tryg Forsikring'!B122+'WaterCircles F'!B122+'Codan Forsikring'!B122+'Euro Accident'!B122</f>
        <v>211700.82117000001</v>
      </c>
      <c r="C122" s="235">
        <f>'Fremtind Livsforsikring'!C122+'Danica Pensjonsforsikring'!C122+'DNB Livsforsikring'!C122+'Eika Forsikring AS'!C122+'Frende Livsforsikring'!C122+'Frende Skadeforsikring'!C122+'Gjensidige Forsikring'!C122+'Gjensidige Pensjon'!C122+'Handelsbanken Liv'!C122+'If Skadeforsikring NUF'!C122+KLP!C122+'DNB Bedriftspensjon'!C122+'KLP Skadeforsikring AS'!C122+'Landkreditt Forsikring'!C122+Insr!C122+'Nordea Liv '!C122+'Oslo Pensjonsforsikring'!C122+'Protector Forsikring'!C122+'SHB Liv'!C122+'Sparebank 1'!C122+'Storebrand Livsforsikring'!C122+'Telenor Forsikring'!C122+'Tryg Forsikring'!C122+'WaterCircles F'!C122+'Codan Forsikring'!C122+'Euro Accident'!C122</f>
        <v>155307.25635000001</v>
      </c>
      <c r="D122" s="23">
        <f t="shared" si="20"/>
        <v>-26.6</v>
      </c>
      <c r="E122" s="44">
        <f>'Fremtind Livsforsikring'!F122+'Danica Pensjonsforsikring'!F122+'DNB Livsforsikring'!F122+'Eika Forsikring AS'!F122+'Frende Livsforsikring'!F122+'Frende Skadeforsikring'!F122+'Gjensidige Forsikring'!F122+'Gjensidige Pensjon'!F122+'Handelsbanken Liv'!F122+'If Skadeforsikring NUF'!F122+KLP!F122+'DNB Bedriftspensjon'!F122+'KLP Skadeforsikring AS'!F122+'Landkreditt Forsikring'!F122+Insr!F122+'Nordea Liv '!F122+'Oslo Pensjonsforsikring'!F122+'Protector Forsikring'!F122+'SHB Liv'!F122+'Sparebank 1'!F122+'Storebrand Livsforsikring'!F122+'Telenor Forsikring'!F122+'Tryg Forsikring'!F122+'WaterCircles F'!F122+'Codan Forsikring'!F122+'Euro Accident'!F122</f>
        <v>0</v>
      </c>
      <c r="F122" s="44">
        <f>'Fremtind Livsforsikring'!G122+'Danica Pensjonsforsikring'!G122+'DNB Livsforsikring'!G122+'Eika Forsikring AS'!G122+'Frende Livsforsikring'!G122+'Frende Skadeforsikring'!G122+'Gjensidige Forsikring'!G122+'Gjensidige Pensjon'!G122+'Handelsbanken Liv'!G122+'If Skadeforsikring NUF'!G122+KLP!G122+'DNB Bedriftspensjon'!G122+'KLP Skadeforsikring AS'!G122+'Landkreditt Forsikring'!G122+Insr!G122+'Nordea Liv '!G122+'Oslo Pensjonsforsikring'!G122+'Protector Forsikring'!G122+'SHB Liv'!G122+'Sparebank 1'!G122+'Storebrand Livsforsikring'!G122+'Telenor Forsikring'!G122+'Tryg Forsikring'!G122+'WaterCircles F'!G122+'Codan Forsikring'!G122+'Euro Accident'!G122</f>
        <v>0</v>
      </c>
      <c r="G122" s="165"/>
      <c r="H122" s="235">
        <f t="shared" si="21"/>
        <v>211700.82117000001</v>
      </c>
      <c r="I122" s="235">
        <f t="shared" si="22"/>
        <v>155307.25635000001</v>
      </c>
      <c r="J122" s="23">
        <f t="shared" si="23"/>
        <v>-26.6</v>
      </c>
    </row>
    <row r="123" spans="1:10" ht="15.75" customHeight="1" x14ac:dyDescent="0.25">
      <c r="A123" s="293" t="s">
        <v>14</v>
      </c>
      <c r="B123" s="44">
        <f>'Fremtind Livsforsikring'!B123+'Danica Pensjonsforsikring'!B123+'DNB Livsforsikring'!B123+'Eika Forsikring AS'!B123+'Frende Livsforsikring'!B123+'Frende Skadeforsikring'!B123+'Gjensidige Forsikring'!B123+'Gjensidige Pensjon'!B123+'Handelsbanken Liv'!B123+'If Skadeforsikring NUF'!B123+KLP!B123+'DNB Bedriftspensjon'!B123+'KLP Skadeforsikring AS'!B123+'Landkreditt Forsikring'!B123+Insr!B123+'Nordea Liv '!B123+'Oslo Pensjonsforsikring'!B123+'Protector Forsikring'!B123+'SHB Liv'!B123+'Sparebank 1'!B123+'Storebrand Livsforsikring'!B123+'Telenor Forsikring'!B123+'Tryg Forsikring'!B123+'WaterCircles F'!B123+'Codan Forsikring'!B123+'Euro Accident'!B123</f>
        <v>0</v>
      </c>
      <c r="C123" s="44">
        <f>'Fremtind Livsforsikring'!C123+'Danica Pensjonsforsikring'!C123+'DNB Livsforsikring'!C123+'Eika Forsikring AS'!C123+'Frende Livsforsikring'!C123+'Frende Skadeforsikring'!C123+'Gjensidige Forsikring'!C123+'Gjensidige Pensjon'!C123+'Handelsbanken Liv'!C123+'If Skadeforsikring NUF'!C123+KLP!C123+'DNB Bedriftspensjon'!C123+'KLP Skadeforsikring AS'!C123+'Landkreditt Forsikring'!C123+Insr!C123+'Nordea Liv '!C123+'Oslo Pensjonsforsikring'!C123+'Protector Forsikring'!C123+'SHB Liv'!C123+'Sparebank 1'!C123+'Storebrand Livsforsikring'!C123+'Telenor Forsikring'!C123+'Tryg Forsikring'!C123+'WaterCircles F'!C123+'Codan Forsikring'!C123+'Euro Accident'!C123</f>
        <v>0</v>
      </c>
      <c r="D123" s="27"/>
      <c r="E123" s="44">
        <f>'Fremtind Livsforsikring'!F123+'Danica Pensjonsforsikring'!F123+'DNB Livsforsikring'!F123+'Eika Forsikring AS'!F123+'Frende Livsforsikring'!F123+'Frende Skadeforsikring'!F123+'Gjensidige Forsikring'!F123+'Gjensidige Pensjon'!F123+'Handelsbanken Liv'!F123+'If Skadeforsikring NUF'!F123+KLP!F123+'DNB Bedriftspensjon'!F123+'KLP Skadeforsikring AS'!F123+'Landkreditt Forsikring'!F123+Insr!F123+'Nordea Liv '!F123+'Oslo Pensjonsforsikring'!F123+'Protector Forsikring'!F123+'SHB Liv'!F123+'Sparebank 1'!F123+'Storebrand Livsforsikring'!F123+'Telenor Forsikring'!F123+'Tryg Forsikring'!F123+'WaterCircles F'!F123+'Codan Forsikring'!F123+'Euro Accident'!F123</f>
        <v>0</v>
      </c>
      <c r="F123" s="44">
        <f>'Fremtind Livsforsikring'!G123+'Danica Pensjonsforsikring'!G123+'DNB Livsforsikring'!G123+'Eika Forsikring AS'!G123+'Frende Livsforsikring'!G123+'Frende Skadeforsikring'!G123+'Gjensidige Forsikring'!G123+'Gjensidige Pensjon'!G123+'Handelsbanken Liv'!G123+'If Skadeforsikring NUF'!G123+KLP!G123+'DNB Bedriftspensjon'!G123+'KLP Skadeforsikring AS'!G123+'Landkreditt Forsikring'!G123+Insr!G123+'Nordea Liv '!G123+'Oslo Pensjonsforsikring'!G123+'Protector Forsikring'!G123+'SHB Liv'!G123+'Sparebank 1'!G123+'Storebrand Livsforsikring'!G123+'Telenor Forsikring'!G123+'Tryg Forsikring'!G123+'WaterCircles F'!G123+'Codan Forsikring'!G123+'Euro Accident'!G123</f>
        <v>0</v>
      </c>
      <c r="G123" s="165"/>
      <c r="H123" s="235">
        <f t="shared" si="21"/>
        <v>0</v>
      </c>
      <c r="I123" s="235">
        <f t="shared" si="22"/>
        <v>0</v>
      </c>
      <c r="J123" s="23"/>
    </row>
    <row r="124" spans="1:10" ht="15.75" customHeight="1" x14ac:dyDescent="0.25">
      <c r="A124" s="21" t="s">
        <v>463</v>
      </c>
      <c r="B124" s="235">
        <f>'Fremtind Livsforsikring'!B124+'Danica Pensjonsforsikring'!B124+'DNB Livsforsikring'!B124+'Eika Forsikring AS'!B124+'Frende Livsforsikring'!B124+'Frende Skadeforsikring'!B124+'Gjensidige Forsikring'!B124+'Gjensidige Pensjon'!B124+'Handelsbanken Liv'!B124+'If Skadeforsikring NUF'!B124+KLP!B124+'DNB Bedriftspensjon'!B124+'KLP Skadeforsikring AS'!B124+'Landkreditt Forsikring'!B124+Insr!B124+'Nordea Liv '!B124+'Oslo Pensjonsforsikring'!B124+'Protector Forsikring'!B124+'SHB Liv'!B124+'Sparebank 1'!B124+'Storebrand Livsforsikring'!B124+'Telenor Forsikring'!B124+'Tryg Forsikring'!B124+'WaterCircles F'!B124+'Codan Forsikring'!B124+'Euro Accident'!B124</f>
        <v>61621.572999999997</v>
      </c>
      <c r="C124" s="235">
        <f>'Fremtind Livsforsikring'!C124+'Danica Pensjonsforsikring'!C124+'DNB Livsforsikring'!C124+'Eika Forsikring AS'!C124+'Frende Livsforsikring'!C124+'Frende Skadeforsikring'!C124+'Gjensidige Forsikring'!C124+'Gjensidige Pensjon'!C124+'Handelsbanken Liv'!C124+'If Skadeforsikring NUF'!C124+KLP!C124+'DNB Bedriftspensjon'!C124+'KLP Skadeforsikring AS'!C124+'Landkreditt Forsikring'!C124+Insr!C124+'Nordea Liv '!C124+'Oslo Pensjonsforsikring'!C124+'Protector Forsikring'!C124+'SHB Liv'!C124+'Sparebank 1'!C124+'Storebrand Livsforsikring'!C124+'Telenor Forsikring'!C124+'Tryg Forsikring'!C124+'WaterCircles F'!C124+'Codan Forsikring'!C124+'Euro Accident'!C124</f>
        <v>38295.925999999999</v>
      </c>
      <c r="D124" s="23">
        <f t="shared" si="20"/>
        <v>-37.9</v>
      </c>
      <c r="E124" s="44">
        <f>'Fremtind Livsforsikring'!F124+'Danica Pensjonsforsikring'!F124+'DNB Livsforsikring'!F124+'Eika Forsikring AS'!F124+'Frende Livsforsikring'!F124+'Frende Skadeforsikring'!F124+'Gjensidige Forsikring'!F124+'Gjensidige Pensjon'!F124+'Handelsbanken Liv'!F124+'If Skadeforsikring NUF'!F124+KLP!F124+'DNB Bedriftspensjon'!F124+'KLP Skadeforsikring AS'!F124+'Landkreditt Forsikring'!F124+Insr!F124+'Nordea Liv '!F124+'Oslo Pensjonsforsikring'!F124+'Protector Forsikring'!F124+'SHB Liv'!F124+'Sparebank 1'!F124+'Storebrand Livsforsikring'!F124+'Telenor Forsikring'!F124+'Tryg Forsikring'!F124+'WaterCircles F'!F124+'Codan Forsikring'!F124+'Euro Accident'!F124</f>
        <v>30154.527999999998</v>
      </c>
      <c r="F124" s="44">
        <f>'Fremtind Livsforsikring'!G124+'Danica Pensjonsforsikring'!G124+'DNB Livsforsikring'!G124+'Eika Forsikring AS'!G124+'Frende Livsforsikring'!G124+'Frende Skadeforsikring'!G124+'Gjensidige Forsikring'!G124+'Gjensidige Pensjon'!G124+'Handelsbanken Liv'!G124+'If Skadeforsikring NUF'!G124+KLP!G124+'DNB Bedriftspensjon'!G124+'KLP Skadeforsikring AS'!G124+'Landkreditt Forsikring'!G124+Insr!G124+'Nordea Liv '!G124+'Oslo Pensjonsforsikring'!G124+'Protector Forsikring'!G124+'SHB Liv'!G124+'Sparebank 1'!G124+'Storebrand Livsforsikring'!G124+'Telenor Forsikring'!G124+'Tryg Forsikring'!G124+'WaterCircles F'!G124+'Codan Forsikring'!G124+'Euro Accident'!G124</f>
        <v>45713.642</v>
      </c>
      <c r="G124" s="165">
        <f t="shared" si="13"/>
        <v>51.6</v>
      </c>
      <c r="H124" s="235">
        <f t="shared" si="21"/>
        <v>91776.100999999995</v>
      </c>
      <c r="I124" s="235">
        <f t="shared" si="22"/>
        <v>84009.567999999999</v>
      </c>
      <c r="J124" s="23">
        <f t="shared" si="23"/>
        <v>-8.5</v>
      </c>
    </row>
    <row r="125" spans="1:10" ht="15.75" customHeight="1" x14ac:dyDescent="0.25">
      <c r="A125" s="21" t="s">
        <v>510</v>
      </c>
      <c r="B125" s="235">
        <f>'Fremtind Livsforsikring'!B125+'Danica Pensjonsforsikring'!B125+'DNB Livsforsikring'!B125+'Eika Forsikring AS'!B125+'Frende Livsforsikring'!B125+'Frende Skadeforsikring'!B125+'Gjensidige Forsikring'!B125+'Gjensidige Pensjon'!B125+'Handelsbanken Liv'!B125+'If Skadeforsikring NUF'!B125+KLP!B125+'DNB Bedriftspensjon'!B125+'KLP Skadeforsikring AS'!B125+'Landkreditt Forsikring'!B125+Insr!B125+'Nordea Liv '!B125+'Oslo Pensjonsforsikring'!B125+'Protector Forsikring'!B125+'SHB Liv'!B125+'Sparebank 1'!B125+'Storebrand Livsforsikring'!B125+'Telenor Forsikring'!B125+'Tryg Forsikring'!B125+'WaterCircles F'!B125+'Codan Forsikring'!B125+'Euro Accident'!B125</f>
        <v>2576.8415100000002</v>
      </c>
      <c r="C125" s="235">
        <f>'Fremtind Livsforsikring'!C125+'Danica Pensjonsforsikring'!C125+'DNB Livsforsikring'!C125+'Eika Forsikring AS'!C125+'Frende Livsforsikring'!C125+'Frende Skadeforsikring'!C125+'Gjensidige Forsikring'!C125+'Gjensidige Pensjon'!C125+'Handelsbanken Liv'!C125+'If Skadeforsikring NUF'!C125+KLP!C125+'DNB Bedriftspensjon'!C125+'KLP Skadeforsikring AS'!C125+'Landkreditt Forsikring'!C125+Insr!C125+'Nordea Liv '!C125+'Oslo Pensjonsforsikring'!C125+'Protector Forsikring'!C125+'SHB Liv'!C125+'Sparebank 1'!C125+'Storebrand Livsforsikring'!C125+'Telenor Forsikring'!C125+'Tryg Forsikring'!C125+'WaterCircles F'!C125+'Codan Forsikring'!C125+'Euro Accident'!C125</f>
        <v>2429.0920900000001</v>
      </c>
      <c r="D125" s="23">
        <f t="shared" si="20"/>
        <v>-5.7</v>
      </c>
      <c r="E125" s="44">
        <f>'Fremtind Livsforsikring'!F125+'Danica Pensjonsforsikring'!F125+'DNB Livsforsikring'!F125+'Eika Forsikring AS'!F125+'Frende Livsforsikring'!F125+'Frende Skadeforsikring'!F125+'Gjensidige Forsikring'!F125+'Gjensidige Pensjon'!F125+'Handelsbanken Liv'!F125+'If Skadeforsikring NUF'!F125+KLP!F125+'DNB Bedriftspensjon'!F125+'KLP Skadeforsikring AS'!F125+'Landkreditt Forsikring'!F125+Insr!F125+'Nordea Liv '!F125+'Oslo Pensjonsforsikring'!F125+'Protector Forsikring'!F125+'SHB Liv'!F125+'Sparebank 1'!F125+'Storebrand Livsforsikring'!F125+'Telenor Forsikring'!F125+'Tryg Forsikring'!F125+'WaterCircles F'!F125+'Codan Forsikring'!F125+'Euro Accident'!F125</f>
        <v>3590944.0815199995</v>
      </c>
      <c r="F125" s="44">
        <f>'Fremtind Livsforsikring'!G125+'Danica Pensjonsforsikring'!G125+'DNB Livsforsikring'!G125+'Eika Forsikring AS'!G125+'Frende Livsforsikring'!G125+'Frende Skadeforsikring'!G125+'Gjensidige Forsikring'!G125+'Gjensidige Pensjon'!G125+'Handelsbanken Liv'!G125+'If Skadeforsikring NUF'!G125+KLP!G125+'DNB Bedriftspensjon'!G125+'KLP Skadeforsikring AS'!G125+'Landkreditt Forsikring'!G125+Insr!G125+'Nordea Liv '!G125+'Oslo Pensjonsforsikring'!G125+'Protector Forsikring'!G125+'SHB Liv'!G125+'Sparebank 1'!G125+'Storebrand Livsforsikring'!G125+'Telenor Forsikring'!G125+'Tryg Forsikring'!G125+'WaterCircles F'!G125+'Codan Forsikring'!G125+'Euro Accident'!G125</f>
        <v>72147250.981469989</v>
      </c>
      <c r="G125" s="165">
        <f t="shared" si="13"/>
        <v>999</v>
      </c>
      <c r="H125" s="235">
        <f t="shared" si="21"/>
        <v>3593520.9230299997</v>
      </c>
      <c r="I125" s="235">
        <f t="shared" si="22"/>
        <v>72149680.073559985</v>
      </c>
      <c r="J125" s="23">
        <f t="shared" si="23"/>
        <v>999</v>
      </c>
    </row>
    <row r="126" spans="1:10" ht="15.75" customHeight="1" x14ac:dyDescent="0.25">
      <c r="A126" s="10" t="s">
        <v>464</v>
      </c>
      <c r="B126" s="236">
        <f>'Fremtind Livsforsikring'!B126+'Danica Pensjonsforsikring'!B126+'DNB Livsforsikring'!B126+'Eika Forsikring AS'!B126+'Frende Livsforsikring'!B126+'Frende Skadeforsikring'!B126+'Gjensidige Forsikring'!B126+'Gjensidige Pensjon'!B126+'Handelsbanken Liv'!B126+'If Skadeforsikring NUF'!B126+KLP!B126+'DNB Bedriftspensjon'!B126+'KLP Skadeforsikring AS'!B126+'Landkreditt Forsikring'!B126+Insr!B126+'Nordea Liv '!B126+'Oslo Pensjonsforsikring'!B126+'Protector Forsikring'!B126+'SHB Liv'!B126+'Sparebank 1'!B126+'Storebrand Livsforsikring'!B126+'Telenor Forsikring'!B126+'Tryg Forsikring'!B126+'WaterCircles F'!B126+'Codan Forsikring'!B126+'Euro Accident'!B126</f>
        <v>0</v>
      </c>
      <c r="C126" s="236">
        <f>'Fremtind Livsforsikring'!C126+'Danica Pensjonsforsikring'!C126+'DNB Livsforsikring'!C126+'Eika Forsikring AS'!C126+'Frende Livsforsikring'!C126+'Frende Skadeforsikring'!C126+'Gjensidige Forsikring'!C126+'Gjensidige Pensjon'!C126+'Handelsbanken Liv'!C126+'If Skadeforsikring NUF'!C126+KLP!C126+'DNB Bedriftspensjon'!C126+'KLP Skadeforsikring AS'!C126+'Landkreditt Forsikring'!C126+Insr!C126+'Nordea Liv '!C126+'Oslo Pensjonsforsikring'!C126+'Protector Forsikring'!C126+'SHB Liv'!C126+'Sparebank 1'!C126+'Storebrand Livsforsikring'!C126+'Telenor Forsikring'!C126+'Tryg Forsikring'!C126+'WaterCircles F'!C126+'Codan Forsikring'!C126+'Euro Accident'!C126</f>
        <v>0</v>
      </c>
      <c r="D126" s="22"/>
      <c r="E126" s="45">
        <f>'Fremtind Livsforsikring'!F126+'Danica Pensjonsforsikring'!F126+'DNB Livsforsikring'!F126+'Eika Forsikring AS'!F126+'Frende Livsforsikring'!F126+'Frende Skadeforsikring'!F126+'Gjensidige Forsikring'!F126+'Gjensidige Pensjon'!F126+'Handelsbanken Liv'!F126+'If Skadeforsikring NUF'!F126+KLP!F126+'DNB Bedriftspensjon'!F126+'KLP Skadeforsikring AS'!F126+'Landkreditt Forsikring'!F126+Insr!F126+'Nordea Liv '!F126+'Oslo Pensjonsforsikring'!F126+'Protector Forsikring'!F126+'SHB Liv'!F126+'Sparebank 1'!F126+'Storebrand Livsforsikring'!F126+'Telenor Forsikring'!F126+'Tryg Forsikring'!F126+'WaterCircles F'!F126+'Codan Forsikring'!F126+'Euro Accident'!F126</f>
        <v>0</v>
      </c>
      <c r="F126" s="45">
        <f>'Fremtind Livsforsikring'!G126+'Danica Pensjonsforsikring'!G126+'DNB Livsforsikring'!G126+'Eika Forsikring AS'!G126+'Frende Livsforsikring'!G126+'Frende Skadeforsikring'!G126+'Gjensidige Forsikring'!G126+'Gjensidige Pensjon'!G126+'Handelsbanken Liv'!G126+'If Skadeforsikring NUF'!G126+KLP!G126+'DNB Bedriftspensjon'!G126+'KLP Skadeforsikring AS'!G126+'Landkreditt Forsikring'!G126+Insr!G126+'Nordea Liv '!G126+'Oslo Pensjonsforsikring'!G126+'Protector Forsikring'!G126+'SHB Liv'!G126+'Sparebank 1'!G126+'Storebrand Livsforsikring'!G126+'Telenor Forsikring'!G126+'Tryg Forsikring'!G126+'WaterCircles F'!G126+'Codan Forsikring'!G126+'Euro Accident'!G126</f>
        <v>0</v>
      </c>
      <c r="G126" s="166"/>
      <c r="H126" s="236">
        <f t="shared" si="21"/>
        <v>0</v>
      </c>
      <c r="I126" s="237">
        <f t="shared" si="22"/>
        <v>0</v>
      </c>
      <c r="J126" s="22"/>
    </row>
    <row r="127" spans="1:10" ht="15.75" customHeight="1" x14ac:dyDescent="0.25">
      <c r="A127" s="154"/>
    </row>
    <row r="128" spans="1:10" ht="15.75" customHeight="1" x14ac:dyDescent="0.25">
      <c r="A128" s="148"/>
    </row>
    <row r="129" spans="1:10" ht="15.75" customHeight="1" x14ac:dyDescent="0.3">
      <c r="A129" s="164" t="s">
        <v>27</v>
      </c>
    </row>
    <row r="130" spans="1:10" ht="15.75" customHeight="1" x14ac:dyDescent="0.3">
      <c r="A130" s="148"/>
      <c r="B130" s="953"/>
      <c r="C130" s="953"/>
      <c r="D130" s="953"/>
      <c r="E130" s="953"/>
      <c r="F130" s="953"/>
      <c r="G130" s="953"/>
      <c r="H130" s="953"/>
      <c r="I130" s="953"/>
      <c r="J130" s="953"/>
    </row>
    <row r="131" spans="1:10" s="3" customFormat="1" ht="20.100000000000001" customHeight="1" x14ac:dyDescent="0.25">
      <c r="A131" s="143"/>
      <c r="B131" s="954" t="s">
        <v>0</v>
      </c>
      <c r="C131" s="955"/>
      <c r="D131" s="956"/>
      <c r="E131" s="955" t="s">
        <v>1</v>
      </c>
      <c r="F131" s="955"/>
      <c r="G131" s="955"/>
      <c r="H131" s="954" t="s">
        <v>2</v>
      </c>
      <c r="I131" s="955"/>
      <c r="J131" s="956"/>
    </row>
    <row r="132" spans="1:10" s="3" customFormat="1" ht="15.75" customHeight="1" x14ac:dyDescent="0.25">
      <c r="A132" s="139"/>
      <c r="B132" s="20" t="s">
        <v>508</v>
      </c>
      <c r="C132" s="20" t="s">
        <v>509</v>
      </c>
      <c r="D132" s="19" t="s">
        <v>3</v>
      </c>
      <c r="E132" s="20" t="s">
        <v>508</v>
      </c>
      <c r="F132" s="20" t="s">
        <v>509</v>
      </c>
      <c r="G132" s="19" t="s">
        <v>3</v>
      </c>
      <c r="H132" s="20" t="s">
        <v>508</v>
      </c>
      <c r="I132" s="20" t="s">
        <v>509</v>
      </c>
      <c r="J132" s="19" t="s">
        <v>3</v>
      </c>
    </row>
    <row r="133" spans="1:10" s="3" customFormat="1" ht="15.75" customHeight="1" x14ac:dyDescent="0.25">
      <c r="A133" s="927"/>
      <c r="B133" s="15"/>
      <c r="C133" s="15"/>
      <c r="D133" s="17" t="s">
        <v>4</v>
      </c>
      <c r="E133" s="16"/>
      <c r="F133" s="16"/>
      <c r="G133" s="15" t="s">
        <v>4</v>
      </c>
      <c r="H133" s="16"/>
      <c r="I133" s="16"/>
      <c r="J133" s="15" t="s">
        <v>4</v>
      </c>
    </row>
    <row r="134" spans="1:10" s="414" customFormat="1" ht="15.75" customHeight="1" x14ac:dyDescent="0.25">
      <c r="A134" s="14" t="s">
        <v>466</v>
      </c>
      <c r="B134" s="234">
        <f>'Fremtind Livsforsikring'!B134+'Danica Pensjonsforsikring'!B134+'DNB Livsforsikring'!B134+'Eika Forsikring AS'!B134+'Frende Livsforsikring'!B134+'Frende Skadeforsikring'!B134+'Gjensidige Forsikring'!B134+'Gjensidige Pensjon'!B134+'Handelsbanken Liv'!B134+'If Skadeforsikring NUF'!B134+KLP!B134+'DNB Bedriftspensjon'!B134+'KLP Skadeforsikring AS'!B134+'Landkreditt Forsikring'!B134+Insr!B134+'Nordea Liv '!B134+'Oslo Pensjonsforsikring'!B134+'Protector Forsikring'!B134+'SHB Liv'!B134+'Sparebank 1'!B134+'Storebrand Livsforsikring'!B134+'Telenor Forsikring'!B134+'Tryg Forsikring'!B134+'WaterCircles F'!B134+'Codan Forsikring'!B134+'Euro Accident'!B134</f>
        <v>38438729.1369</v>
      </c>
      <c r="C134" s="234">
        <f>'Fremtind Livsforsikring'!C134+'Danica Pensjonsforsikring'!C134+'DNB Livsforsikring'!C134+'Eika Forsikring AS'!C134+'Frende Livsforsikring'!C134+'Frende Skadeforsikring'!C134+'Gjensidige Forsikring'!C134+'Gjensidige Pensjon'!C134+'Handelsbanken Liv'!C134+'If Skadeforsikring NUF'!C134+KLP!C134+'DNB Bedriftspensjon'!C134+'KLP Skadeforsikring AS'!C134+'Landkreditt Forsikring'!C134+Insr!C134+'Nordea Liv '!C134+'Oslo Pensjonsforsikring'!C134+'Protector Forsikring'!C134+'SHB Liv'!C134+'Sparebank 1'!C134+'Storebrand Livsforsikring'!C134+'Telenor Forsikring'!C134+'Tryg Forsikring'!C134+'WaterCircles F'!C134+'Codan Forsikring'!C134+'Euro Accident'!C134</f>
        <v>58360698.621179998</v>
      </c>
      <c r="D134" s="11">
        <f>IF(B134=0, "    ---- ", IF(ABS(ROUND(100/B134*C134-100,1))&lt;999,ROUND(100/B134*C134-100,1),IF(ROUND(100/B134*C134-100,1)&gt;999,999,-999)))</f>
        <v>51.8</v>
      </c>
      <c r="E134" s="234">
        <f>'Fremtind Livsforsikring'!F134+'Danica Pensjonsforsikring'!F134+'DNB Livsforsikring'!F134+'Eika Forsikring AS'!F134+'Frende Livsforsikring'!F134+'Frende Skadeforsikring'!F134+'Gjensidige Forsikring'!F134+'Gjensidige Pensjon'!F134+'Handelsbanken Liv'!F134+'If Skadeforsikring NUF'!F134+KLP!F134+'DNB Bedriftspensjon'!F134+'KLP Skadeforsikring AS'!F134+'Landkreditt Forsikring'!F134+Insr!F134+'Nordea Liv '!F134+'Oslo Pensjonsforsikring'!F134+'Protector Forsikring'!F134+'SHB Liv'!F134+'Sparebank 1'!F134+'Storebrand Livsforsikring'!F134+'Telenor Forsikring'!F134+'Tryg Forsikring'!F134+'WaterCircles F'!F134+'Codan Forsikring'!F134+'Euro Accident'!F134</f>
        <v>74308.707999999999</v>
      </c>
      <c r="F134" s="234">
        <f>'Fremtind Livsforsikring'!G134+'Danica Pensjonsforsikring'!G134+'DNB Livsforsikring'!G134+'Eika Forsikring AS'!G134+'Frende Livsforsikring'!G134+'Frende Skadeforsikring'!G134+'Gjensidige Forsikring'!G134+'Gjensidige Pensjon'!G134+'Handelsbanken Liv'!G134+'If Skadeforsikring NUF'!G134+KLP!G134+'DNB Bedriftspensjon'!G134+'KLP Skadeforsikring AS'!G134+'Landkreditt Forsikring'!G134+Insr!G134+'Nordea Liv '!G134+'Oslo Pensjonsforsikring'!G134+'Protector Forsikring'!G134+'SHB Liv'!G134+'Sparebank 1'!G134+'Storebrand Livsforsikring'!G134+'Telenor Forsikring'!G134+'Tryg Forsikring'!G134+'WaterCircles F'!G134+'Codan Forsikring'!G134+'Euro Accident'!G134</f>
        <v>135009.071</v>
      </c>
      <c r="G134" s="11">
        <f>IF(E134=0, "    ---- ", IF(ABS(ROUND(100/E134*F134-100,1))&lt;999,ROUND(100/E134*F134-100,1),IF(ROUND(100/E134*F134-100,1)&gt;999,999,-999)))</f>
        <v>81.7</v>
      </c>
      <c r="H134" s="234">
        <f t="shared" ref="H134:I137" si="24">SUM(B134,E134)</f>
        <v>38513037.844899997</v>
      </c>
      <c r="I134" s="234">
        <f t="shared" si="24"/>
        <v>58495707.69218</v>
      </c>
      <c r="J134" s="11">
        <f>IF(H134=0, "    ---- ", IF(ABS(ROUND(100/H134*I134-100,1))&lt;999,ROUND(100/H134*I134-100,1),IF(ROUND(100/H134*I134-100,1)&gt;999,999,-999)))</f>
        <v>51.9</v>
      </c>
    </row>
    <row r="135" spans="1:10" s="414" customFormat="1" ht="15.75" customHeight="1" x14ac:dyDescent="0.25">
      <c r="A135" s="13" t="s">
        <v>467</v>
      </c>
      <c r="B135" s="234">
        <f>'Fremtind Livsforsikring'!B135+'Danica Pensjonsforsikring'!B135+'DNB Livsforsikring'!B135+'Eika Forsikring AS'!B135+'Frende Livsforsikring'!B135+'Frende Skadeforsikring'!B135+'Gjensidige Forsikring'!B135+'Gjensidige Pensjon'!B135+'Handelsbanken Liv'!B135+'If Skadeforsikring NUF'!B135+KLP!B135+'DNB Bedriftspensjon'!B135+'KLP Skadeforsikring AS'!B135+'Landkreditt Forsikring'!B135+Insr!B135+'Nordea Liv '!B135+'Oslo Pensjonsforsikring'!B135+'Protector Forsikring'!B135+'SHB Liv'!B135+'Sparebank 1'!B135+'Storebrand Livsforsikring'!B135+'Telenor Forsikring'!B135+'Tryg Forsikring'!B135+'WaterCircles F'!B135+'Codan Forsikring'!B135+'Euro Accident'!B135</f>
        <v>622962989.91374993</v>
      </c>
      <c r="C135" s="234">
        <f>'Fremtind Livsforsikring'!C135+'Danica Pensjonsforsikring'!C135+'DNB Livsforsikring'!C135+'Eika Forsikring AS'!C135+'Frende Livsforsikring'!C135+'Frende Skadeforsikring'!C135+'Gjensidige Forsikring'!C135+'Gjensidige Pensjon'!C135+'Handelsbanken Liv'!C135+'If Skadeforsikring NUF'!C135+KLP!C135+'DNB Bedriftspensjon'!C135+'KLP Skadeforsikring AS'!C135+'Landkreditt Forsikring'!C135+Insr!C135+'Nordea Liv '!C135+'Oslo Pensjonsforsikring'!C135+'Protector Forsikring'!C135+'SHB Liv'!C135+'Sparebank 1'!C135+'Storebrand Livsforsikring'!C135+'Telenor Forsikring'!C135+'Tryg Forsikring'!C135+'WaterCircles F'!C135+'Codan Forsikring'!C135+'Euro Accident'!C135</f>
        <v>688221513.67905998</v>
      </c>
      <c r="D135" s="11">
        <f>IF(B135=0, "    ---- ", IF(ABS(ROUND(100/B135*C135-100,1))&lt;999,ROUND(100/B135*C135-100,1),IF(ROUND(100/B135*C135-100,1)&gt;999,999,-999)))</f>
        <v>10.5</v>
      </c>
      <c r="E135" s="234">
        <f>'Fremtind Livsforsikring'!F135+'Danica Pensjonsforsikring'!F135+'DNB Livsforsikring'!F135+'Eika Forsikring AS'!F135+'Frende Livsforsikring'!F135+'Frende Skadeforsikring'!F135+'Gjensidige Forsikring'!F135+'Gjensidige Pensjon'!F135+'Handelsbanken Liv'!F135+'If Skadeforsikring NUF'!F135+KLP!F135+'DNB Bedriftspensjon'!F135+'KLP Skadeforsikring AS'!F135+'Landkreditt Forsikring'!F135+Insr!F135+'Nordea Liv '!F135+'Oslo Pensjonsforsikring'!F135+'Protector Forsikring'!F135+'SHB Liv'!F135+'Sparebank 1'!F135+'Storebrand Livsforsikring'!F135+'Telenor Forsikring'!F135+'Tryg Forsikring'!F135+'WaterCircles F'!F135+'Codan Forsikring'!F135+'Euro Accident'!F135</f>
        <v>2013752.24184</v>
      </c>
      <c r="F135" s="234">
        <f>'Fremtind Livsforsikring'!G135+'Danica Pensjonsforsikring'!G135+'DNB Livsforsikring'!G135+'Eika Forsikring AS'!G135+'Frende Livsforsikring'!G135+'Frende Skadeforsikring'!G135+'Gjensidige Forsikring'!G135+'Gjensidige Pensjon'!G135+'Handelsbanken Liv'!G135+'If Skadeforsikring NUF'!G135+KLP!G135+'DNB Bedriftspensjon'!G135+'KLP Skadeforsikring AS'!G135+'Landkreditt Forsikring'!G135+Insr!G135+'Nordea Liv '!G135+'Oslo Pensjonsforsikring'!G135+'Protector Forsikring'!G135+'SHB Liv'!G135+'Sparebank 1'!G135+'Storebrand Livsforsikring'!G135+'Telenor Forsikring'!G135+'Tryg Forsikring'!G135+'WaterCircles F'!G135+'Codan Forsikring'!G135+'Euro Accident'!G135</f>
        <v>2234333.4679299998</v>
      </c>
      <c r="G135" s="11">
        <f>IF(E135=0, "    ---- ", IF(ABS(ROUND(100/E135*F135-100,1))&lt;999,ROUND(100/E135*F135-100,1),IF(ROUND(100/E135*F135-100,1)&gt;999,999,-999)))</f>
        <v>11</v>
      </c>
      <c r="H135" s="234">
        <f t="shared" si="24"/>
        <v>624976742.15558994</v>
      </c>
      <c r="I135" s="234">
        <f t="shared" si="24"/>
        <v>690455847.14698994</v>
      </c>
      <c r="J135" s="11">
        <f>IF(H135=0, "    ---- ", IF(ABS(ROUND(100/H135*I135-100,1))&lt;999,ROUND(100/H135*I135-100,1),IF(ROUND(100/H135*I135-100,1)&gt;999,999,-999)))</f>
        <v>10.5</v>
      </c>
    </row>
    <row r="136" spans="1:10" s="414" customFormat="1" ht="15.75" customHeight="1" x14ac:dyDescent="0.25">
      <c r="A136" s="13" t="s">
        <v>468</v>
      </c>
      <c r="B136" s="234">
        <f>'Fremtind Livsforsikring'!B136+'Danica Pensjonsforsikring'!B136+'DNB Livsforsikring'!B136+'Eika Forsikring AS'!B136+'Frende Livsforsikring'!B136+'Frende Skadeforsikring'!B136+'Gjensidige Forsikring'!B136+'Gjensidige Pensjon'!B136+'Handelsbanken Liv'!B136+'If Skadeforsikring NUF'!B136+KLP!B136+'DNB Bedriftspensjon'!B136+'KLP Skadeforsikring AS'!B136+'Landkreditt Forsikring'!B136+Insr!B136+'Nordea Liv '!B136+'Oslo Pensjonsforsikring'!B136+'Protector Forsikring'!B136+'SHB Liv'!B136+'Sparebank 1'!B136+'Storebrand Livsforsikring'!B136+'Telenor Forsikring'!B136+'Tryg Forsikring'!B136+'WaterCircles F'!B136+'Codan Forsikring'!B136+'Euro Accident'!B136</f>
        <v>3720403.8620000002</v>
      </c>
      <c r="C136" s="234">
        <f>'Fremtind Livsforsikring'!C136+'Danica Pensjonsforsikring'!C136+'DNB Livsforsikring'!C136+'Eika Forsikring AS'!C136+'Frende Livsforsikring'!C136+'Frende Skadeforsikring'!C136+'Gjensidige Forsikring'!C136+'Gjensidige Pensjon'!C136+'Handelsbanken Liv'!C136+'If Skadeforsikring NUF'!C136+KLP!C136+'DNB Bedriftspensjon'!C136+'KLP Skadeforsikring AS'!C136+'Landkreditt Forsikring'!C136+Insr!C136+'Nordea Liv '!C136+'Oslo Pensjonsforsikring'!C136+'Protector Forsikring'!C136+'SHB Liv'!C136+'Sparebank 1'!C136+'Storebrand Livsforsikring'!C136+'Telenor Forsikring'!C136+'Tryg Forsikring'!C136+'WaterCircles F'!C136+'Codan Forsikring'!C136+'Euro Accident'!C136</f>
        <v>6847377.0180000002</v>
      </c>
      <c r="D136" s="11">
        <f>IF(B136=0, "    ---- ", IF(ABS(ROUND(100/B136*C136-100,1))&lt;999,ROUND(100/B136*C136-100,1),IF(ROUND(100/B136*C136-100,1)&gt;999,999,-999)))</f>
        <v>84</v>
      </c>
      <c r="E136" s="234">
        <f>'Fremtind Livsforsikring'!F136+'Danica Pensjonsforsikring'!F136+'DNB Livsforsikring'!F136+'Eika Forsikring AS'!F136+'Frende Livsforsikring'!F136+'Frende Skadeforsikring'!F136+'Gjensidige Forsikring'!F136+'Gjensidige Pensjon'!F136+'Handelsbanken Liv'!F136+'If Skadeforsikring NUF'!F136+KLP!F136+'DNB Bedriftspensjon'!F136+'KLP Skadeforsikring AS'!F136+'Landkreditt Forsikring'!F136+Insr!F136+'Nordea Liv '!F136+'Oslo Pensjonsforsikring'!F136+'Protector Forsikring'!F136+'SHB Liv'!F136+'Sparebank 1'!F136+'Storebrand Livsforsikring'!F136+'Telenor Forsikring'!F136+'Tryg Forsikring'!F136+'WaterCircles F'!F136+'Codan Forsikring'!F136+'Euro Accident'!F136</f>
        <v>-507465.17200000002</v>
      </c>
      <c r="F136" s="234">
        <f>'Fremtind Livsforsikring'!G136+'Danica Pensjonsforsikring'!G136+'DNB Livsforsikring'!G136+'Eika Forsikring AS'!G136+'Frende Livsforsikring'!G136+'Frende Skadeforsikring'!G136+'Gjensidige Forsikring'!G136+'Gjensidige Pensjon'!G136+'Handelsbanken Liv'!G136+'If Skadeforsikring NUF'!G136+KLP!G136+'DNB Bedriftspensjon'!G136+'KLP Skadeforsikring AS'!G136+'Landkreditt Forsikring'!G136+Insr!G136+'Nordea Liv '!G136+'Oslo Pensjonsforsikring'!G136+'Protector Forsikring'!G136+'SHB Liv'!G136+'Sparebank 1'!G136+'Storebrand Livsforsikring'!G136+'Telenor Forsikring'!G136+'Tryg Forsikring'!G136+'WaterCircles F'!G136+'Codan Forsikring'!G136+'Euro Accident'!G136</f>
        <v>0</v>
      </c>
      <c r="G136" s="11">
        <f>IF(E136=0, "    ---- ", IF(ABS(ROUND(100/E136*F136-100,1))&lt;999,ROUND(100/E136*F136-100,1),IF(ROUND(100/E136*F136-100,1)&gt;999,999,-999)))</f>
        <v>-100</v>
      </c>
      <c r="H136" s="234">
        <f t="shared" si="24"/>
        <v>3212938.6900000004</v>
      </c>
      <c r="I136" s="234">
        <f t="shared" si="24"/>
        <v>6847377.0180000002</v>
      </c>
      <c r="J136" s="11">
        <f>IF(H136=0, "    ---- ", IF(ABS(ROUND(100/H136*I136-100,1))&lt;999,ROUND(100/H136*I136-100,1),IF(ROUND(100/H136*I136-100,1)&gt;999,999,-999)))</f>
        <v>113.1</v>
      </c>
    </row>
    <row r="137" spans="1:10" s="414" customFormat="1" ht="15.75" customHeight="1" x14ac:dyDescent="0.25">
      <c r="A137" s="41" t="s">
        <v>469</v>
      </c>
      <c r="B137" s="273">
        <f>'Fremtind Livsforsikring'!B137+'Danica Pensjonsforsikring'!B137+'DNB Livsforsikring'!B137+'Eika Forsikring AS'!B137+'Frende Livsforsikring'!B137+'Frende Skadeforsikring'!B137+'Gjensidige Forsikring'!B137+'Gjensidige Pensjon'!B137+'Handelsbanken Liv'!B137+'If Skadeforsikring NUF'!B137+KLP!B137+'DNB Bedriftspensjon'!B137+'KLP Skadeforsikring AS'!B137+'Landkreditt Forsikring'!B137+Insr!B137+'Nordea Liv '!B137+'Oslo Pensjonsforsikring'!B137+'Protector Forsikring'!B137+'SHB Liv'!B137+'Sparebank 1'!B137+'Storebrand Livsforsikring'!B137+'Telenor Forsikring'!B137+'Tryg Forsikring'!B137+'WaterCircles F'!B137+'Codan Forsikring'!B137+'Euro Accident'!B137</f>
        <v>7696593.8039999995</v>
      </c>
      <c r="C137" s="273">
        <f>'Fremtind Livsforsikring'!C137+'Danica Pensjonsforsikring'!C137+'DNB Livsforsikring'!C137+'Eika Forsikring AS'!C137+'Frende Livsforsikring'!C137+'Frende Skadeforsikring'!C137+'Gjensidige Forsikring'!C137+'Gjensidige Pensjon'!C137+'Handelsbanken Liv'!C137+'If Skadeforsikring NUF'!C137+KLP!C137+'DNB Bedriftspensjon'!C137+'KLP Skadeforsikring AS'!C137+'Landkreditt Forsikring'!C137+Insr!C137+'Nordea Liv '!C137+'Oslo Pensjonsforsikring'!C137+'Protector Forsikring'!C137+'SHB Liv'!C137+'Sparebank 1'!C137+'Storebrand Livsforsikring'!C137+'Telenor Forsikring'!C137+'Tryg Forsikring'!C137+'WaterCircles F'!C137+'Codan Forsikring'!C137+'Euro Accident'!C137</f>
        <v>8346122.3590000002</v>
      </c>
      <c r="D137" s="9">
        <f>IF(B137=0, "    ---- ", IF(ABS(ROUND(100/B137*C137-100,1))&lt;999,ROUND(100/B137*C137-100,1),IF(ROUND(100/B137*C137-100,1)&gt;999,999,-999)))</f>
        <v>8.4</v>
      </c>
      <c r="E137" s="273">
        <f>'Fremtind Livsforsikring'!F137+'Danica Pensjonsforsikring'!F137+'DNB Livsforsikring'!F137+'Eika Forsikring AS'!F137+'Frende Livsforsikring'!F137+'Frende Skadeforsikring'!F137+'Gjensidige Forsikring'!F137+'Gjensidige Pensjon'!F137+'Handelsbanken Liv'!F137+'If Skadeforsikring NUF'!F137+KLP!F137+'DNB Bedriftspensjon'!F137+'KLP Skadeforsikring AS'!F137+'Landkreditt Forsikring'!F137+Insr!F137+'Nordea Liv '!F137+'Oslo Pensjonsforsikring'!F137+'Protector Forsikring'!F137+'SHB Liv'!F137+'Sparebank 1'!F137+'Storebrand Livsforsikring'!F137+'Telenor Forsikring'!F137+'Tryg Forsikring'!F137+'WaterCircles F'!F137+'Codan Forsikring'!F137+'Euro Accident'!F137</f>
        <v>0</v>
      </c>
      <c r="F137" s="273">
        <f>'Fremtind Livsforsikring'!G137+'Danica Pensjonsforsikring'!G137+'DNB Livsforsikring'!G137+'Eika Forsikring AS'!G137+'Frende Livsforsikring'!G137+'Frende Skadeforsikring'!G137+'Gjensidige Forsikring'!G137+'Gjensidige Pensjon'!G137+'Handelsbanken Liv'!G137+'If Skadeforsikring NUF'!G137+KLP!G137+'DNB Bedriftspensjon'!G137+'KLP Skadeforsikring AS'!G137+'Landkreditt Forsikring'!G137+Insr!G137+'Nordea Liv '!G137+'Oslo Pensjonsforsikring'!G137+'Protector Forsikring'!G137+'SHB Liv'!G137+'Sparebank 1'!G137+'Storebrand Livsforsikring'!G137+'Telenor Forsikring'!G137+'Tryg Forsikring'!G137+'WaterCircles F'!G137+'Codan Forsikring'!G137+'Euro Accident'!G137</f>
        <v>0</v>
      </c>
      <c r="G137" s="9"/>
      <c r="H137" s="273">
        <f t="shared" si="24"/>
        <v>7696593.8039999995</v>
      </c>
      <c r="I137" s="273">
        <f t="shared" si="24"/>
        <v>8346122.3590000002</v>
      </c>
      <c r="J137" s="9">
        <f>IF(H137=0, "    ---- ", IF(ABS(ROUND(100/H137*I137-100,1))&lt;999,ROUND(100/H137*I137-100,1),IF(ROUND(100/H137*I137-100,1)&gt;999,999,-999)))</f>
        <v>8.4</v>
      </c>
    </row>
    <row r="138" spans="1:10" s="3" customFormat="1" ht="15.75" customHeight="1" x14ac:dyDescent="0.25">
      <c r="A138" s="8"/>
      <c r="E138" s="7"/>
      <c r="F138" s="7"/>
      <c r="G138" s="6"/>
      <c r="H138" s="7"/>
      <c r="I138" s="7"/>
      <c r="J138" s="6"/>
    </row>
    <row r="139" spans="1:10" ht="15.75" customHeight="1" x14ac:dyDescent="0.25"/>
    <row r="140" spans="1:10" ht="15.75" customHeight="1" x14ac:dyDescent="0.25"/>
    <row r="141" spans="1:10" ht="15.75" customHeight="1" x14ac:dyDescent="0.25"/>
    <row r="142" spans="1:10" ht="15.75" customHeight="1" x14ac:dyDescent="0.25"/>
    <row r="143" spans="1:10" ht="15.75" customHeight="1" x14ac:dyDescent="0.25"/>
    <row r="144" spans="1:10"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01:I106">
    <cfRule type="expression" dxfId="2533" priority="81">
      <formula>kvartal&lt;4</formula>
    </cfRule>
  </conditionalFormatting>
  <conditionalFormatting sqref="H69:I74">
    <cfRule type="expression" dxfId="2532" priority="89">
      <formula>kvartal&lt;4</formula>
    </cfRule>
  </conditionalFormatting>
  <conditionalFormatting sqref="H80:I85">
    <cfRule type="expression" dxfId="2531" priority="86">
      <formula>kvartal&lt;4</formula>
    </cfRule>
  </conditionalFormatting>
  <conditionalFormatting sqref="H90:I95">
    <cfRule type="expression" dxfId="2530" priority="82">
      <formula>kvartal&lt;4</formula>
    </cfRule>
  </conditionalFormatting>
  <conditionalFormatting sqref="H115:I115">
    <cfRule type="expression" dxfId="2529" priority="80">
      <formula>kvartal&lt;4</formula>
    </cfRule>
  </conditionalFormatting>
  <conditionalFormatting sqref="H123:I123">
    <cfRule type="expression" dxfId="2528" priority="79">
      <formula>kvartal&lt;4</formula>
    </cfRule>
  </conditionalFormatting>
  <conditionalFormatting sqref="A50:A52">
    <cfRule type="expression" dxfId="2527" priority="75">
      <formula>kvartal &lt; 4</formula>
    </cfRule>
  </conditionalFormatting>
  <conditionalFormatting sqref="A69:A74">
    <cfRule type="expression" dxfId="2526" priority="73">
      <formula>kvartal &lt; 4</formula>
    </cfRule>
  </conditionalFormatting>
  <conditionalFormatting sqref="A80:A85">
    <cfRule type="expression" dxfId="2525" priority="72">
      <formula>kvartal &lt; 4</formula>
    </cfRule>
  </conditionalFormatting>
  <conditionalFormatting sqref="A90:A95">
    <cfRule type="expression" dxfId="2524" priority="69">
      <formula>kvartal &lt; 4</formula>
    </cfRule>
  </conditionalFormatting>
  <conditionalFormatting sqref="A101:A106">
    <cfRule type="expression" dxfId="2523" priority="68">
      <formula>kvartal &lt; 4</formula>
    </cfRule>
  </conditionalFormatting>
  <conditionalFormatting sqref="A115">
    <cfRule type="expression" dxfId="2522" priority="67">
      <formula>kvartal &lt; 4</formula>
    </cfRule>
  </conditionalFormatting>
  <conditionalFormatting sqref="A123">
    <cfRule type="expression" dxfId="2521" priority="66">
      <formula>kvartal &lt; 4</formula>
    </cfRule>
  </conditionalFormatting>
  <conditionalFormatting sqref="B50:B52">
    <cfRule type="expression" dxfId="2520" priority="59">
      <formula>kvartal&lt;4</formula>
    </cfRule>
  </conditionalFormatting>
  <conditionalFormatting sqref="B69">
    <cfRule type="expression" dxfId="2519" priority="57">
      <formula>kvartal&lt;4</formula>
    </cfRule>
  </conditionalFormatting>
  <conditionalFormatting sqref="B72">
    <cfRule type="expression" dxfId="2518" priority="56">
      <formula>kvartal&lt;4</formula>
    </cfRule>
  </conditionalFormatting>
  <conditionalFormatting sqref="B80">
    <cfRule type="expression" dxfId="2517" priority="55">
      <formula>kvartal&lt;4</formula>
    </cfRule>
  </conditionalFormatting>
  <conditionalFormatting sqref="B83">
    <cfRule type="expression" dxfId="2516" priority="54">
      <formula>kvartal&lt;4</formula>
    </cfRule>
  </conditionalFormatting>
  <conditionalFormatting sqref="B90">
    <cfRule type="expression" dxfId="2515" priority="49">
      <formula>kvartal&lt;4</formula>
    </cfRule>
  </conditionalFormatting>
  <conditionalFormatting sqref="B93">
    <cfRule type="expression" dxfId="2514" priority="48">
      <formula>kvartal&lt;4</formula>
    </cfRule>
  </conditionalFormatting>
  <conditionalFormatting sqref="B101">
    <cfRule type="expression" dxfId="2513" priority="47">
      <formula>kvartal&lt;4</formula>
    </cfRule>
  </conditionalFormatting>
  <conditionalFormatting sqref="B104">
    <cfRule type="expression" dxfId="2512" priority="46">
      <formula>kvartal&lt;4</formula>
    </cfRule>
  </conditionalFormatting>
  <conditionalFormatting sqref="B115">
    <cfRule type="expression" dxfId="2511" priority="45">
      <formula>kvartal&lt;4</formula>
    </cfRule>
  </conditionalFormatting>
  <conditionalFormatting sqref="B123">
    <cfRule type="expression" dxfId="2510" priority="44">
      <formula>kvartal&lt;4</formula>
    </cfRule>
  </conditionalFormatting>
  <conditionalFormatting sqref="E69:E74">
    <cfRule type="expression" dxfId="2509" priority="43">
      <formula>kvartal&lt;4</formula>
    </cfRule>
  </conditionalFormatting>
  <conditionalFormatting sqref="E80:E85">
    <cfRule type="expression" dxfId="2508" priority="42">
      <formula>kvartal&lt;4</formula>
    </cfRule>
  </conditionalFormatting>
  <conditionalFormatting sqref="E90:E95">
    <cfRule type="expression" dxfId="2507" priority="39">
      <formula>kvartal&lt;4</formula>
    </cfRule>
  </conditionalFormatting>
  <conditionalFormatting sqref="E101:E106">
    <cfRule type="expression" dxfId="2506" priority="38">
      <formula>kvartal&lt;4</formula>
    </cfRule>
  </conditionalFormatting>
  <conditionalFormatting sqref="E115">
    <cfRule type="expression" dxfId="2505" priority="37">
      <formula>kvartal&lt;4</formula>
    </cfRule>
  </conditionalFormatting>
  <conditionalFormatting sqref="E123">
    <cfRule type="expression" dxfId="2504" priority="36">
      <formula>kvartal&lt;4</formula>
    </cfRule>
  </conditionalFormatting>
  <conditionalFormatting sqref="C90">
    <cfRule type="expression" dxfId="2503" priority="12">
      <formula>kvartal&lt;4</formula>
    </cfRule>
  </conditionalFormatting>
  <conditionalFormatting sqref="C50:C52">
    <cfRule type="expression" dxfId="2502" priority="17">
      <formula>kvartal&lt;4</formula>
    </cfRule>
  </conditionalFormatting>
  <conditionalFormatting sqref="C69">
    <cfRule type="expression" dxfId="2501" priority="16">
      <formula>kvartal&lt;4</formula>
    </cfRule>
  </conditionalFormatting>
  <conditionalFormatting sqref="C72">
    <cfRule type="expression" dxfId="2500" priority="15">
      <formula>kvartal&lt;4</formula>
    </cfRule>
  </conditionalFormatting>
  <conditionalFormatting sqref="C80">
    <cfRule type="expression" dxfId="2499" priority="14">
      <formula>kvartal&lt;4</formula>
    </cfRule>
  </conditionalFormatting>
  <conditionalFormatting sqref="C83">
    <cfRule type="expression" dxfId="2498" priority="13">
      <formula>kvartal&lt;4</formula>
    </cfRule>
  </conditionalFormatting>
  <conditionalFormatting sqref="C93">
    <cfRule type="expression" dxfId="2497" priority="11">
      <formula>kvartal&lt;4</formula>
    </cfRule>
  </conditionalFormatting>
  <conditionalFormatting sqref="C101">
    <cfRule type="expression" dxfId="2496" priority="10">
      <formula>kvartal&lt;4</formula>
    </cfRule>
  </conditionalFormatting>
  <conditionalFormatting sqref="C104">
    <cfRule type="expression" dxfId="2495" priority="9">
      <formula>kvartal&lt;4</formula>
    </cfRule>
  </conditionalFormatting>
  <conditionalFormatting sqref="C115">
    <cfRule type="expression" dxfId="2494" priority="8">
      <formula>kvartal&lt;4</formula>
    </cfRule>
  </conditionalFormatting>
  <conditionalFormatting sqref="C123">
    <cfRule type="expression" dxfId="2493" priority="7">
      <formula>kvartal&lt;4</formula>
    </cfRule>
  </conditionalFormatting>
  <conditionalFormatting sqref="F69:F74">
    <cfRule type="expression" dxfId="2492" priority="6">
      <formula>kvartal&lt;4</formula>
    </cfRule>
  </conditionalFormatting>
  <conditionalFormatting sqref="F80:F85">
    <cfRule type="expression" dxfId="2491" priority="5">
      <formula>kvartal&lt;4</formula>
    </cfRule>
  </conditionalFormatting>
  <conditionalFormatting sqref="F90:F95">
    <cfRule type="expression" dxfId="2490" priority="4">
      <formula>kvartal&lt;4</formula>
    </cfRule>
  </conditionalFormatting>
  <conditionalFormatting sqref="F101:F106">
    <cfRule type="expression" dxfId="2489" priority="3">
      <formula>kvartal&lt;4</formula>
    </cfRule>
  </conditionalFormatting>
  <conditionalFormatting sqref="F115">
    <cfRule type="expression" dxfId="2488" priority="2">
      <formula>kvartal&lt;4</formula>
    </cfRule>
  </conditionalFormatting>
  <conditionalFormatting sqref="F123">
    <cfRule type="expression" dxfId="2487"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N144"/>
  <sheetViews>
    <sheetView showGridLines="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493</v>
      </c>
      <c r="D1" s="26"/>
      <c r="E1" s="26"/>
      <c r="F1" s="26"/>
      <c r="G1" s="26"/>
      <c r="H1" s="26"/>
      <c r="I1" s="26"/>
      <c r="J1" s="26"/>
      <c r="K1" s="26"/>
      <c r="L1" s="26"/>
      <c r="M1" s="26"/>
    </row>
    <row r="2" spans="1:14" ht="15.6" x14ac:dyDescent="0.3">
      <c r="A2" s="164" t="s">
        <v>28</v>
      </c>
      <c r="B2" s="963"/>
      <c r="C2" s="963"/>
      <c r="D2" s="963"/>
      <c r="E2" s="853"/>
      <c r="F2" s="963"/>
      <c r="G2" s="963"/>
      <c r="H2" s="963"/>
      <c r="I2" s="853"/>
      <c r="J2" s="963"/>
      <c r="K2" s="963"/>
      <c r="L2" s="963"/>
      <c r="M2" s="853"/>
    </row>
    <row r="3" spans="1:14" ht="15.6" x14ac:dyDescent="0.3">
      <c r="A3" s="162"/>
      <c r="B3" s="853"/>
      <c r="C3" s="853"/>
      <c r="D3" s="853"/>
      <c r="E3" s="853"/>
      <c r="F3" s="853"/>
      <c r="G3" s="853"/>
      <c r="H3" s="853"/>
      <c r="I3" s="853"/>
      <c r="J3" s="853"/>
      <c r="K3" s="853"/>
      <c r="L3" s="853"/>
      <c r="M3" s="853"/>
    </row>
    <row r="4" spans="1:14" x14ac:dyDescent="0.25">
      <c r="A4" s="143"/>
      <c r="B4" s="959" t="s">
        <v>0</v>
      </c>
      <c r="C4" s="960"/>
      <c r="D4" s="960"/>
      <c r="E4" s="851"/>
      <c r="F4" s="959" t="s">
        <v>1</v>
      </c>
      <c r="G4" s="960"/>
      <c r="H4" s="960"/>
      <c r="I4" s="852"/>
      <c r="J4" s="959" t="s">
        <v>2</v>
      </c>
      <c r="K4" s="960"/>
      <c r="L4" s="960"/>
      <c r="M4" s="852"/>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c r="C7" s="304"/>
      <c r="D7" s="345"/>
      <c r="E7" s="11"/>
      <c r="F7" s="303"/>
      <c r="G7" s="304"/>
      <c r="H7" s="345"/>
      <c r="I7" s="159"/>
      <c r="J7" s="305"/>
      <c r="K7" s="306"/>
      <c r="L7" s="421"/>
      <c r="M7" s="11"/>
    </row>
    <row r="8" spans="1:14" ht="15.6" x14ac:dyDescent="0.25">
      <c r="A8" s="21" t="s">
        <v>25</v>
      </c>
      <c r="B8" s="278"/>
      <c r="C8" s="279"/>
      <c r="D8" s="165"/>
      <c r="E8" s="27"/>
      <c r="F8" s="282"/>
      <c r="G8" s="283"/>
      <c r="H8" s="165"/>
      <c r="I8" s="174"/>
      <c r="J8" s="232"/>
      <c r="K8" s="284"/>
      <c r="L8" s="165"/>
      <c r="M8" s="27"/>
    </row>
    <row r="9" spans="1:14" ht="15.6" x14ac:dyDescent="0.25">
      <c r="A9" s="21" t="s">
        <v>24</v>
      </c>
      <c r="B9" s="278"/>
      <c r="C9" s="279"/>
      <c r="D9" s="165"/>
      <c r="E9" s="27"/>
      <c r="F9" s="282"/>
      <c r="G9" s="283"/>
      <c r="H9" s="165"/>
      <c r="I9" s="174"/>
      <c r="J9" s="232"/>
      <c r="K9" s="284"/>
      <c r="L9" s="165"/>
      <c r="M9" s="27"/>
    </row>
    <row r="10" spans="1:14" ht="15.6" x14ac:dyDescent="0.25">
      <c r="A10" s="13" t="s">
        <v>444</v>
      </c>
      <c r="B10" s="307"/>
      <c r="C10" s="308"/>
      <c r="D10" s="170"/>
      <c r="E10" s="11"/>
      <c r="F10" s="307"/>
      <c r="G10" s="308"/>
      <c r="H10" s="170"/>
      <c r="I10" s="159"/>
      <c r="J10" s="305"/>
      <c r="K10" s="306"/>
      <c r="L10" s="422"/>
      <c r="M10" s="11"/>
    </row>
    <row r="11" spans="1:14" s="43" customFormat="1" ht="15.6" x14ac:dyDescent="0.25">
      <c r="A11" s="13" t="s">
        <v>445</v>
      </c>
      <c r="B11" s="307"/>
      <c r="C11" s="308"/>
      <c r="D11" s="170"/>
      <c r="E11" s="11"/>
      <c r="F11" s="307"/>
      <c r="G11" s="308"/>
      <c r="H11" s="170"/>
      <c r="I11" s="159"/>
      <c r="J11" s="305"/>
      <c r="K11" s="306"/>
      <c r="L11" s="422"/>
      <c r="M11" s="11"/>
      <c r="N11" s="142"/>
    </row>
    <row r="12" spans="1:14" s="43" customFormat="1" ht="15.6" x14ac:dyDescent="0.25">
      <c r="A12" s="41" t="s">
        <v>446</v>
      </c>
      <c r="B12" s="309"/>
      <c r="C12" s="310"/>
      <c r="D12" s="168"/>
      <c r="E12" s="36"/>
      <c r="F12" s="309"/>
      <c r="G12" s="310"/>
      <c r="H12" s="168"/>
      <c r="I12" s="168"/>
      <c r="J12" s="311"/>
      <c r="K12" s="312"/>
      <c r="L12" s="423"/>
      <c r="M12" s="36"/>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853"/>
      <c r="F18" s="958"/>
      <c r="G18" s="958"/>
      <c r="H18" s="958"/>
      <c r="I18" s="853"/>
      <c r="J18" s="958"/>
      <c r="K18" s="958"/>
      <c r="L18" s="958"/>
      <c r="M18" s="853"/>
    </row>
    <row r="19" spans="1:14" x14ac:dyDescent="0.25">
      <c r="A19" s="143"/>
      <c r="B19" s="959" t="s">
        <v>0</v>
      </c>
      <c r="C19" s="960"/>
      <c r="D19" s="960"/>
      <c r="E19" s="851"/>
      <c r="F19" s="959" t="s">
        <v>1</v>
      </c>
      <c r="G19" s="960"/>
      <c r="H19" s="960"/>
      <c r="I19" s="852"/>
      <c r="J19" s="959" t="s">
        <v>2</v>
      </c>
      <c r="K19" s="960"/>
      <c r="L19" s="960"/>
      <c r="M19" s="852"/>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410" t="s">
        <v>30</v>
      </c>
      <c r="F21" s="160"/>
      <c r="G21" s="160"/>
      <c r="H21" s="243" t="s">
        <v>4</v>
      </c>
      <c r="I21" s="155" t="s">
        <v>30</v>
      </c>
      <c r="J21" s="160"/>
      <c r="K21" s="160"/>
      <c r="L21" s="155" t="s">
        <v>4</v>
      </c>
      <c r="M21" s="155" t="s">
        <v>30</v>
      </c>
    </row>
    <row r="22" spans="1:14" ht="15.6" x14ac:dyDescent="0.25">
      <c r="A22" s="14" t="s">
        <v>23</v>
      </c>
      <c r="B22" s="307"/>
      <c r="C22" s="307"/>
      <c r="D22" s="345"/>
      <c r="E22" s="11"/>
      <c r="F22" s="315"/>
      <c r="G22" s="315"/>
      <c r="H22" s="345"/>
      <c r="I22" s="159"/>
      <c r="J22" s="313"/>
      <c r="K22" s="313"/>
      <c r="L22" s="421"/>
      <c r="M22" s="24"/>
    </row>
    <row r="23" spans="1:14" ht="15.6" x14ac:dyDescent="0.25">
      <c r="A23" s="782" t="s">
        <v>447</v>
      </c>
      <c r="B23" s="278"/>
      <c r="C23" s="278"/>
      <c r="D23" s="165"/>
      <c r="E23" s="11"/>
      <c r="F23" s="287"/>
      <c r="G23" s="287"/>
      <c r="H23" s="165"/>
      <c r="I23" s="238"/>
      <c r="J23" s="287"/>
      <c r="K23" s="287"/>
      <c r="L23" s="165"/>
      <c r="M23" s="23"/>
    </row>
    <row r="24" spans="1:14" ht="15.6" x14ac:dyDescent="0.25">
      <c r="A24" s="782" t="s">
        <v>448</v>
      </c>
      <c r="B24" s="278"/>
      <c r="C24" s="278"/>
      <c r="D24" s="165"/>
      <c r="E24" s="11"/>
      <c r="F24" s="287"/>
      <c r="G24" s="287"/>
      <c r="H24" s="165"/>
      <c r="I24" s="238"/>
      <c r="J24" s="287"/>
      <c r="K24" s="287"/>
      <c r="L24" s="165"/>
      <c r="M24" s="23"/>
    </row>
    <row r="25" spans="1:14" ht="15.6" x14ac:dyDescent="0.25">
      <c r="A25" s="782" t="s">
        <v>449</v>
      </c>
      <c r="B25" s="278"/>
      <c r="C25" s="278"/>
      <c r="D25" s="165"/>
      <c r="E25" s="11"/>
      <c r="F25" s="287"/>
      <c r="G25" s="287"/>
      <c r="H25" s="165"/>
      <c r="I25" s="238"/>
      <c r="J25" s="287"/>
      <c r="K25" s="287"/>
      <c r="L25" s="165"/>
      <c r="M25" s="23"/>
    </row>
    <row r="26" spans="1:14" ht="15.6" x14ac:dyDescent="0.25">
      <c r="A26" s="782" t="s">
        <v>450</v>
      </c>
      <c r="B26" s="278"/>
      <c r="C26" s="278"/>
      <c r="D26" s="165"/>
      <c r="E26" s="11"/>
      <c r="F26" s="287"/>
      <c r="G26" s="287"/>
      <c r="H26" s="165"/>
      <c r="I26" s="238"/>
      <c r="J26" s="287"/>
      <c r="K26" s="287"/>
      <c r="L26" s="165"/>
      <c r="M26" s="23"/>
    </row>
    <row r="27" spans="1:14" x14ac:dyDescent="0.25">
      <c r="A27" s="782" t="s">
        <v>11</v>
      </c>
      <c r="B27" s="278"/>
      <c r="C27" s="278"/>
      <c r="D27" s="165"/>
      <c r="E27" s="11"/>
      <c r="F27" s="287"/>
      <c r="G27" s="287"/>
      <c r="H27" s="165"/>
      <c r="I27" s="238"/>
      <c r="J27" s="287"/>
      <c r="K27" s="287"/>
      <c r="L27" s="165"/>
      <c r="M27" s="23"/>
    </row>
    <row r="28" spans="1:14" ht="15.6" x14ac:dyDescent="0.25">
      <c r="A28" s="49" t="s">
        <v>274</v>
      </c>
      <c r="B28" s="44"/>
      <c r="C28" s="284"/>
      <c r="D28" s="165"/>
      <c r="E28" s="11"/>
      <c r="F28" s="232"/>
      <c r="G28" s="284"/>
      <c r="H28" s="165"/>
      <c r="I28" s="174"/>
      <c r="J28" s="44"/>
      <c r="K28" s="44"/>
      <c r="L28" s="252"/>
      <c r="M28" s="23"/>
    </row>
    <row r="29" spans="1:14" s="3" customFormat="1" ht="15.6" x14ac:dyDescent="0.25">
      <c r="A29" s="13" t="s">
        <v>444</v>
      </c>
      <c r="B29" s="234"/>
      <c r="C29" s="234"/>
      <c r="D29" s="170"/>
      <c r="E29" s="11"/>
      <c r="F29" s="305"/>
      <c r="G29" s="305"/>
      <c r="H29" s="170"/>
      <c r="I29" s="159"/>
      <c r="J29" s="234"/>
      <c r="K29" s="234"/>
      <c r="L29" s="422"/>
      <c r="M29" s="24"/>
      <c r="N29" s="147"/>
    </row>
    <row r="30" spans="1:14" s="3" customFormat="1" ht="15.6" x14ac:dyDescent="0.25">
      <c r="A30" s="782" t="s">
        <v>447</v>
      </c>
      <c r="B30" s="278"/>
      <c r="C30" s="278"/>
      <c r="D30" s="165"/>
      <c r="E30" s="11"/>
      <c r="F30" s="287"/>
      <c r="G30" s="287"/>
      <c r="H30" s="165"/>
      <c r="I30" s="238"/>
      <c r="J30" s="287"/>
      <c r="K30" s="287"/>
      <c r="L30" s="165"/>
      <c r="M30" s="23"/>
      <c r="N30" s="147"/>
    </row>
    <row r="31" spans="1:14" s="3" customFormat="1" ht="15.6" x14ac:dyDescent="0.25">
      <c r="A31" s="782" t="s">
        <v>448</v>
      </c>
      <c r="B31" s="278"/>
      <c r="C31" s="278"/>
      <c r="D31" s="165"/>
      <c r="E31" s="11"/>
      <c r="F31" s="287"/>
      <c r="G31" s="287"/>
      <c r="H31" s="165"/>
      <c r="I31" s="238"/>
      <c r="J31" s="287"/>
      <c r="K31" s="287"/>
      <c r="L31" s="165"/>
      <c r="M31" s="23"/>
      <c r="N31" s="147"/>
    </row>
    <row r="32" spans="1:14" ht="15.6" x14ac:dyDescent="0.25">
      <c r="A32" s="782" t="s">
        <v>449</v>
      </c>
      <c r="B32" s="278"/>
      <c r="C32" s="278"/>
      <c r="D32" s="165"/>
      <c r="E32" s="11"/>
      <c r="F32" s="287"/>
      <c r="G32" s="287"/>
      <c r="H32" s="165"/>
      <c r="I32" s="238"/>
      <c r="J32" s="287"/>
      <c r="K32" s="287"/>
      <c r="L32" s="165"/>
      <c r="M32" s="23"/>
    </row>
    <row r="33" spans="1:14" ht="15.6" x14ac:dyDescent="0.25">
      <c r="A33" s="782" t="s">
        <v>450</v>
      </c>
      <c r="B33" s="278"/>
      <c r="C33" s="278"/>
      <c r="D33" s="165"/>
      <c r="E33" s="11"/>
      <c r="F33" s="287"/>
      <c r="G33" s="287"/>
      <c r="H33" s="165"/>
      <c r="I33" s="238"/>
      <c r="J33" s="287"/>
      <c r="K33" s="287"/>
      <c r="L33" s="165"/>
      <c r="M33" s="23"/>
    </row>
    <row r="34" spans="1:14" ht="15.6" x14ac:dyDescent="0.25">
      <c r="A34" s="13" t="s">
        <v>445</v>
      </c>
      <c r="B34" s="234"/>
      <c r="C34" s="306"/>
      <c r="D34" s="170"/>
      <c r="E34" s="11"/>
      <c r="F34" s="305"/>
      <c r="G34" s="306"/>
      <c r="H34" s="170"/>
      <c r="I34" s="159"/>
      <c r="J34" s="234"/>
      <c r="K34" s="234"/>
      <c r="L34" s="422"/>
      <c r="M34" s="24"/>
    </row>
    <row r="35" spans="1:14" ht="15.6" x14ac:dyDescent="0.25">
      <c r="A35" s="13" t="s">
        <v>446</v>
      </c>
      <c r="B35" s="234"/>
      <c r="C35" s="306"/>
      <c r="D35" s="170"/>
      <c r="E35" s="11"/>
      <c r="F35" s="305"/>
      <c r="G35" s="306"/>
      <c r="H35" s="170"/>
      <c r="I35" s="159"/>
      <c r="J35" s="234"/>
      <c r="K35" s="234"/>
      <c r="L35" s="422"/>
      <c r="M35" s="24"/>
    </row>
    <row r="36" spans="1:14" ht="15.6" x14ac:dyDescent="0.25">
      <c r="A36" s="12" t="s">
        <v>282</v>
      </c>
      <c r="B36" s="234"/>
      <c r="C36" s="306"/>
      <c r="D36" s="170"/>
      <c r="E36" s="11"/>
      <c r="F36" s="316"/>
      <c r="G36" s="317"/>
      <c r="H36" s="170"/>
      <c r="I36" s="424"/>
      <c r="J36" s="234"/>
      <c r="K36" s="234"/>
      <c r="L36" s="422"/>
      <c r="M36" s="24"/>
    </row>
    <row r="37" spans="1:14" ht="15.6" x14ac:dyDescent="0.25">
      <c r="A37" s="12" t="s">
        <v>452</v>
      </c>
      <c r="B37" s="234"/>
      <c r="C37" s="306"/>
      <c r="D37" s="170"/>
      <c r="E37" s="11"/>
      <c r="F37" s="316"/>
      <c r="G37" s="318"/>
      <c r="H37" s="170"/>
      <c r="I37" s="424"/>
      <c r="J37" s="234"/>
      <c r="K37" s="234"/>
      <c r="L37" s="422"/>
      <c r="M37" s="24"/>
    </row>
    <row r="38" spans="1:14" ht="15.6" x14ac:dyDescent="0.25">
      <c r="A38" s="12" t="s">
        <v>453</v>
      </c>
      <c r="B38" s="234"/>
      <c r="C38" s="306"/>
      <c r="D38" s="170"/>
      <c r="E38" s="24"/>
      <c r="F38" s="316"/>
      <c r="G38" s="317"/>
      <c r="H38" s="170"/>
      <c r="I38" s="424"/>
      <c r="J38" s="234"/>
      <c r="K38" s="234"/>
      <c r="L38" s="422"/>
      <c r="M38" s="24"/>
    </row>
    <row r="39" spans="1:14" ht="15.6" x14ac:dyDescent="0.25">
      <c r="A39" s="18" t="s">
        <v>454</v>
      </c>
      <c r="B39" s="273"/>
      <c r="C39" s="312"/>
      <c r="D39" s="168"/>
      <c r="E39" s="36"/>
      <c r="F39" s="319"/>
      <c r="G39" s="320"/>
      <c r="H39" s="168"/>
      <c r="I39" s="168"/>
      <c r="J39" s="234"/>
      <c r="K39" s="234"/>
      <c r="L39" s="423"/>
      <c r="M39" s="36"/>
    </row>
    <row r="40" spans="1:14" ht="15.6" x14ac:dyDescent="0.3">
      <c r="A40" s="47"/>
      <c r="B40" s="251"/>
      <c r="C40" s="251"/>
      <c r="D40" s="962"/>
      <c r="E40" s="962"/>
      <c r="F40" s="962"/>
      <c r="G40" s="962"/>
      <c r="H40" s="962"/>
      <c r="I40" s="962"/>
      <c r="J40" s="962"/>
      <c r="K40" s="962"/>
      <c r="L40" s="962"/>
      <c r="M40" s="854"/>
    </row>
    <row r="41" spans="1:14" x14ac:dyDescent="0.25">
      <c r="A41" s="154"/>
    </row>
    <row r="42" spans="1:14" ht="15.6" x14ac:dyDescent="0.3">
      <c r="A42" s="146" t="s">
        <v>271</v>
      </c>
      <c r="B42" s="963"/>
      <c r="C42" s="963"/>
      <c r="D42" s="963"/>
      <c r="E42" s="853"/>
      <c r="F42" s="964"/>
      <c r="G42" s="964"/>
      <c r="H42" s="964"/>
      <c r="I42" s="854"/>
      <c r="J42" s="964"/>
      <c r="K42" s="964"/>
      <c r="L42" s="964"/>
      <c r="M42" s="854"/>
    </row>
    <row r="43" spans="1:14" ht="15.6" x14ac:dyDescent="0.3">
      <c r="A43" s="162"/>
      <c r="B43" s="849"/>
      <c r="C43" s="849"/>
      <c r="D43" s="849"/>
      <c r="E43" s="849"/>
      <c r="F43" s="854"/>
      <c r="G43" s="854"/>
      <c r="H43" s="854"/>
      <c r="I43" s="854"/>
      <c r="J43" s="854"/>
      <c r="K43" s="854"/>
      <c r="L43" s="854"/>
      <c r="M43" s="854"/>
    </row>
    <row r="44" spans="1:14" ht="15.6" x14ac:dyDescent="0.3">
      <c r="A44" s="245"/>
      <c r="B44" s="959" t="s">
        <v>0</v>
      </c>
      <c r="C44" s="960"/>
      <c r="D44" s="960"/>
      <c r="E44" s="241"/>
      <c r="F44" s="854"/>
      <c r="G44" s="854"/>
      <c r="H44" s="854"/>
      <c r="I44" s="854"/>
      <c r="J44" s="854"/>
      <c r="K44" s="854"/>
      <c r="L44" s="854"/>
      <c r="M44" s="854"/>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c r="C47" s="308">
        <v>82704</v>
      </c>
      <c r="D47" s="421" t="str">
        <f t="shared" ref="D47:D57" si="0">IF(B47=0, "    ---- ", IF(ABS(ROUND(100/B47*C47-100,1))&lt;999,ROUND(100/B47*C47-100,1),IF(ROUND(100/B47*C47-100,1)&gt;999,999,-999)))</f>
        <v xml:space="preserve">    ---- </v>
      </c>
      <c r="E47" s="11">
        <f>IFERROR(100/'Skjema total MA'!C47*C47,0)</f>
        <v>1.6235556533588968</v>
      </c>
      <c r="F47" s="144"/>
      <c r="G47" s="33"/>
      <c r="H47" s="158"/>
      <c r="I47" s="158"/>
      <c r="J47" s="37"/>
      <c r="K47" s="37"/>
      <c r="L47" s="158"/>
      <c r="M47" s="158"/>
      <c r="N47" s="147"/>
    </row>
    <row r="48" spans="1:14" s="3" customFormat="1" ht="15.6" x14ac:dyDescent="0.25">
      <c r="A48" s="38" t="s">
        <v>455</v>
      </c>
      <c r="B48" s="278"/>
      <c r="C48" s="279">
        <v>82704</v>
      </c>
      <c r="D48" s="252" t="str">
        <f t="shared" si="0"/>
        <v xml:space="preserve">    ---- </v>
      </c>
      <c r="E48" s="27">
        <f>IFERROR(100/'Skjema total MA'!C48*C48,0)</f>
        <v>2.9201021143248265</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v>5147</v>
      </c>
      <c r="D53" s="422" t="str">
        <f t="shared" si="0"/>
        <v xml:space="preserve">    ---- </v>
      </c>
      <c r="E53" s="11">
        <f>IFERROR(100/'Skjema total MA'!C53*C53,0)</f>
        <v>1.8820795998610897</v>
      </c>
      <c r="F53" s="144"/>
      <c r="G53" s="33"/>
      <c r="H53" s="144"/>
      <c r="I53" s="144"/>
      <c r="J53" s="33"/>
      <c r="K53" s="33"/>
      <c r="L53" s="158"/>
      <c r="M53" s="158"/>
      <c r="N53" s="147"/>
    </row>
    <row r="54" spans="1:14" s="3" customFormat="1" ht="15.6" x14ac:dyDescent="0.25">
      <c r="A54" s="38" t="s">
        <v>455</v>
      </c>
      <c r="B54" s="278"/>
      <c r="C54" s="279">
        <v>5147</v>
      </c>
      <c r="D54" s="252" t="str">
        <f t="shared" si="0"/>
        <v xml:space="preserve">    ---- </v>
      </c>
      <c r="E54" s="27">
        <f>IFERROR(100/'Skjema total MA'!C54*C54,0)</f>
        <v>1.9252005112553159</v>
      </c>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v>13303</v>
      </c>
      <c r="D56" s="422" t="str">
        <f t="shared" si="0"/>
        <v xml:space="preserve">    ---- </v>
      </c>
      <c r="E56" s="11">
        <f>IFERROR(100/'Skjema total MA'!C56*C56,0)</f>
        <v>3.7249981932232696</v>
      </c>
      <c r="F56" s="144"/>
      <c r="G56" s="33"/>
      <c r="H56" s="144"/>
      <c r="I56" s="144"/>
      <c r="J56" s="33"/>
      <c r="K56" s="33"/>
      <c r="L56" s="158"/>
      <c r="M56" s="158"/>
      <c r="N56" s="147"/>
    </row>
    <row r="57" spans="1:14" s="3" customFormat="1" ht="15.6" x14ac:dyDescent="0.25">
      <c r="A57" s="38" t="s">
        <v>455</v>
      </c>
      <c r="B57" s="278"/>
      <c r="C57" s="279">
        <v>13303</v>
      </c>
      <c r="D57" s="252" t="str">
        <f t="shared" si="0"/>
        <v xml:space="preserve">    ---- </v>
      </c>
      <c r="E57" s="27">
        <f>IFERROR(100/'Skjema total MA'!C57*C57,0)</f>
        <v>3.7249981932232696</v>
      </c>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853"/>
      <c r="F62" s="958"/>
      <c r="G62" s="958"/>
      <c r="H62" s="958"/>
      <c r="I62" s="853"/>
      <c r="J62" s="958"/>
      <c r="K62" s="958"/>
      <c r="L62" s="958"/>
      <c r="M62" s="853"/>
    </row>
    <row r="63" spans="1:14" x14ac:dyDescent="0.25">
      <c r="A63" s="143"/>
      <c r="B63" s="959" t="s">
        <v>0</v>
      </c>
      <c r="C63" s="960"/>
      <c r="D63" s="961"/>
      <c r="E63" s="850"/>
      <c r="F63" s="960" t="s">
        <v>1</v>
      </c>
      <c r="G63" s="960"/>
      <c r="H63" s="960"/>
      <c r="I63" s="852"/>
      <c r="J63" s="959" t="s">
        <v>2</v>
      </c>
      <c r="K63" s="960"/>
      <c r="L63" s="960"/>
      <c r="M63" s="852"/>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c r="C66" s="348"/>
      <c r="D66" s="345"/>
      <c r="E66" s="11"/>
      <c r="F66" s="347"/>
      <c r="G66" s="347"/>
      <c r="H66" s="345"/>
      <c r="I66" s="11"/>
      <c r="J66" s="306"/>
      <c r="K66" s="313"/>
      <c r="L66" s="422"/>
      <c r="M66" s="11"/>
    </row>
    <row r="67" spans="1:14" x14ac:dyDescent="0.25">
      <c r="A67" s="21" t="s">
        <v>9</v>
      </c>
      <c r="B67" s="44"/>
      <c r="C67" s="144"/>
      <c r="D67" s="165"/>
      <c r="E67" s="27"/>
      <c r="F67" s="232"/>
      <c r="G67" s="144"/>
      <c r="H67" s="165"/>
      <c r="I67" s="27"/>
      <c r="J67" s="284"/>
      <c r="K67" s="44"/>
      <c r="L67" s="252"/>
      <c r="M67" s="27"/>
    </row>
    <row r="68" spans="1:14" x14ac:dyDescent="0.25">
      <c r="A68" s="21" t="s">
        <v>10</v>
      </c>
      <c r="B68" s="289"/>
      <c r="C68" s="290"/>
      <c r="D68" s="165"/>
      <c r="E68" s="27"/>
      <c r="F68" s="289"/>
      <c r="G68" s="290"/>
      <c r="H68" s="165"/>
      <c r="I68" s="27"/>
      <c r="J68" s="284"/>
      <c r="K68" s="44"/>
      <c r="L68" s="252"/>
      <c r="M68" s="27"/>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c r="G72" s="278"/>
      <c r="H72" s="165"/>
      <c r="I72" s="411"/>
      <c r="J72" s="287"/>
      <c r="K72" s="287"/>
      <c r="L72" s="165"/>
      <c r="M72" s="23"/>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c r="G74" s="278"/>
      <c r="H74" s="165"/>
      <c r="I74" s="411"/>
      <c r="J74" s="287"/>
      <c r="K74" s="287"/>
      <c r="L74" s="165"/>
      <c r="M74" s="23"/>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c r="C77" s="232"/>
      <c r="D77" s="165"/>
      <c r="E77" s="27"/>
      <c r="F77" s="232"/>
      <c r="G77" s="144"/>
      <c r="H77" s="165"/>
      <c r="I77" s="27"/>
      <c r="J77" s="284"/>
      <c r="K77" s="44"/>
      <c r="L77" s="252"/>
      <c r="M77" s="27"/>
    </row>
    <row r="78" spans="1:14" x14ac:dyDescent="0.25">
      <c r="A78" s="21" t="s">
        <v>9</v>
      </c>
      <c r="B78" s="232"/>
      <c r="C78" s="144"/>
      <c r="D78" s="165"/>
      <c r="E78" s="27"/>
      <c r="F78" s="232"/>
      <c r="G78" s="144"/>
      <c r="H78" s="165"/>
      <c r="I78" s="27"/>
      <c r="J78" s="284"/>
      <c r="K78" s="44"/>
      <c r="L78" s="252"/>
      <c r="M78" s="27"/>
    </row>
    <row r="79" spans="1:14" x14ac:dyDescent="0.25">
      <c r="A79" s="38" t="s">
        <v>495</v>
      </c>
      <c r="B79" s="289"/>
      <c r="C79" s="290"/>
      <c r="D79" s="165"/>
      <c r="E79" s="27"/>
      <c r="F79" s="289"/>
      <c r="G79" s="290"/>
      <c r="H79" s="165"/>
      <c r="I79" s="27"/>
      <c r="J79" s="284"/>
      <c r="K79" s="44"/>
      <c r="L79" s="252"/>
      <c r="M79" s="27"/>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c r="G83" s="278"/>
      <c r="H83" s="165"/>
      <c r="I83" s="411"/>
      <c r="J83" s="287"/>
      <c r="K83" s="287"/>
      <c r="L83" s="165"/>
      <c r="M83" s="23"/>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c r="G85" s="278"/>
      <c r="H85" s="165"/>
      <c r="I85" s="411"/>
      <c r="J85" s="287"/>
      <c r="K85" s="287"/>
      <c r="L85" s="165"/>
      <c r="M85" s="23"/>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c r="C87" s="348"/>
      <c r="D87" s="170"/>
      <c r="E87" s="11"/>
      <c r="F87" s="347"/>
      <c r="G87" s="347"/>
      <c r="H87" s="170"/>
      <c r="I87" s="11"/>
      <c r="J87" s="306"/>
      <c r="K87" s="234"/>
      <c r="L87" s="422"/>
      <c r="M87" s="11"/>
    </row>
    <row r="88" spans="1:13" x14ac:dyDescent="0.25">
      <c r="A88" s="21" t="s">
        <v>9</v>
      </c>
      <c r="B88" s="232"/>
      <c r="C88" s="144"/>
      <c r="D88" s="165"/>
      <c r="E88" s="27"/>
      <c r="F88" s="232"/>
      <c r="G88" s="144"/>
      <c r="H88" s="165"/>
      <c r="I88" s="27"/>
      <c r="J88" s="284"/>
      <c r="K88" s="44"/>
      <c r="L88" s="252"/>
      <c r="M88" s="27"/>
    </row>
    <row r="89" spans="1:13" x14ac:dyDescent="0.25">
      <c r="A89" s="21" t="s">
        <v>10</v>
      </c>
      <c r="B89" s="232"/>
      <c r="C89" s="144"/>
      <c r="D89" s="165"/>
      <c r="E89" s="27"/>
      <c r="F89" s="232"/>
      <c r="G89" s="144"/>
      <c r="H89" s="165"/>
      <c r="I89" s="27"/>
      <c r="J89" s="284"/>
      <c r="K89" s="44"/>
      <c r="L89" s="252"/>
      <c r="M89" s="27"/>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c r="G93" s="278"/>
      <c r="H93" s="165"/>
      <c r="I93" s="411"/>
      <c r="J93" s="287"/>
      <c r="K93" s="287"/>
      <c r="L93" s="165"/>
      <c r="M93" s="23"/>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c r="G95" s="278"/>
      <c r="H95" s="165"/>
      <c r="I95" s="411"/>
      <c r="J95" s="287"/>
      <c r="K95" s="287"/>
      <c r="L95" s="165"/>
      <c r="M95" s="23"/>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c r="C98" s="232"/>
      <c r="D98" s="165"/>
      <c r="E98" s="27"/>
      <c r="F98" s="289"/>
      <c r="G98" s="289"/>
      <c r="H98" s="165"/>
      <c r="I98" s="27"/>
      <c r="J98" s="284"/>
      <c r="K98" s="44"/>
      <c r="L98" s="252"/>
      <c r="M98" s="27"/>
    </row>
    <row r="99" spans="1:13" x14ac:dyDescent="0.25">
      <c r="A99" s="21" t="s">
        <v>9</v>
      </c>
      <c r="B99" s="289"/>
      <c r="C99" s="290"/>
      <c r="D99" s="165"/>
      <c r="E99" s="27"/>
      <c r="F99" s="232"/>
      <c r="G99" s="144"/>
      <c r="H99" s="165"/>
      <c r="I99" s="27"/>
      <c r="J99" s="284"/>
      <c r="K99" s="44"/>
      <c r="L99" s="252"/>
      <c r="M99" s="27"/>
    </row>
    <row r="100" spans="1:13" x14ac:dyDescent="0.25">
      <c r="A100" s="38" t="s">
        <v>495</v>
      </c>
      <c r="B100" s="289"/>
      <c r="C100" s="290"/>
      <c r="D100" s="165"/>
      <c r="E100" s="27"/>
      <c r="F100" s="232"/>
      <c r="G100" s="232"/>
      <c r="H100" s="165"/>
      <c r="I100" s="27"/>
      <c r="J100" s="284"/>
      <c r="K100" s="44"/>
      <c r="L100" s="252"/>
      <c r="M100" s="27"/>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c r="G104" s="278"/>
      <c r="H104" s="165"/>
      <c r="I104" s="411"/>
      <c r="J104" s="287"/>
      <c r="K104" s="287"/>
      <c r="L104" s="165"/>
      <c r="M104" s="23"/>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c r="G106" s="278"/>
      <c r="H106" s="165"/>
      <c r="I106" s="411"/>
      <c r="J106" s="287"/>
      <c r="K106" s="287"/>
      <c r="L106" s="165"/>
      <c r="M106" s="23"/>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c r="C108" s="232"/>
      <c r="D108" s="165"/>
      <c r="E108" s="27"/>
      <c r="F108" s="232"/>
      <c r="G108" s="232"/>
      <c r="H108" s="165"/>
      <c r="I108" s="27"/>
      <c r="J108" s="284"/>
      <c r="K108" s="44"/>
      <c r="L108" s="252"/>
      <c r="M108" s="27"/>
    </row>
    <row r="109" spans="1:13" ht="15.75" customHeight="1" x14ac:dyDescent="0.25">
      <c r="A109" s="21" t="s">
        <v>510</v>
      </c>
      <c r="B109" s="232"/>
      <c r="C109" s="232"/>
      <c r="D109" s="165"/>
      <c r="E109" s="27"/>
      <c r="F109" s="232"/>
      <c r="G109" s="232"/>
      <c r="H109" s="165"/>
      <c r="I109" s="27"/>
      <c r="J109" s="284"/>
      <c r="K109" s="44"/>
      <c r="L109" s="252"/>
      <c r="M109" s="27"/>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c r="C111" s="158"/>
      <c r="D111" s="170"/>
      <c r="E111" s="11"/>
      <c r="F111" s="305"/>
      <c r="G111" s="158"/>
      <c r="H111" s="170"/>
      <c r="I111" s="11"/>
      <c r="J111" s="306"/>
      <c r="K111" s="234"/>
      <c r="L111" s="422"/>
      <c r="M111" s="11"/>
    </row>
    <row r="112" spans="1:13" x14ac:dyDescent="0.25">
      <c r="A112" s="21" t="s">
        <v>9</v>
      </c>
      <c r="B112" s="232"/>
      <c r="C112" s="144"/>
      <c r="D112" s="165"/>
      <c r="E112" s="27"/>
      <c r="F112" s="232"/>
      <c r="G112" s="144"/>
      <c r="H112" s="165"/>
      <c r="I112" s="27"/>
      <c r="J112" s="284"/>
      <c r="K112" s="44"/>
      <c r="L112" s="252"/>
      <c r="M112" s="27"/>
    </row>
    <row r="113" spans="1:14" x14ac:dyDescent="0.25">
      <c r="A113" s="21" t="s">
        <v>495</v>
      </c>
      <c r="B113" s="232"/>
      <c r="C113" s="144"/>
      <c r="D113" s="165"/>
      <c r="E113" s="27"/>
      <c r="F113" s="232"/>
      <c r="G113" s="144"/>
      <c r="H113" s="165"/>
      <c r="I113" s="27"/>
      <c r="J113" s="284"/>
      <c r="K113" s="44"/>
      <c r="L113" s="252"/>
      <c r="M113" s="27"/>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c r="G117" s="232"/>
      <c r="H117" s="165"/>
      <c r="I117" s="27"/>
      <c r="J117" s="284"/>
      <c r="K117" s="44"/>
      <c r="L117" s="252"/>
      <c r="M117" s="27"/>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c r="C119" s="158"/>
      <c r="D119" s="170"/>
      <c r="E119" s="11"/>
      <c r="F119" s="305"/>
      <c r="G119" s="158"/>
      <c r="H119" s="170"/>
      <c r="I119" s="11"/>
      <c r="J119" s="306"/>
      <c r="K119" s="234"/>
      <c r="L119" s="422"/>
      <c r="M119" s="11"/>
    </row>
    <row r="120" spans="1:14" x14ac:dyDescent="0.25">
      <c r="A120" s="21" t="s">
        <v>9</v>
      </c>
      <c r="B120" s="232"/>
      <c r="C120" s="144"/>
      <c r="D120" s="165"/>
      <c r="E120" s="27"/>
      <c r="F120" s="232"/>
      <c r="G120" s="144"/>
      <c r="H120" s="165"/>
      <c r="I120" s="27"/>
      <c r="J120" s="284"/>
      <c r="K120" s="44"/>
      <c r="L120" s="252"/>
      <c r="M120" s="27"/>
    </row>
    <row r="121" spans="1:14" x14ac:dyDescent="0.25">
      <c r="A121" s="21" t="s">
        <v>495</v>
      </c>
      <c r="B121" s="232"/>
      <c r="C121" s="144"/>
      <c r="D121" s="165"/>
      <c r="E121" s="27"/>
      <c r="F121" s="232"/>
      <c r="G121" s="144"/>
      <c r="H121" s="165"/>
      <c r="I121" s="27"/>
      <c r="J121" s="284"/>
      <c r="K121" s="44"/>
      <c r="L121" s="252"/>
      <c r="M121" s="27"/>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c r="G124" s="232"/>
      <c r="H124" s="165"/>
      <c r="I124" s="27"/>
      <c r="J124" s="284"/>
      <c r="K124" s="44"/>
      <c r="L124" s="252"/>
      <c r="M124" s="27"/>
    </row>
    <row r="125" spans="1:14" ht="15.75" customHeight="1" x14ac:dyDescent="0.25">
      <c r="A125" s="21" t="s">
        <v>510</v>
      </c>
      <c r="B125" s="232"/>
      <c r="C125" s="232"/>
      <c r="D125" s="165"/>
      <c r="E125" s="27"/>
      <c r="F125" s="232"/>
      <c r="G125" s="232"/>
      <c r="H125" s="165"/>
      <c r="I125" s="27"/>
      <c r="J125" s="284"/>
      <c r="K125" s="44"/>
      <c r="L125" s="252"/>
      <c r="M125" s="27"/>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853"/>
      <c r="F130" s="958"/>
      <c r="G130" s="958"/>
      <c r="H130" s="958"/>
      <c r="I130" s="853"/>
      <c r="J130" s="958"/>
      <c r="K130" s="958"/>
      <c r="L130" s="958"/>
      <c r="M130" s="853"/>
    </row>
    <row r="131" spans="1:14" s="3" customFormat="1" x14ac:dyDescent="0.25">
      <c r="A131" s="143"/>
      <c r="B131" s="959" t="s">
        <v>0</v>
      </c>
      <c r="C131" s="960"/>
      <c r="D131" s="960"/>
      <c r="E131" s="851"/>
      <c r="F131" s="959" t="s">
        <v>1</v>
      </c>
      <c r="G131" s="960"/>
      <c r="H131" s="960"/>
      <c r="I131" s="852"/>
      <c r="J131" s="959" t="s">
        <v>2</v>
      </c>
      <c r="K131" s="960"/>
      <c r="L131" s="960"/>
      <c r="M131" s="852"/>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2486" priority="59">
      <formula>kvartal &lt; 4</formula>
    </cfRule>
  </conditionalFormatting>
  <conditionalFormatting sqref="B69">
    <cfRule type="expression" dxfId="2485" priority="58">
      <formula>kvartal &lt; 4</formula>
    </cfRule>
  </conditionalFormatting>
  <conditionalFormatting sqref="C69">
    <cfRule type="expression" dxfId="2484" priority="57">
      <formula>kvartal &lt; 4</formula>
    </cfRule>
  </conditionalFormatting>
  <conditionalFormatting sqref="B72">
    <cfRule type="expression" dxfId="2483" priority="56">
      <formula>kvartal &lt; 4</formula>
    </cfRule>
  </conditionalFormatting>
  <conditionalFormatting sqref="C72">
    <cfRule type="expression" dxfId="2482" priority="55">
      <formula>kvartal &lt; 4</formula>
    </cfRule>
  </conditionalFormatting>
  <conditionalFormatting sqref="B80">
    <cfRule type="expression" dxfId="2481" priority="54">
      <formula>kvartal &lt; 4</formula>
    </cfRule>
  </conditionalFormatting>
  <conditionalFormatting sqref="C80">
    <cfRule type="expression" dxfId="2480" priority="53">
      <formula>kvartal &lt; 4</formula>
    </cfRule>
  </conditionalFormatting>
  <conditionalFormatting sqref="B83">
    <cfRule type="expression" dxfId="2479" priority="52">
      <formula>kvartal &lt; 4</formula>
    </cfRule>
  </conditionalFormatting>
  <conditionalFormatting sqref="C83">
    <cfRule type="expression" dxfId="2478" priority="51">
      <formula>kvartal &lt; 4</formula>
    </cfRule>
  </conditionalFormatting>
  <conditionalFormatting sqref="B90">
    <cfRule type="expression" dxfId="2477" priority="50">
      <formula>kvartal &lt; 4</formula>
    </cfRule>
  </conditionalFormatting>
  <conditionalFormatting sqref="C90">
    <cfRule type="expression" dxfId="2476" priority="49">
      <formula>kvartal &lt; 4</formula>
    </cfRule>
  </conditionalFormatting>
  <conditionalFormatting sqref="B93">
    <cfRule type="expression" dxfId="2475" priority="48">
      <formula>kvartal &lt; 4</formula>
    </cfRule>
  </conditionalFormatting>
  <conditionalFormatting sqref="C93">
    <cfRule type="expression" dxfId="2474" priority="47">
      <formula>kvartal &lt; 4</formula>
    </cfRule>
  </conditionalFormatting>
  <conditionalFormatting sqref="B101">
    <cfRule type="expression" dxfId="2473" priority="46">
      <formula>kvartal &lt; 4</formula>
    </cfRule>
  </conditionalFormatting>
  <conditionalFormatting sqref="C101">
    <cfRule type="expression" dxfId="2472" priority="45">
      <formula>kvartal &lt; 4</formula>
    </cfRule>
  </conditionalFormatting>
  <conditionalFormatting sqref="B104">
    <cfRule type="expression" dxfId="2471" priority="44">
      <formula>kvartal &lt; 4</formula>
    </cfRule>
  </conditionalFormatting>
  <conditionalFormatting sqref="C104">
    <cfRule type="expression" dxfId="2470" priority="43">
      <formula>kvartal &lt; 4</formula>
    </cfRule>
  </conditionalFormatting>
  <conditionalFormatting sqref="B115">
    <cfRule type="expression" dxfId="2469" priority="42">
      <formula>kvartal &lt; 4</formula>
    </cfRule>
  </conditionalFormatting>
  <conditionalFormatting sqref="C115">
    <cfRule type="expression" dxfId="2468" priority="41">
      <formula>kvartal &lt; 4</formula>
    </cfRule>
  </conditionalFormatting>
  <conditionalFormatting sqref="B123">
    <cfRule type="expression" dxfId="2467" priority="40">
      <formula>kvartal &lt; 4</formula>
    </cfRule>
  </conditionalFormatting>
  <conditionalFormatting sqref="C123">
    <cfRule type="expression" dxfId="2466" priority="39">
      <formula>kvartal &lt; 4</formula>
    </cfRule>
  </conditionalFormatting>
  <conditionalFormatting sqref="F70">
    <cfRule type="expression" dxfId="2465" priority="38">
      <formula>kvartal &lt; 4</formula>
    </cfRule>
  </conditionalFormatting>
  <conditionalFormatting sqref="G70">
    <cfRule type="expression" dxfId="2464" priority="37">
      <formula>kvartal &lt; 4</formula>
    </cfRule>
  </conditionalFormatting>
  <conditionalFormatting sqref="F71:G71">
    <cfRule type="expression" dxfId="2463" priority="36">
      <formula>kvartal &lt; 4</formula>
    </cfRule>
  </conditionalFormatting>
  <conditionalFormatting sqref="F73:G74">
    <cfRule type="expression" dxfId="2462" priority="35">
      <formula>kvartal &lt; 4</formula>
    </cfRule>
  </conditionalFormatting>
  <conditionalFormatting sqref="F81:G82">
    <cfRule type="expression" dxfId="2461" priority="34">
      <formula>kvartal &lt; 4</formula>
    </cfRule>
  </conditionalFormatting>
  <conditionalFormatting sqref="F84:G85">
    <cfRule type="expression" dxfId="2460" priority="33">
      <formula>kvartal &lt; 4</formula>
    </cfRule>
  </conditionalFormatting>
  <conditionalFormatting sqref="F91:G92">
    <cfRule type="expression" dxfId="2459" priority="32">
      <formula>kvartal &lt; 4</formula>
    </cfRule>
  </conditionalFormatting>
  <conditionalFormatting sqref="F94:G95">
    <cfRule type="expression" dxfId="2458" priority="31">
      <formula>kvartal &lt; 4</formula>
    </cfRule>
  </conditionalFormatting>
  <conditionalFormatting sqref="F102:G103">
    <cfRule type="expression" dxfId="2457" priority="30">
      <formula>kvartal &lt; 4</formula>
    </cfRule>
  </conditionalFormatting>
  <conditionalFormatting sqref="F105:G106">
    <cfRule type="expression" dxfId="2456" priority="29">
      <formula>kvartal &lt; 4</formula>
    </cfRule>
  </conditionalFormatting>
  <conditionalFormatting sqref="F115">
    <cfRule type="expression" dxfId="2455" priority="28">
      <formula>kvartal &lt; 4</formula>
    </cfRule>
  </conditionalFormatting>
  <conditionalFormatting sqref="G115">
    <cfRule type="expression" dxfId="2454" priority="27">
      <formula>kvartal &lt; 4</formula>
    </cfRule>
  </conditionalFormatting>
  <conditionalFormatting sqref="F123:G123">
    <cfRule type="expression" dxfId="2453" priority="26">
      <formula>kvartal &lt; 4</formula>
    </cfRule>
  </conditionalFormatting>
  <conditionalFormatting sqref="F69:G69">
    <cfRule type="expression" dxfId="2452" priority="25">
      <formula>kvartal &lt; 4</formula>
    </cfRule>
  </conditionalFormatting>
  <conditionalFormatting sqref="F72:G72">
    <cfRule type="expression" dxfId="2451" priority="24">
      <formula>kvartal &lt; 4</formula>
    </cfRule>
  </conditionalFormatting>
  <conditionalFormatting sqref="F80:G80">
    <cfRule type="expression" dxfId="2450" priority="23">
      <formula>kvartal &lt; 4</formula>
    </cfRule>
  </conditionalFormatting>
  <conditionalFormatting sqref="F83:G83">
    <cfRule type="expression" dxfId="2449" priority="22">
      <formula>kvartal &lt; 4</formula>
    </cfRule>
  </conditionalFormatting>
  <conditionalFormatting sqref="F90:G90">
    <cfRule type="expression" dxfId="2448" priority="21">
      <formula>kvartal &lt; 4</formula>
    </cfRule>
  </conditionalFormatting>
  <conditionalFormatting sqref="F93">
    <cfRule type="expression" dxfId="2447" priority="20">
      <formula>kvartal &lt; 4</formula>
    </cfRule>
  </conditionalFormatting>
  <conditionalFormatting sqref="G93">
    <cfRule type="expression" dxfId="2446" priority="19">
      <formula>kvartal &lt; 4</formula>
    </cfRule>
  </conditionalFormatting>
  <conditionalFormatting sqref="F101">
    <cfRule type="expression" dxfId="2445" priority="18">
      <formula>kvartal &lt; 4</formula>
    </cfRule>
  </conditionalFormatting>
  <conditionalFormatting sqref="G101">
    <cfRule type="expression" dxfId="2444" priority="17">
      <formula>kvartal &lt; 4</formula>
    </cfRule>
  </conditionalFormatting>
  <conditionalFormatting sqref="G104">
    <cfRule type="expression" dxfId="2443" priority="16">
      <formula>kvartal &lt; 4</formula>
    </cfRule>
  </conditionalFormatting>
  <conditionalFormatting sqref="F104">
    <cfRule type="expression" dxfId="2442" priority="15">
      <formula>kvartal &lt; 4</formula>
    </cfRule>
  </conditionalFormatting>
  <conditionalFormatting sqref="J69:K73">
    <cfRule type="expression" dxfId="2441" priority="14">
      <formula>kvartal &lt; 4</formula>
    </cfRule>
  </conditionalFormatting>
  <conditionalFormatting sqref="J74:K74">
    <cfRule type="expression" dxfId="2440" priority="13">
      <formula>kvartal &lt; 4</formula>
    </cfRule>
  </conditionalFormatting>
  <conditionalFormatting sqref="J80:K85">
    <cfRule type="expression" dxfId="2439" priority="12">
      <formula>kvartal &lt; 4</formula>
    </cfRule>
  </conditionalFormatting>
  <conditionalFormatting sqref="J90:K95">
    <cfRule type="expression" dxfId="2438" priority="11">
      <formula>kvartal &lt; 4</formula>
    </cfRule>
  </conditionalFormatting>
  <conditionalFormatting sqref="J101:K106">
    <cfRule type="expression" dxfId="2437" priority="10">
      <formula>kvartal &lt; 4</formula>
    </cfRule>
  </conditionalFormatting>
  <conditionalFormatting sqref="J115:K115">
    <cfRule type="expression" dxfId="2436" priority="9">
      <formula>kvartal &lt; 4</formula>
    </cfRule>
  </conditionalFormatting>
  <conditionalFormatting sqref="J123:K123">
    <cfRule type="expression" dxfId="2435" priority="8">
      <formula>kvartal &lt; 4</formula>
    </cfRule>
  </conditionalFormatting>
  <conditionalFormatting sqref="A50:A52">
    <cfRule type="expression" dxfId="2434" priority="7">
      <formula>kvartal &lt; 4</formula>
    </cfRule>
  </conditionalFormatting>
  <conditionalFormatting sqref="A69:A74">
    <cfRule type="expression" dxfId="2433" priority="6">
      <formula>kvartal &lt; 4</formula>
    </cfRule>
  </conditionalFormatting>
  <conditionalFormatting sqref="A80:A85">
    <cfRule type="expression" dxfId="2432" priority="5">
      <formula>kvartal &lt; 4</formula>
    </cfRule>
  </conditionalFormatting>
  <conditionalFormatting sqref="A90:A95">
    <cfRule type="expression" dxfId="2431" priority="4">
      <formula>kvartal &lt; 4</formula>
    </cfRule>
  </conditionalFormatting>
  <conditionalFormatting sqref="A101:A106">
    <cfRule type="expression" dxfId="2430" priority="3">
      <formula>kvartal &lt; 4</formula>
    </cfRule>
  </conditionalFormatting>
  <conditionalFormatting sqref="A115">
    <cfRule type="expression" dxfId="2429" priority="2">
      <formula>kvartal &lt; 4</formula>
    </cfRule>
  </conditionalFormatting>
  <conditionalFormatting sqref="A123">
    <cfRule type="expression" dxfId="2428"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heetViews>
  <sheetFormatPr baseColWidth="10" defaultColWidth="11.44140625" defaultRowHeight="13.2" x14ac:dyDescent="0.25"/>
  <cols>
    <col min="1" max="1" width="48.44140625" style="148" customWidth="1"/>
    <col min="2" max="2" width="10.6640625" style="148" customWidth="1"/>
    <col min="3" max="3" width="11" style="148" customWidth="1"/>
    <col min="4" max="5" width="8.6640625" style="148" customWidth="1"/>
    <col min="6" max="7" width="10.6640625" style="148" customWidth="1"/>
    <col min="8" max="9" width="8.6640625" style="148" customWidth="1"/>
    <col min="10" max="11" width="10.6640625" style="148" customWidth="1"/>
    <col min="12" max="13" width="8.6640625" style="148" customWidth="1"/>
    <col min="14" max="14" width="11.44140625" style="148"/>
    <col min="15" max="16384" width="11.44140625" style="1"/>
  </cols>
  <sheetData>
    <row r="1" spans="1:14" x14ac:dyDescent="0.25">
      <c r="A1" s="171" t="s">
        <v>136</v>
      </c>
      <c r="B1" s="928"/>
      <c r="C1" s="246" t="s">
        <v>84</v>
      </c>
      <c r="D1" s="26"/>
      <c r="E1" s="26"/>
      <c r="F1" s="26"/>
      <c r="G1" s="26"/>
      <c r="H1" s="26"/>
      <c r="I1" s="26"/>
      <c r="J1" s="26"/>
      <c r="K1" s="26"/>
      <c r="L1" s="26"/>
      <c r="M1" s="26"/>
    </row>
    <row r="2" spans="1:14" ht="15.6" x14ac:dyDescent="0.3">
      <c r="A2" s="164" t="s">
        <v>28</v>
      </c>
      <c r="B2" s="963"/>
      <c r="C2" s="963"/>
      <c r="D2" s="963"/>
      <c r="E2" s="400"/>
      <c r="F2" s="963"/>
      <c r="G2" s="963"/>
      <c r="H2" s="963"/>
      <c r="I2" s="400"/>
      <c r="J2" s="963"/>
      <c r="K2" s="963"/>
      <c r="L2" s="963"/>
      <c r="M2" s="400"/>
    </row>
    <row r="3" spans="1:14" ht="15.6" x14ac:dyDescent="0.3">
      <c r="A3" s="162"/>
      <c r="B3" s="400"/>
      <c r="C3" s="400"/>
      <c r="D3" s="400"/>
      <c r="E3" s="400"/>
      <c r="F3" s="400"/>
      <c r="G3" s="400"/>
      <c r="H3" s="400"/>
      <c r="I3" s="400"/>
      <c r="J3" s="400"/>
      <c r="K3" s="400"/>
      <c r="L3" s="400"/>
      <c r="M3" s="400"/>
    </row>
    <row r="4" spans="1:14" x14ac:dyDescent="0.25">
      <c r="A4" s="143"/>
      <c r="B4" s="959" t="s">
        <v>0</v>
      </c>
      <c r="C4" s="960"/>
      <c r="D4" s="960"/>
      <c r="E4" s="399"/>
      <c r="F4" s="959" t="s">
        <v>1</v>
      </c>
      <c r="G4" s="960"/>
      <c r="H4" s="960"/>
      <c r="I4" s="402"/>
      <c r="J4" s="959" t="s">
        <v>2</v>
      </c>
      <c r="K4" s="960"/>
      <c r="L4" s="960"/>
      <c r="M4" s="402"/>
    </row>
    <row r="5" spans="1:14" x14ac:dyDescent="0.25">
      <c r="A5" s="157"/>
      <c r="B5" s="151" t="s">
        <v>508</v>
      </c>
      <c r="C5" s="151" t="s">
        <v>509</v>
      </c>
      <c r="D5" s="243" t="s">
        <v>3</v>
      </c>
      <c r="E5" s="302" t="s">
        <v>29</v>
      </c>
      <c r="F5" s="151" t="s">
        <v>508</v>
      </c>
      <c r="G5" s="151" t="s">
        <v>509</v>
      </c>
      <c r="H5" s="243" t="s">
        <v>3</v>
      </c>
      <c r="I5" s="161" t="s">
        <v>29</v>
      </c>
      <c r="J5" s="151" t="s">
        <v>508</v>
      </c>
      <c r="K5" s="151" t="s">
        <v>509</v>
      </c>
      <c r="L5" s="243" t="s">
        <v>3</v>
      </c>
      <c r="M5" s="161" t="s">
        <v>29</v>
      </c>
    </row>
    <row r="6" spans="1:14" x14ac:dyDescent="0.25">
      <c r="A6" s="926"/>
      <c r="B6" s="155"/>
      <c r="C6" s="155"/>
      <c r="D6" s="244" t="s">
        <v>4</v>
      </c>
      <c r="E6" s="155" t="s">
        <v>30</v>
      </c>
      <c r="F6" s="160"/>
      <c r="G6" s="160"/>
      <c r="H6" s="243" t="s">
        <v>4</v>
      </c>
      <c r="I6" s="155" t="s">
        <v>30</v>
      </c>
      <c r="J6" s="160"/>
      <c r="K6" s="160"/>
      <c r="L6" s="243" t="s">
        <v>4</v>
      </c>
      <c r="M6" s="155" t="s">
        <v>30</v>
      </c>
    </row>
    <row r="7" spans="1:14" ht="15.6" x14ac:dyDescent="0.25">
      <c r="A7" s="14" t="s">
        <v>23</v>
      </c>
      <c r="B7" s="303">
        <v>278208.70400000003</v>
      </c>
      <c r="C7" s="304">
        <v>277898.24200000003</v>
      </c>
      <c r="D7" s="345">
        <f t="shared" ref="D7:D10" si="0">IF(B7=0, "    ---- ", IF(ABS(ROUND(100/B7*C7-100,1))&lt;999,ROUND(100/B7*C7-100,1),IF(ROUND(100/B7*C7-100,1)&gt;999,999,-999)))</f>
        <v>-0.1</v>
      </c>
      <c r="E7" s="11">
        <f>IFERROR(100/'Skjema total MA'!C7*C7,0)</f>
        <v>5.6467318895896641</v>
      </c>
      <c r="F7" s="303">
        <v>271603.60600000003</v>
      </c>
      <c r="G7" s="304">
        <v>284500.09000000003</v>
      </c>
      <c r="H7" s="345">
        <f t="shared" ref="H7:H12" si="1">IF(F7=0, "    ---- ", IF(ABS(ROUND(100/F7*G7-100,1))&lt;999,ROUND(100/F7*G7-100,1),IF(ROUND(100/F7*G7-100,1)&gt;999,999,-999)))</f>
        <v>4.7</v>
      </c>
      <c r="I7" s="159">
        <f>IFERROR(100/'Skjema total MA'!F7*G7,0)</f>
        <v>1.9304499982040908</v>
      </c>
      <c r="J7" s="305">
        <f t="shared" ref="J7:K12" si="2">SUM(B7,F7)</f>
        <v>549812.31000000006</v>
      </c>
      <c r="K7" s="306">
        <f t="shared" si="2"/>
        <v>562398.33200000005</v>
      </c>
      <c r="L7" s="421">
        <f t="shared" ref="L7:L12" si="3">IF(J7=0, "    ---- ", IF(ABS(ROUND(100/J7*K7-100,1))&lt;999,ROUND(100/J7*K7-100,1),IF(ROUND(100/J7*K7-100,1)&gt;999,999,-999)))</f>
        <v>2.2999999999999998</v>
      </c>
      <c r="M7" s="11">
        <f>IFERROR(100/'Skjema total MA'!I7*K7,0)</f>
        <v>2.8607821946526557</v>
      </c>
    </row>
    <row r="8" spans="1:14" ht="15.6" x14ac:dyDescent="0.25">
      <c r="A8" s="21" t="s">
        <v>25</v>
      </c>
      <c r="B8" s="278">
        <v>133414.851</v>
      </c>
      <c r="C8" s="279">
        <v>138481.15700000001</v>
      </c>
      <c r="D8" s="165">
        <f t="shared" si="0"/>
        <v>3.8</v>
      </c>
      <c r="E8" s="27">
        <f>IFERROR(100/'Skjema total MA'!C8*C8,0)</f>
        <v>4.2753856637946566</v>
      </c>
      <c r="F8" s="282"/>
      <c r="G8" s="283"/>
      <c r="H8" s="165"/>
      <c r="I8" s="174"/>
      <c r="J8" s="232">
        <f t="shared" si="2"/>
        <v>133414.851</v>
      </c>
      <c r="K8" s="284">
        <f t="shared" si="2"/>
        <v>138481.15700000001</v>
      </c>
      <c r="L8" s="165">
        <f t="shared" si="3"/>
        <v>3.8</v>
      </c>
      <c r="M8" s="27">
        <f>IFERROR(100/'Skjema total MA'!I8*K8,0)</f>
        <v>4.2753856637946566</v>
      </c>
    </row>
    <row r="9" spans="1:14" ht="15.6" x14ac:dyDescent="0.25">
      <c r="A9" s="21" t="s">
        <v>24</v>
      </c>
      <c r="B9" s="278">
        <v>65262.887999999999</v>
      </c>
      <c r="C9" s="279">
        <v>64573.762999999999</v>
      </c>
      <c r="D9" s="165">
        <f t="shared" si="0"/>
        <v>-1.1000000000000001</v>
      </c>
      <c r="E9" s="27">
        <f>IFERROR(100/'Skjema total MA'!C9*C9,0)</f>
        <v>6.4763271512507199</v>
      </c>
      <c r="F9" s="282"/>
      <c r="G9" s="283"/>
      <c r="H9" s="165"/>
      <c r="I9" s="174"/>
      <c r="J9" s="232">
        <f t="shared" si="2"/>
        <v>65262.887999999999</v>
      </c>
      <c r="K9" s="284">
        <f t="shared" si="2"/>
        <v>64573.762999999999</v>
      </c>
      <c r="L9" s="165">
        <f t="shared" si="3"/>
        <v>-1.1000000000000001</v>
      </c>
      <c r="M9" s="27">
        <f>IFERROR(100/'Skjema total MA'!I9*K9,0)</f>
        <v>6.4763271512507199</v>
      </c>
    </row>
    <row r="10" spans="1:14" ht="15.6" x14ac:dyDescent="0.25">
      <c r="A10" s="13" t="s">
        <v>444</v>
      </c>
      <c r="B10" s="307">
        <v>319288.72899999999</v>
      </c>
      <c r="C10" s="308">
        <v>306543.01500000001</v>
      </c>
      <c r="D10" s="170">
        <f t="shared" si="0"/>
        <v>-4</v>
      </c>
      <c r="E10" s="11">
        <f>IFERROR(100/'Skjema total MA'!C10*C10,0)</f>
        <v>1.6251266653996272</v>
      </c>
      <c r="F10" s="307">
        <v>2843948.446</v>
      </c>
      <c r="G10" s="308">
        <v>3261508.3849999998</v>
      </c>
      <c r="H10" s="170">
        <f t="shared" si="1"/>
        <v>14.7</v>
      </c>
      <c r="I10" s="159">
        <f>IFERROR(100/'Skjema total MA'!F10*G10,0)</f>
        <v>4.2179528601585412</v>
      </c>
      <c r="J10" s="305">
        <f t="shared" si="2"/>
        <v>3163237.1749999998</v>
      </c>
      <c r="K10" s="306">
        <f t="shared" si="2"/>
        <v>3568051.4</v>
      </c>
      <c r="L10" s="422">
        <f t="shared" si="3"/>
        <v>12.8</v>
      </c>
      <c r="M10" s="11">
        <f>IFERROR(100/'Skjema total MA'!I10*K10,0)</f>
        <v>3.7094884757162414</v>
      </c>
    </row>
    <row r="11" spans="1:14" s="43" customFormat="1" ht="15.6" x14ac:dyDescent="0.25">
      <c r="A11" s="13" t="s">
        <v>445</v>
      </c>
      <c r="B11" s="307"/>
      <c r="C11" s="308"/>
      <c r="D11" s="170"/>
      <c r="E11" s="11"/>
      <c r="F11" s="307">
        <v>19528.858</v>
      </c>
      <c r="G11" s="308">
        <v>5365.3109999999997</v>
      </c>
      <c r="H11" s="170">
        <f t="shared" si="1"/>
        <v>-72.5</v>
      </c>
      <c r="I11" s="159">
        <f>IFERROR(100/'Skjema total MA'!F11*G11,0)</f>
        <v>0.80094437408689678</v>
      </c>
      <c r="J11" s="305">
        <f t="shared" si="2"/>
        <v>19528.858</v>
      </c>
      <c r="K11" s="306">
        <f t="shared" si="2"/>
        <v>5365.3109999999997</v>
      </c>
      <c r="L11" s="422">
        <f t="shared" si="3"/>
        <v>-72.5</v>
      </c>
      <c r="M11" s="11">
        <f>IFERROR(100/'Skjema total MA'!I11*K11,0)</f>
        <v>0.70224872498872382</v>
      </c>
      <c r="N11" s="142"/>
    </row>
    <row r="12" spans="1:14" s="43" customFormat="1" ht="15.6" x14ac:dyDescent="0.25">
      <c r="A12" s="41" t="s">
        <v>446</v>
      </c>
      <c r="B12" s="309"/>
      <c r="C12" s="310"/>
      <c r="D12" s="168"/>
      <c r="E12" s="36"/>
      <c r="F12" s="309">
        <v>27917.312999999998</v>
      </c>
      <c r="G12" s="310">
        <v>40416.392</v>
      </c>
      <c r="H12" s="168">
        <f t="shared" si="1"/>
        <v>44.8</v>
      </c>
      <c r="I12" s="168">
        <f>IFERROR(100/'Skjema total MA'!F12*G12,0)</f>
        <v>22.598662327138893</v>
      </c>
      <c r="J12" s="311">
        <f t="shared" si="2"/>
        <v>27917.312999999998</v>
      </c>
      <c r="K12" s="312">
        <f t="shared" si="2"/>
        <v>40416.392</v>
      </c>
      <c r="L12" s="423">
        <f t="shared" si="3"/>
        <v>44.8</v>
      </c>
      <c r="M12" s="36">
        <f>IFERROR(100/'Skjema total MA'!I12*K12,0)</f>
        <v>21.727703551557191</v>
      </c>
      <c r="N12" s="142"/>
    </row>
    <row r="13" spans="1:14" s="43" customFormat="1" x14ac:dyDescent="0.25">
      <c r="A13" s="167"/>
      <c r="B13" s="144"/>
      <c r="C13" s="33"/>
      <c r="D13" s="158"/>
      <c r="E13" s="158"/>
      <c r="F13" s="144"/>
      <c r="G13" s="33"/>
      <c r="H13" s="158"/>
      <c r="I13" s="158"/>
      <c r="J13" s="48"/>
      <c r="K13" s="48"/>
      <c r="L13" s="158"/>
      <c r="M13" s="158"/>
      <c r="N13" s="142"/>
    </row>
    <row r="14" spans="1:14" x14ac:dyDescent="0.25">
      <c r="A14" s="152" t="s">
        <v>273</v>
      </c>
      <c r="B14" s="26"/>
    </row>
    <row r="15" spans="1:14" x14ac:dyDescent="0.25">
      <c r="F15" s="145"/>
      <c r="G15" s="145"/>
      <c r="H15" s="145"/>
      <c r="I15" s="145"/>
      <c r="J15" s="145"/>
      <c r="K15" s="145"/>
      <c r="L15" s="145"/>
      <c r="M15" s="145"/>
    </row>
    <row r="16" spans="1:14" s="3" customFormat="1" ht="15.6" x14ac:dyDescent="0.3">
      <c r="A16" s="163"/>
      <c r="B16" s="147"/>
      <c r="C16" s="153"/>
      <c r="D16" s="153"/>
      <c r="E16" s="153"/>
      <c r="F16" s="153"/>
      <c r="G16" s="153"/>
      <c r="H16" s="153"/>
      <c r="I16" s="153"/>
      <c r="J16" s="153"/>
      <c r="K16" s="153"/>
      <c r="L16" s="153"/>
      <c r="M16" s="153"/>
      <c r="N16" s="147"/>
    </row>
    <row r="17" spans="1:14" ht="15.6" x14ac:dyDescent="0.3">
      <c r="A17" s="146" t="s">
        <v>270</v>
      </c>
      <c r="B17" s="156"/>
      <c r="C17" s="156"/>
      <c r="D17" s="150"/>
      <c r="E17" s="150"/>
      <c r="F17" s="156"/>
      <c r="G17" s="156"/>
      <c r="H17" s="156"/>
      <c r="I17" s="156"/>
      <c r="J17" s="156"/>
      <c r="K17" s="156"/>
      <c r="L17" s="156"/>
      <c r="M17" s="156"/>
    </row>
    <row r="18" spans="1:14" ht="15.6" x14ac:dyDescent="0.3">
      <c r="B18" s="958"/>
      <c r="C18" s="958"/>
      <c r="D18" s="958"/>
      <c r="E18" s="400"/>
      <c r="F18" s="958"/>
      <c r="G18" s="958"/>
      <c r="H18" s="958"/>
      <c r="I18" s="400"/>
      <c r="J18" s="958"/>
      <c r="K18" s="958"/>
      <c r="L18" s="958"/>
      <c r="M18" s="400"/>
    </row>
    <row r="19" spans="1:14" x14ac:dyDescent="0.25">
      <c r="A19" s="143"/>
      <c r="B19" s="959" t="s">
        <v>0</v>
      </c>
      <c r="C19" s="960"/>
      <c r="D19" s="960"/>
      <c r="E19" s="399"/>
      <c r="F19" s="959" t="s">
        <v>1</v>
      </c>
      <c r="G19" s="960"/>
      <c r="H19" s="960"/>
      <c r="I19" s="402"/>
      <c r="J19" s="959" t="s">
        <v>2</v>
      </c>
      <c r="K19" s="960"/>
      <c r="L19" s="960"/>
      <c r="M19" s="402"/>
    </row>
    <row r="20" spans="1:14" x14ac:dyDescent="0.25">
      <c r="A20" s="139" t="s">
        <v>5</v>
      </c>
      <c r="B20" s="151" t="s">
        <v>508</v>
      </c>
      <c r="C20" s="151" t="s">
        <v>509</v>
      </c>
      <c r="D20" s="161" t="s">
        <v>3</v>
      </c>
      <c r="E20" s="302" t="s">
        <v>29</v>
      </c>
      <c r="F20" s="151" t="s">
        <v>508</v>
      </c>
      <c r="G20" s="151" t="s">
        <v>509</v>
      </c>
      <c r="H20" s="161" t="s">
        <v>3</v>
      </c>
      <c r="I20" s="161" t="s">
        <v>29</v>
      </c>
      <c r="J20" s="151" t="s">
        <v>508</v>
      </c>
      <c r="K20" s="151" t="s">
        <v>509</v>
      </c>
      <c r="L20" s="161" t="s">
        <v>3</v>
      </c>
      <c r="M20" s="161" t="s">
        <v>29</v>
      </c>
    </row>
    <row r="21" spans="1:14" x14ac:dyDescent="0.25">
      <c r="A21" s="927"/>
      <c r="B21" s="155"/>
      <c r="C21" s="155"/>
      <c r="D21" s="244" t="s">
        <v>4</v>
      </c>
      <c r="E21" s="410" t="s">
        <v>30</v>
      </c>
      <c r="F21" s="160"/>
      <c r="G21" s="160"/>
      <c r="H21" s="243" t="s">
        <v>4</v>
      </c>
      <c r="I21" s="155" t="s">
        <v>30</v>
      </c>
      <c r="J21" s="160"/>
      <c r="K21" s="160"/>
      <c r="L21" s="155" t="s">
        <v>4</v>
      </c>
      <c r="M21" s="155" t="s">
        <v>30</v>
      </c>
    </row>
    <row r="22" spans="1:14" ht="15.6" x14ac:dyDescent="0.25">
      <c r="A22" s="14" t="s">
        <v>23</v>
      </c>
      <c r="B22" s="307">
        <v>14161.934999999999</v>
      </c>
      <c r="C22" s="307">
        <v>14038.031000000001</v>
      </c>
      <c r="D22" s="345">
        <f t="shared" ref="D22:D29" si="4">IF(B22=0, "    ---- ", IF(ABS(ROUND(100/B22*C22-100,1))&lt;999,ROUND(100/B22*C22-100,1),IF(ROUND(100/B22*C22-100,1)&gt;999,999,-999)))</f>
        <v>-0.9</v>
      </c>
      <c r="E22" s="11">
        <f>IFERROR(100/'Skjema total MA'!C22*C22,0)</f>
        <v>0.72682021340171621</v>
      </c>
      <c r="F22" s="315">
        <v>72794.991999999998</v>
      </c>
      <c r="G22" s="315">
        <v>75071.035000000003</v>
      </c>
      <c r="H22" s="345">
        <f t="shared" ref="H22:H35" si="5">IF(F22=0, "    ---- ", IF(ABS(ROUND(100/F22*G22-100,1))&lt;999,ROUND(100/F22*G22-100,1),IF(ROUND(100/F22*G22-100,1)&gt;999,999,-999)))</f>
        <v>3.1</v>
      </c>
      <c r="I22" s="159">
        <f>IFERROR(100/'Skjema total MA'!F22*G22,0)</f>
        <v>4.3750646188812619</v>
      </c>
      <c r="J22" s="313">
        <f t="shared" ref="J22:J35" si="6">SUM(B22,F22)</f>
        <v>86956.926999999996</v>
      </c>
      <c r="K22" s="313">
        <f t="shared" ref="K22:K35" si="7">SUM(C22,G22)</f>
        <v>89109.066000000006</v>
      </c>
      <c r="L22" s="421">
        <f t="shared" ref="L22:L35" si="8">IF(J22=0, "    ---- ", IF(ABS(ROUND(100/J22*K22-100,1))&lt;999,ROUND(100/J22*K22-100,1),IF(ROUND(100/J22*K22-100,1)&gt;999,999,-999)))</f>
        <v>2.5</v>
      </c>
      <c r="M22" s="24">
        <f>IFERROR(100/'Skjema total MA'!I22*K22,0)</f>
        <v>2.4431414626613863</v>
      </c>
    </row>
    <row r="23" spans="1:14" ht="15.6" x14ac:dyDescent="0.25">
      <c r="A23" s="782" t="s">
        <v>447</v>
      </c>
      <c r="B23" s="278"/>
      <c r="C23" s="278"/>
      <c r="D23" s="165"/>
      <c r="E23" s="11"/>
      <c r="F23" s="287">
        <v>4447.1019999999999</v>
      </c>
      <c r="G23" s="287">
        <v>4998.5140000000001</v>
      </c>
      <c r="H23" s="165">
        <f t="shared" si="5"/>
        <v>12.4</v>
      </c>
      <c r="I23" s="238">
        <f>IFERROR(100/'Skjema total MA'!F23*G23,0)</f>
        <v>2.434242546688655</v>
      </c>
      <c r="J23" s="287">
        <f t="shared" si="6"/>
        <v>4447.1019999999999</v>
      </c>
      <c r="K23" s="287">
        <f t="shared" si="7"/>
        <v>4998.5140000000001</v>
      </c>
      <c r="L23" s="165">
        <f t="shared" si="8"/>
        <v>12.4</v>
      </c>
      <c r="M23" s="23">
        <f>IFERROR(100/'Skjema total MA'!I23*K23,0)</f>
        <v>0.38023838966230183</v>
      </c>
    </row>
    <row r="24" spans="1:14" ht="15.6" x14ac:dyDescent="0.25">
      <c r="A24" s="782" t="s">
        <v>448</v>
      </c>
      <c r="B24" s="278"/>
      <c r="C24" s="278"/>
      <c r="D24" s="165"/>
      <c r="E24" s="11"/>
      <c r="F24" s="287">
        <v>463.31299999999999</v>
      </c>
      <c r="G24" s="287">
        <v>0</v>
      </c>
      <c r="H24" s="165">
        <f t="shared" si="5"/>
        <v>-100</v>
      </c>
      <c r="I24" s="238">
        <f>IFERROR(100/'Skjema total MA'!F24*G24,0)</f>
        <v>0</v>
      </c>
      <c r="J24" s="287">
        <f t="shared" si="6"/>
        <v>463.31299999999999</v>
      </c>
      <c r="K24" s="287">
        <f t="shared" si="7"/>
        <v>0</v>
      </c>
      <c r="L24" s="165">
        <f t="shared" si="8"/>
        <v>-100</v>
      </c>
      <c r="M24" s="23">
        <f>IFERROR(100/'Skjema total MA'!I24*K24,0)</f>
        <v>0</v>
      </c>
    </row>
    <row r="25" spans="1:14" ht="15.6" x14ac:dyDescent="0.25">
      <c r="A25" s="782" t="s">
        <v>449</v>
      </c>
      <c r="B25" s="278"/>
      <c r="C25" s="278"/>
      <c r="D25" s="165"/>
      <c r="E25" s="11"/>
      <c r="F25" s="287">
        <v>1306.3520000000001</v>
      </c>
      <c r="G25" s="287">
        <v>1247.529</v>
      </c>
      <c r="H25" s="165">
        <f t="shared" si="5"/>
        <v>-4.5</v>
      </c>
      <c r="I25" s="238">
        <f>IFERROR(100/'Skjema total MA'!F25*G25,0)</f>
        <v>6.7287994399728026</v>
      </c>
      <c r="J25" s="287">
        <f t="shared" si="6"/>
        <v>1306.3520000000001</v>
      </c>
      <c r="K25" s="287">
        <f t="shared" si="7"/>
        <v>1247.529</v>
      </c>
      <c r="L25" s="165">
        <f t="shared" si="8"/>
        <v>-4.5</v>
      </c>
      <c r="M25" s="23">
        <f>IFERROR(100/'Skjema total MA'!I25*K25,0)</f>
        <v>2.5790776657166914</v>
      </c>
    </row>
    <row r="26" spans="1:14" ht="15.6" x14ac:dyDescent="0.25">
      <c r="A26" s="782" t="s">
        <v>450</v>
      </c>
      <c r="B26" s="278"/>
      <c r="C26" s="278"/>
      <c r="D26" s="165"/>
      <c r="E26" s="11"/>
      <c r="F26" s="287">
        <v>66578.225000000006</v>
      </c>
      <c r="G26" s="287">
        <v>68824.991999999998</v>
      </c>
      <c r="H26" s="165">
        <f t="shared" si="5"/>
        <v>3.4</v>
      </c>
      <c r="I26" s="238">
        <f>IFERROR(100/'Skjema total MA'!F26*G26,0)</f>
        <v>4.6133227272572359</v>
      </c>
      <c r="J26" s="287">
        <f t="shared" si="6"/>
        <v>66578.225000000006</v>
      </c>
      <c r="K26" s="287">
        <f t="shared" si="7"/>
        <v>68824.991999999998</v>
      </c>
      <c r="L26" s="165">
        <f t="shared" si="8"/>
        <v>3.4</v>
      </c>
      <c r="M26" s="23">
        <f>IFERROR(100/'Skjema total MA'!I26*K26,0)</f>
        <v>4.6133227272572359</v>
      </c>
    </row>
    <row r="27" spans="1:14" x14ac:dyDescent="0.25">
      <c r="A27" s="782" t="s">
        <v>11</v>
      </c>
      <c r="B27" s="278"/>
      <c r="C27" s="278"/>
      <c r="D27" s="165"/>
      <c r="E27" s="11"/>
      <c r="F27" s="287"/>
      <c r="G27" s="287"/>
      <c r="H27" s="165"/>
      <c r="I27" s="238"/>
      <c r="J27" s="287"/>
      <c r="K27" s="287"/>
      <c r="L27" s="165"/>
      <c r="M27" s="23"/>
    </row>
    <row r="28" spans="1:14" ht="15.6" x14ac:dyDescent="0.25">
      <c r="A28" s="49" t="s">
        <v>274</v>
      </c>
      <c r="B28" s="44">
        <v>14161.934999999999</v>
      </c>
      <c r="C28" s="284">
        <v>14038.031000000001</v>
      </c>
      <c r="D28" s="165">
        <f t="shared" si="4"/>
        <v>-0.9</v>
      </c>
      <c r="E28" s="11">
        <f>IFERROR(100/'Skjema total MA'!C28*C28,0)</f>
        <v>0.64390725298837659</v>
      </c>
      <c r="F28" s="232"/>
      <c r="G28" s="284"/>
      <c r="H28" s="165"/>
      <c r="I28" s="174"/>
      <c r="J28" s="44">
        <f t="shared" si="6"/>
        <v>14161.934999999999</v>
      </c>
      <c r="K28" s="44">
        <f t="shared" si="7"/>
        <v>14038.031000000001</v>
      </c>
      <c r="L28" s="252">
        <f t="shared" si="8"/>
        <v>-0.9</v>
      </c>
      <c r="M28" s="23">
        <f>IFERROR(100/'Skjema total MA'!I28*K28,0)</f>
        <v>0.64390725298837659</v>
      </c>
    </row>
    <row r="29" spans="1:14" s="3" customFormat="1" ht="15.6" x14ac:dyDescent="0.25">
      <c r="A29" s="13" t="s">
        <v>444</v>
      </c>
      <c r="B29" s="234">
        <v>124794.357</v>
      </c>
      <c r="C29" s="234">
        <v>156218.54399999999</v>
      </c>
      <c r="D29" s="170">
        <f t="shared" si="4"/>
        <v>25.2</v>
      </c>
      <c r="E29" s="11">
        <f>IFERROR(100/'Skjema total MA'!C29*C29,0)</f>
        <v>0.34472217475951772</v>
      </c>
      <c r="F29" s="305">
        <v>2198605.6680000001</v>
      </c>
      <c r="G29" s="305">
        <v>2315073.0499999998</v>
      </c>
      <c r="H29" s="170">
        <f t="shared" si="5"/>
        <v>5.3</v>
      </c>
      <c r="I29" s="159">
        <f>IFERROR(100/'Skjema total MA'!F29*G29,0)</f>
        <v>8.6591711988500712</v>
      </c>
      <c r="J29" s="234">
        <f t="shared" si="6"/>
        <v>2323400.0249999999</v>
      </c>
      <c r="K29" s="234">
        <f t="shared" si="7"/>
        <v>2471291.5939999996</v>
      </c>
      <c r="L29" s="422">
        <f t="shared" si="8"/>
        <v>6.4</v>
      </c>
      <c r="M29" s="24">
        <f>IFERROR(100/'Skjema total MA'!I29*K29,0)</f>
        <v>3.429837328553869</v>
      </c>
      <c r="N29" s="147"/>
    </row>
    <row r="30" spans="1:14" s="3" customFormat="1" ht="15.6" x14ac:dyDescent="0.25">
      <c r="A30" s="782" t="s">
        <v>447</v>
      </c>
      <c r="B30" s="278"/>
      <c r="C30" s="278"/>
      <c r="D30" s="165"/>
      <c r="E30" s="11"/>
      <c r="F30" s="287">
        <v>621411.29700000002</v>
      </c>
      <c r="G30" s="287">
        <v>642465.37600000005</v>
      </c>
      <c r="H30" s="165">
        <f t="shared" si="5"/>
        <v>3.4</v>
      </c>
      <c r="I30" s="238">
        <f>IFERROR(100/'Skjema total MA'!F30*G30,0)</f>
        <v>15.479052424103994</v>
      </c>
      <c r="J30" s="287">
        <f t="shared" si="6"/>
        <v>621411.29700000002</v>
      </c>
      <c r="K30" s="287">
        <f t="shared" si="7"/>
        <v>642465.37600000005</v>
      </c>
      <c r="L30" s="165">
        <f t="shared" si="8"/>
        <v>3.4</v>
      </c>
      <c r="M30" s="23">
        <f>IFERROR(100/'Skjema total MA'!I30*K30,0)</f>
        <v>3.194378423743677</v>
      </c>
      <c r="N30" s="147"/>
    </row>
    <row r="31" spans="1:14" s="3" customFormat="1" ht="15.6" x14ac:dyDescent="0.25">
      <c r="A31" s="782" t="s">
        <v>448</v>
      </c>
      <c r="B31" s="278"/>
      <c r="C31" s="278"/>
      <c r="D31" s="165"/>
      <c r="E31" s="11"/>
      <c r="F31" s="287">
        <v>1193143.625</v>
      </c>
      <c r="G31" s="287">
        <v>1170287.237</v>
      </c>
      <c r="H31" s="165">
        <f t="shared" si="5"/>
        <v>-1.9</v>
      </c>
      <c r="I31" s="238">
        <f>IFERROR(100/'Skjema total MA'!F31*G31,0)</f>
        <v>12.467627665866832</v>
      </c>
      <c r="J31" s="287">
        <f t="shared" si="6"/>
        <v>1193143.625</v>
      </c>
      <c r="K31" s="287">
        <f t="shared" si="7"/>
        <v>1170287.237</v>
      </c>
      <c r="L31" s="165">
        <f t="shared" si="8"/>
        <v>-1.9</v>
      </c>
      <c r="M31" s="23">
        <f>IFERROR(100/'Skjema total MA'!I31*K31,0)</f>
        <v>3.6694097991596579</v>
      </c>
      <c r="N31" s="147"/>
    </row>
    <row r="32" spans="1:14" ht="15.6" x14ac:dyDescent="0.25">
      <c r="A32" s="782" t="s">
        <v>449</v>
      </c>
      <c r="B32" s="278"/>
      <c r="C32" s="278"/>
      <c r="D32" s="165"/>
      <c r="E32" s="11"/>
      <c r="F32" s="287">
        <v>90909.623000000007</v>
      </c>
      <c r="G32" s="287">
        <v>99727.315000000002</v>
      </c>
      <c r="H32" s="165">
        <f t="shared" si="5"/>
        <v>9.6999999999999993</v>
      </c>
      <c r="I32" s="238">
        <f>IFERROR(100/'Skjema total MA'!F32*G32,0)</f>
        <v>1.6925412901767503</v>
      </c>
      <c r="J32" s="287">
        <f t="shared" si="6"/>
        <v>90909.623000000007</v>
      </c>
      <c r="K32" s="287">
        <f t="shared" si="7"/>
        <v>99727.315000000002</v>
      </c>
      <c r="L32" s="165">
        <f t="shared" si="8"/>
        <v>9.6999999999999993</v>
      </c>
      <c r="M32" s="23">
        <f>IFERROR(100/'Skjema total MA'!I32*K32,0)</f>
        <v>1.1253218406964105</v>
      </c>
    </row>
    <row r="33" spans="1:14" ht="15.6" x14ac:dyDescent="0.25">
      <c r="A33" s="782" t="s">
        <v>450</v>
      </c>
      <c r="B33" s="278"/>
      <c r="C33" s="278"/>
      <c r="D33" s="165"/>
      <c r="E33" s="11"/>
      <c r="F33" s="287">
        <v>293141.12300000002</v>
      </c>
      <c r="G33" s="287">
        <v>402593.12199999997</v>
      </c>
      <c r="H33" s="165">
        <f t="shared" si="5"/>
        <v>37.299999999999997</v>
      </c>
      <c r="I33" s="238">
        <f>IFERROR(100/'Skjema total MA'!F33*G33,0)</f>
        <v>5.5103055512061214</v>
      </c>
      <c r="J33" s="287">
        <f t="shared" si="6"/>
        <v>293141.12300000002</v>
      </c>
      <c r="K33" s="287">
        <f t="shared" si="7"/>
        <v>402593.12199999997</v>
      </c>
      <c r="L33" s="165">
        <f t="shared" si="8"/>
        <v>37.299999999999997</v>
      </c>
      <c r="M33" s="23">
        <f>IFERROR(100/'Skjema total MA'!I33*K33,0)</f>
        <v>5.5103055512061214</v>
      </c>
    </row>
    <row r="34" spans="1:14" ht="15.6" x14ac:dyDescent="0.25">
      <c r="A34" s="13" t="s">
        <v>445</v>
      </c>
      <c r="B34" s="234"/>
      <c r="C34" s="306"/>
      <c r="D34" s="170"/>
      <c r="E34" s="11"/>
      <c r="F34" s="305">
        <v>12456.976000000001</v>
      </c>
      <c r="G34" s="306">
        <v>16072.261</v>
      </c>
      <c r="H34" s="170">
        <f t="shared" si="5"/>
        <v>29</v>
      </c>
      <c r="I34" s="159">
        <f>IFERROR(100/'Skjema total MA'!F34*G34,0)</f>
        <v>63.338697290100555</v>
      </c>
      <c r="J34" s="234">
        <f t="shared" si="6"/>
        <v>12456.976000000001</v>
      </c>
      <c r="K34" s="234">
        <f t="shared" si="7"/>
        <v>16072.261</v>
      </c>
      <c r="L34" s="422">
        <f t="shared" si="8"/>
        <v>29</v>
      </c>
      <c r="M34" s="24">
        <f>IFERROR(100/'Skjema total MA'!I34*K34,0)</f>
        <v>34.65863943633974</v>
      </c>
    </row>
    <row r="35" spans="1:14" ht="15.6" x14ac:dyDescent="0.25">
      <c r="A35" s="13" t="s">
        <v>446</v>
      </c>
      <c r="B35" s="234"/>
      <c r="C35" s="306"/>
      <c r="D35" s="170"/>
      <c r="E35" s="11"/>
      <c r="F35" s="305">
        <v>17277.651999999998</v>
      </c>
      <c r="G35" s="306">
        <v>26067.161</v>
      </c>
      <c r="H35" s="170">
        <f t="shared" si="5"/>
        <v>50.9</v>
      </c>
      <c r="I35" s="159">
        <f>IFERROR(100/'Skjema total MA'!F35*G35,0)</f>
        <v>15.722565953981119</v>
      </c>
      <c r="J35" s="234">
        <f t="shared" si="6"/>
        <v>17277.651999999998</v>
      </c>
      <c r="K35" s="234">
        <f t="shared" si="7"/>
        <v>26067.161</v>
      </c>
      <c r="L35" s="422">
        <f t="shared" si="8"/>
        <v>50.9</v>
      </c>
      <c r="M35" s="24">
        <f>IFERROR(100/'Skjema total MA'!I35*K35,0)</f>
        <v>31.379275746739665</v>
      </c>
    </row>
    <row r="36" spans="1:14" ht="15.6" x14ac:dyDescent="0.25">
      <c r="A36" s="12" t="s">
        <v>282</v>
      </c>
      <c r="B36" s="234"/>
      <c r="C36" s="306"/>
      <c r="D36" s="170"/>
      <c r="E36" s="11"/>
      <c r="F36" s="316"/>
      <c r="G36" s="317"/>
      <c r="H36" s="170"/>
      <c r="I36" s="424"/>
      <c r="J36" s="234"/>
      <c r="K36" s="234"/>
      <c r="L36" s="422"/>
      <c r="M36" s="24"/>
    </row>
    <row r="37" spans="1:14" ht="15.6" x14ac:dyDescent="0.25">
      <c r="A37" s="12" t="s">
        <v>452</v>
      </c>
      <c r="B37" s="234"/>
      <c r="C37" s="306"/>
      <c r="D37" s="170"/>
      <c r="E37" s="11"/>
      <c r="F37" s="316"/>
      <c r="G37" s="318"/>
      <c r="H37" s="170"/>
      <c r="I37" s="424"/>
      <c r="J37" s="234"/>
      <c r="K37" s="234"/>
      <c r="L37" s="422"/>
      <c r="M37" s="24"/>
    </row>
    <row r="38" spans="1:14" ht="15.6" x14ac:dyDescent="0.25">
      <c r="A38" s="12" t="s">
        <v>453</v>
      </c>
      <c r="B38" s="234"/>
      <c r="C38" s="306"/>
      <c r="D38" s="170"/>
      <c r="E38" s="24"/>
      <c r="F38" s="316"/>
      <c r="G38" s="317"/>
      <c r="H38" s="170"/>
      <c r="I38" s="424"/>
      <c r="J38" s="234"/>
      <c r="K38" s="234"/>
      <c r="L38" s="422"/>
      <c r="M38" s="24"/>
    </row>
    <row r="39" spans="1:14" ht="15.6" x14ac:dyDescent="0.25">
      <c r="A39" s="18" t="s">
        <v>454</v>
      </c>
      <c r="B39" s="273"/>
      <c r="C39" s="312"/>
      <c r="D39" s="168"/>
      <c r="E39" s="36"/>
      <c r="F39" s="319"/>
      <c r="G39" s="320"/>
      <c r="H39" s="168"/>
      <c r="I39" s="168"/>
      <c r="J39" s="234"/>
      <c r="K39" s="234"/>
      <c r="L39" s="423"/>
      <c r="M39" s="36"/>
    </row>
    <row r="40" spans="1:14" ht="15.6" x14ac:dyDescent="0.3">
      <c r="A40" s="47"/>
      <c r="B40" s="251"/>
      <c r="C40" s="251"/>
      <c r="D40" s="962"/>
      <c r="E40" s="962"/>
      <c r="F40" s="962"/>
      <c r="G40" s="962"/>
      <c r="H40" s="962"/>
      <c r="I40" s="962"/>
      <c r="J40" s="962"/>
      <c r="K40" s="962"/>
      <c r="L40" s="962"/>
      <c r="M40" s="401"/>
    </row>
    <row r="41" spans="1:14" x14ac:dyDescent="0.25">
      <c r="A41" s="154"/>
    </row>
    <row r="42" spans="1:14" ht="15.6" x14ac:dyDescent="0.3">
      <c r="A42" s="146" t="s">
        <v>271</v>
      </c>
      <c r="B42" s="963"/>
      <c r="C42" s="963"/>
      <c r="D42" s="963"/>
      <c r="E42" s="400"/>
      <c r="F42" s="964"/>
      <c r="G42" s="964"/>
      <c r="H42" s="964"/>
      <c r="I42" s="401"/>
      <c r="J42" s="964"/>
      <c r="K42" s="964"/>
      <c r="L42" s="964"/>
      <c r="M42" s="401"/>
    </row>
    <row r="43" spans="1:14" ht="15.6" x14ac:dyDescent="0.3">
      <c r="A43" s="162"/>
      <c r="B43" s="397"/>
      <c r="C43" s="397"/>
      <c r="D43" s="397"/>
      <c r="E43" s="397"/>
      <c r="F43" s="401"/>
      <c r="G43" s="401"/>
      <c r="H43" s="401"/>
      <c r="I43" s="401"/>
      <c r="J43" s="401"/>
      <c r="K43" s="401"/>
      <c r="L43" s="401"/>
      <c r="M43" s="401"/>
    </row>
    <row r="44" spans="1:14" ht="15.6" x14ac:dyDescent="0.3">
      <c r="A44" s="245"/>
      <c r="B44" s="959" t="s">
        <v>0</v>
      </c>
      <c r="C44" s="960"/>
      <c r="D44" s="960"/>
      <c r="E44" s="241"/>
      <c r="F44" s="401"/>
      <c r="G44" s="401"/>
      <c r="H44" s="401"/>
      <c r="I44" s="401"/>
      <c r="J44" s="401"/>
      <c r="K44" s="401"/>
      <c r="L44" s="401"/>
      <c r="M44" s="401"/>
    </row>
    <row r="45" spans="1:14" s="3" customFormat="1" x14ac:dyDescent="0.25">
      <c r="A45" s="139"/>
      <c r="B45" s="151" t="s">
        <v>508</v>
      </c>
      <c r="C45" s="151" t="s">
        <v>509</v>
      </c>
      <c r="D45" s="161" t="s">
        <v>3</v>
      </c>
      <c r="E45" s="161" t="s">
        <v>29</v>
      </c>
      <c r="F45" s="173"/>
      <c r="G45" s="173"/>
      <c r="H45" s="172"/>
      <c r="I45" s="172"/>
      <c r="J45" s="173"/>
      <c r="K45" s="173"/>
      <c r="L45" s="172"/>
      <c r="M45" s="172"/>
      <c r="N45" s="147"/>
    </row>
    <row r="46" spans="1:14" s="3" customFormat="1" x14ac:dyDescent="0.25">
      <c r="A46" s="927"/>
      <c r="B46" s="242"/>
      <c r="C46" s="242"/>
      <c r="D46" s="243" t="s">
        <v>4</v>
      </c>
      <c r="E46" s="155" t="s">
        <v>30</v>
      </c>
      <c r="F46" s="172"/>
      <c r="G46" s="172"/>
      <c r="H46" s="172"/>
      <c r="I46" s="172"/>
      <c r="J46" s="172"/>
      <c r="K46" s="172"/>
      <c r="L46" s="172"/>
      <c r="M46" s="172"/>
      <c r="N46" s="147"/>
    </row>
    <row r="47" spans="1:14" s="3" customFormat="1" ht="15.6" x14ac:dyDescent="0.25">
      <c r="A47" s="14" t="s">
        <v>23</v>
      </c>
      <c r="B47" s="307">
        <v>8042.701</v>
      </c>
      <c r="C47" s="308">
        <v>7911.1319999999996</v>
      </c>
      <c r="D47" s="421">
        <f t="shared" ref="D47:D48" si="9">IF(B47=0, "    ---- ", IF(ABS(ROUND(100/B47*C47-100,1))&lt;999,ROUND(100/B47*C47-100,1),IF(ROUND(100/B47*C47-100,1)&gt;999,999,-999)))</f>
        <v>-1.6</v>
      </c>
      <c r="E47" s="11">
        <f>IFERROR(100/'Skjema total MA'!C47*C47,0)</f>
        <v>0.15530280377089953</v>
      </c>
      <c r="F47" s="144"/>
      <c r="G47" s="33"/>
      <c r="H47" s="158"/>
      <c r="I47" s="158"/>
      <c r="J47" s="37"/>
      <c r="K47" s="37"/>
      <c r="L47" s="158"/>
      <c r="M47" s="158"/>
      <c r="N47" s="147"/>
    </row>
    <row r="48" spans="1:14" s="3" customFormat="1" ht="15.6" x14ac:dyDescent="0.25">
      <c r="A48" s="38" t="s">
        <v>455</v>
      </c>
      <c r="B48" s="278">
        <v>8042.701</v>
      </c>
      <c r="C48" s="279">
        <v>7911.1319999999996</v>
      </c>
      <c r="D48" s="252">
        <f t="shared" si="9"/>
        <v>-1.6</v>
      </c>
      <c r="E48" s="27">
        <f>IFERROR(100/'Skjema total MA'!C48*C48,0)</f>
        <v>0.27932522344629995</v>
      </c>
      <c r="F48" s="144"/>
      <c r="G48" s="33"/>
      <c r="H48" s="144"/>
      <c r="I48" s="144"/>
      <c r="J48" s="33"/>
      <c r="K48" s="33"/>
      <c r="L48" s="158"/>
      <c r="M48" s="158"/>
      <c r="N48" s="147"/>
    </row>
    <row r="49" spans="1:14" s="3" customFormat="1" ht="15.6" x14ac:dyDescent="0.25">
      <c r="A49" s="38" t="s">
        <v>456</v>
      </c>
      <c r="B49" s="44"/>
      <c r="C49" s="284"/>
      <c r="D49" s="252"/>
      <c r="E49" s="27"/>
      <c r="F49" s="144"/>
      <c r="G49" s="33"/>
      <c r="H49" s="144"/>
      <c r="I49" s="144"/>
      <c r="J49" s="37"/>
      <c r="K49" s="37"/>
      <c r="L49" s="158"/>
      <c r="M49" s="158"/>
      <c r="N49" s="147"/>
    </row>
    <row r="50" spans="1:14" s="3" customFormat="1" x14ac:dyDescent="0.25">
      <c r="A50" s="293" t="s">
        <v>6</v>
      </c>
      <c r="B50" s="287"/>
      <c r="C50" s="288"/>
      <c r="D50" s="252"/>
      <c r="E50" s="23"/>
      <c r="F50" s="144"/>
      <c r="G50" s="33"/>
      <c r="H50" s="144"/>
      <c r="I50" s="144"/>
      <c r="J50" s="33"/>
      <c r="K50" s="33"/>
      <c r="L50" s="158"/>
      <c r="M50" s="158"/>
      <c r="N50" s="147"/>
    </row>
    <row r="51" spans="1:14" s="3" customFormat="1" x14ac:dyDescent="0.25">
      <c r="A51" s="293" t="s">
        <v>7</v>
      </c>
      <c r="B51" s="287"/>
      <c r="C51" s="288"/>
      <c r="D51" s="252"/>
      <c r="E51" s="23"/>
      <c r="F51" s="144"/>
      <c r="G51" s="33"/>
      <c r="H51" s="144"/>
      <c r="I51" s="144"/>
      <c r="J51" s="33"/>
      <c r="K51" s="33"/>
      <c r="L51" s="158"/>
      <c r="M51" s="158"/>
      <c r="N51" s="147"/>
    </row>
    <row r="52" spans="1:14" s="3" customFormat="1" x14ac:dyDescent="0.25">
      <c r="A52" s="293" t="s">
        <v>8</v>
      </c>
      <c r="B52" s="287"/>
      <c r="C52" s="288"/>
      <c r="D52" s="252"/>
      <c r="E52" s="23"/>
      <c r="F52" s="144"/>
      <c r="G52" s="33"/>
      <c r="H52" s="144"/>
      <c r="I52" s="144"/>
      <c r="J52" s="33"/>
      <c r="K52" s="33"/>
      <c r="L52" s="158"/>
      <c r="M52" s="158"/>
      <c r="N52" s="147"/>
    </row>
    <row r="53" spans="1:14" s="3" customFormat="1" ht="15.6" x14ac:dyDescent="0.25">
      <c r="A53" s="39" t="s">
        <v>457</v>
      </c>
      <c r="B53" s="307"/>
      <c r="C53" s="308"/>
      <c r="D53" s="422"/>
      <c r="E53" s="11"/>
      <c r="F53" s="144"/>
      <c r="G53" s="33"/>
      <c r="H53" s="144"/>
      <c r="I53" s="144"/>
      <c r="J53" s="33"/>
      <c r="K53" s="33"/>
      <c r="L53" s="158"/>
      <c r="M53" s="158"/>
      <c r="N53" s="147"/>
    </row>
    <row r="54" spans="1:14" s="3" customFormat="1" ht="15.6" x14ac:dyDescent="0.25">
      <c r="A54" s="38" t="s">
        <v>455</v>
      </c>
      <c r="B54" s="278"/>
      <c r="C54" s="279"/>
      <c r="D54" s="252"/>
      <c r="E54" s="27"/>
      <c r="F54" s="144"/>
      <c r="G54" s="33"/>
      <c r="H54" s="144"/>
      <c r="I54" s="144"/>
      <c r="J54" s="33"/>
      <c r="K54" s="33"/>
      <c r="L54" s="158"/>
      <c r="M54" s="158"/>
      <c r="N54" s="147"/>
    </row>
    <row r="55" spans="1:14" s="3" customFormat="1" ht="15.6" x14ac:dyDescent="0.25">
      <c r="A55" s="38" t="s">
        <v>456</v>
      </c>
      <c r="B55" s="278"/>
      <c r="C55" s="279"/>
      <c r="D55" s="252"/>
      <c r="E55" s="27"/>
      <c r="F55" s="144"/>
      <c r="G55" s="33"/>
      <c r="H55" s="144"/>
      <c r="I55" s="144"/>
      <c r="J55" s="33"/>
      <c r="K55" s="33"/>
      <c r="L55" s="158"/>
      <c r="M55" s="158"/>
      <c r="N55" s="147"/>
    </row>
    <row r="56" spans="1:14" s="3" customFormat="1" ht="15.6" x14ac:dyDescent="0.25">
      <c r="A56" s="39" t="s">
        <v>458</v>
      </c>
      <c r="B56" s="307"/>
      <c r="C56" s="308"/>
      <c r="D56" s="422"/>
      <c r="E56" s="11"/>
      <c r="F56" s="144"/>
      <c r="G56" s="33"/>
      <c r="H56" s="144"/>
      <c r="I56" s="144"/>
      <c r="J56" s="33"/>
      <c r="K56" s="33"/>
      <c r="L56" s="158"/>
      <c r="M56" s="158"/>
      <c r="N56" s="147"/>
    </row>
    <row r="57" spans="1:14" s="3" customFormat="1" ht="15.6" x14ac:dyDescent="0.25">
      <c r="A57" s="38" t="s">
        <v>455</v>
      </c>
      <c r="B57" s="278"/>
      <c r="C57" s="279"/>
      <c r="D57" s="252"/>
      <c r="E57" s="27"/>
      <c r="F57" s="144"/>
      <c r="G57" s="33"/>
      <c r="H57" s="144"/>
      <c r="I57" s="144"/>
      <c r="J57" s="33"/>
      <c r="K57" s="33"/>
      <c r="L57" s="158"/>
      <c r="M57" s="158"/>
      <c r="N57" s="147"/>
    </row>
    <row r="58" spans="1:14" s="3" customFormat="1" ht="15.6" x14ac:dyDescent="0.25">
      <c r="A58" s="46" t="s">
        <v>456</v>
      </c>
      <c r="B58" s="280"/>
      <c r="C58" s="281"/>
      <c r="D58" s="253"/>
      <c r="E58" s="22"/>
      <c r="F58" s="144"/>
      <c r="G58" s="33"/>
      <c r="H58" s="144"/>
      <c r="I58" s="144"/>
      <c r="J58" s="33"/>
      <c r="K58" s="33"/>
      <c r="L58" s="158"/>
      <c r="M58" s="158"/>
      <c r="N58" s="147"/>
    </row>
    <row r="59" spans="1:14" s="3" customFormat="1" ht="15.6" x14ac:dyDescent="0.3">
      <c r="A59" s="163"/>
      <c r="B59" s="153"/>
      <c r="C59" s="153"/>
      <c r="D59" s="153"/>
      <c r="E59" s="153"/>
      <c r="F59" s="141"/>
      <c r="G59" s="141"/>
      <c r="H59" s="141"/>
      <c r="I59" s="141"/>
      <c r="J59" s="141"/>
      <c r="K59" s="141"/>
      <c r="L59" s="141"/>
      <c r="M59" s="141"/>
      <c r="N59" s="147"/>
    </row>
    <row r="60" spans="1:14" x14ac:dyDescent="0.25">
      <c r="A60" s="154"/>
    </row>
    <row r="61" spans="1:14" ht="15.6" x14ac:dyDescent="0.3">
      <c r="A61" s="146" t="s">
        <v>272</v>
      </c>
      <c r="C61" s="26"/>
      <c r="D61" s="26"/>
      <c r="E61" s="26"/>
      <c r="F61" s="26"/>
      <c r="G61" s="26"/>
      <c r="H61" s="26"/>
      <c r="I61" s="26"/>
      <c r="J61" s="26"/>
      <c r="K61" s="26"/>
      <c r="L61" s="26"/>
      <c r="M61" s="26"/>
    </row>
    <row r="62" spans="1:14" ht="15.6" x14ac:dyDescent="0.3">
      <c r="B62" s="958"/>
      <c r="C62" s="958"/>
      <c r="D62" s="958"/>
      <c r="E62" s="400"/>
      <c r="F62" s="958"/>
      <c r="G62" s="958"/>
      <c r="H62" s="958"/>
      <c r="I62" s="400"/>
      <c r="J62" s="958"/>
      <c r="K62" s="958"/>
      <c r="L62" s="958"/>
      <c r="M62" s="400"/>
    </row>
    <row r="63" spans="1:14" x14ac:dyDescent="0.25">
      <c r="A63" s="143"/>
      <c r="B63" s="959" t="s">
        <v>0</v>
      </c>
      <c r="C63" s="960"/>
      <c r="D63" s="961"/>
      <c r="E63" s="398"/>
      <c r="F63" s="960" t="s">
        <v>1</v>
      </c>
      <c r="G63" s="960"/>
      <c r="H63" s="960"/>
      <c r="I63" s="402"/>
      <c r="J63" s="959" t="s">
        <v>2</v>
      </c>
      <c r="K63" s="960"/>
      <c r="L63" s="960"/>
      <c r="M63" s="402"/>
    </row>
    <row r="64" spans="1:14" x14ac:dyDescent="0.25">
      <c r="A64" s="139"/>
      <c r="B64" s="151" t="s">
        <v>508</v>
      </c>
      <c r="C64" s="151" t="s">
        <v>509</v>
      </c>
      <c r="D64" s="243" t="s">
        <v>3</v>
      </c>
      <c r="E64" s="302" t="s">
        <v>29</v>
      </c>
      <c r="F64" s="151" t="s">
        <v>508</v>
      </c>
      <c r="G64" s="151" t="s">
        <v>509</v>
      </c>
      <c r="H64" s="243" t="s">
        <v>3</v>
      </c>
      <c r="I64" s="302" t="s">
        <v>29</v>
      </c>
      <c r="J64" s="151" t="s">
        <v>508</v>
      </c>
      <c r="K64" s="151" t="s">
        <v>509</v>
      </c>
      <c r="L64" s="243" t="s">
        <v>3</v>
      </c>
      <c r="M64" s="161" t="s">
        <v>29</v>
      </c>
    </row>
    <row r="65" spans="1:14" x14ac:dyDescent="0.25">
      <c r="A65" s="927"/>
      <c r="B65" s="155"/>
      <c r="C65" s="155"/>
      <c r="D65" s="244" t="s">
        <v>4</v>
      </c>
      <c r="E65" s="155" t="s">
        <v>30</v>
      </c>
      <c r="F65" s="160"/>
      <c r="G65" s="160"/>
      <c r="H65" s="243" t="s">
        <v>4</v>
      </c>
      <c r="I65" s="155" t="s">
        <v>30</v>
      </c>
      <c r="J65" s="160"/>
      <c r="K65" s="204"/>
      <c r="L65" s="155" t="s">
        <v>4</v>
      </c>
      <c r="M65" s="155" t="s">
        <v>30</v>
      </c>
    </row>
    <row r="66" spans="1:14" ht="15.6" x14ac:dyDescent="0.25">
      <c r="A66" s="14" t="s">
        <v>23</v>
      </c>
      <c r="B66" s="348">
        <v>130142.849</v>
      </c>
      <c r="C66" s="348">
        <v>134166.54500000001</v>
      </c>
      <c r="D66" s="345">
        <f t="shared" ref="D66:D120" si="10">IF(B66=0, "    ---- ", IF(ABS(ROUND(100/B66*C66-100,1))&lt;999,ROUND(100/B66*C66-100,1),IF(ROUND(100/B66*C66-100,1)&gt;999,999,-999)))</f>
        <v>3.1</v>
      </c>
      <c r="E66" s="11">
        <f>IFERROR(100/'Skjema total MA'!C66*C66,0)</f>
        <v>1.7650655988837509</v>
      </c>
      <c r="F66" s="347">
        <v>1753893.95</v>
      </c>
      <c r="G66" s="347">
        <v>1942305.378</v>
      </c>
      <c r="H66" s="345">
        <f t="shared" ref="H66:H125" si="11">IF(F66=0, "    ---- ", IF(ABS(ROUND(100/F66*G66-100,1))&lt;999,ROUND(100/F66*G66-100,1),IF(ROUND(100/F66*G66-100,1)&gt;999,999,-999)))</f>
        <v>10.7</v>
      </c>
      <c r="I66" s="11">
        <f>IFERROR(100/'Skjema total MA'!F66*G66,0)</f>
        <v>5.0874645759220307</v>
      </c>
      <c r="J66" s="306">
        <f t="shared" ref="J66:K68" si="12">SUM(B66,F66)</f>
        <v>1884036.7989999999</v>
      </c>
      <c r="K66" s="313">
        <f t="shared" si="12"/>
        <v>2076471.923</v>
      </c>
      <c r="L66" s="422">
        <f t="shared" ref="L66:L125" si="13">IF(J66=0, "    ---- ", IF(ABS(ROUND(100/J66*K66-100,1))&lt;999,ROUND(100/J66*K66-100,1),IF(ROUND(100/J66*K66-100,1)&gt;999,999,-999)))</f>
        <v>10.199999999999999</v>
      </c>
      <c r="M66" s="11">
        <f>IFERROR(100/'Skjema total MA'!I66*K66,0)</f>
        <v>4.5358136965415623</v>
      </c>
    </row>
    <row r="67" spans="1:14" x14ac:dyDescent="0.25">
      <c r="A67" s="21" t="s">
        <v>9</v>
      </c>
      <c r="B67" s="44">
        <v>130142.849</v>
      </c>
      <c r="C67" s="144">
        <v>134166.54500000001</v>
      </c>
      <c r="D67" s="165">
        <f t="shared" si="10"/>
        <v>3.1</v>
      </c>
      <c r="E67" s="27">
        <f>IFERROR(100/'Skjema total MA'!C67*C67,0)</f>
        <v>2.5926360882696011</v>
      </c>
      <c r="F67" s="232"/>
      <c r="G67" s="144"/>
      <c r="H67" s="165"/>
      <c r="I67" s="27"/>
      <c r="J67" s="284">
        <f t="shared" si="12"/>
        <v>130142.849</v>
      </c>
      <c r="K67" s="44">
        <f t="shared" si="12"/>
        <v>134166.54500000001</v>
      </c>
      <c r="L67" s="252">
        <f t="shared" si="13"/>
        <v>3.1</v>
      </c>
      <c r="M67" s="27">
        <f>IFERROR(100/'Skjema total MA'!I67*K67,0)</f>
        <v>2.5926360882696011</v>
      </c>
    </row>
    <row r="68" spans="1:14" x14ac:dyDescent="0.25">
      <c r="A68" s="21" t="s">
        <v>10</v>
      </c>
      <c r="B68" s="289"/>
      <c r="C68" s="290"/>
      <c r="D68" s="165"/>
      <c r="E68" s="27"/>
      <c r="F68" s="289">
        <v>1753893.95</v>
      </c>
      <c r="G68" s="290">
        <v>1942305.378</v>
      </c>
      <c r="H68" s="165">
        <f t="shared" si="11"/>
        <v>10.7</v>
      </c>
      <c r="I68" s="27">
        <f>IFERROR(100/'Skjema total MA'!F68*G68,0)</f>
        <v>5.2978325281849257</v>
      </c>
      <c r="J68" s="284">
        <f t="shared" si="12"/>
        <v>1753893.95</v>
      </c>
      <c r="K68" s="44">
        <f t="shared" si="12"/>
        <v>1942305.378</v>
      </c>
      <c r="L68" s="252">
        <f t="shared" si="13"/>
        <v>10.7</v>
      </c>
      <c r="M68" s="27">
        <f>IFERROR(100/'Skjema total MA'!I68*K68,0)</f>
        <v>5.2912368346881129</v>
      </c>
    </row>
    <row r="69" spans="1:14" ht="15.6" x14ac:dyDescent="0.25">
      <c r="A69" s="293" t="s">
        <v>459</v>
      </c>
      <c r="B69" s="278"/>
      <c r="C69" s="278"/>
      <c r="D69" s="165"/>
      <c r="E69" s="411"/>
      <c r="F69" s="278"/>
      <c r="G69" s="278"/>
      <c r="H69" s="165"/>
      <c r="I69" s="411"/>
      <c r="J69" s="287"/>
      <c r="K69" s="287"/>
      <c r="L69" s="165"/>
      <c r="M69" s="23"/>
    </row>
    <row r="70" spans="1:14" x14ac:dyDescent="0.25">
      <c r="A70" s="293" t="s">
        <v>12</v>
      </c>
      <c r="B70" s="291"/>
      <c r="C70" s="292"/>
      <c r="D70" s="165"/>
      <c r="E70" s="411"/>
      <c r="F70" s="278"/>
      <c r="G70" s="278"/>
      <c r="H70" s="165"/>
      <c r="I70" s="411"/>
      <c r="J70" s="287"/>
      <c r="K70" s="287"/>
      <c r="L70" s="165"/>
      <c r="M70" s="23"/>
    </row>
    <row r="71" spans="1:14" x14ac:dyDescent="0.25">
      <c r="A71" s="293" t="s">
        <v>13</v>
      </c>
      <c r="B71" s="233"/>
      <c r="C71" s="286"/>
      <c r="D71" s="165"/>
      <c r="E71" s="411"/>
      <c r="F71" s="278"/>
      <c r="G71" s="278"/>
      <c r="H71" s="165"/>
      <c r="I71" s="411"/>
      <c r="J71" s="287"/>
      <c r="K71" s="287"/>
      <c r="L71" s="165"/>
      <c r="M71" s="23"/>
    </row>
    <row r="72" spans="1:14" ht="15.6" x14ac:dyDescent="0.25">
      <c r="A72" s="293" t="s">
        <v>460</v>
      </c>
      <c r="B72" s="278"/>
      <c r="C72" s="278"/>
      <c r="D72" s="165"/>
      <c r="E72" s="411"/>
      <c r="F72" s="278">
        <v>1753893.95</v>
      </c>
      <c r="G72" s="278">
        <v>1942305.378</v>
      </c>
      <c r="H72" s="165">
        <f t="shared" si="11"/>
        <v>10.7</v>
      </c>
      <c r="I72" s="411">
        <f>IFERROR(100/'Skjema total MA'!F72*G72,0)</f>
        <v>5.2981425067367143</v>
      </c>
      <c r="J72" s="284">
        <f t="shared" ref="J72" si="14">SUM(B72,F72)</f>
        <v>1753893.95</v>
      </c>
      <c r="K72" s="284">
        <f t="shared" ref="K72" si="15">SUM(C72,G72)</f>
        <v>1942305.378</v>
      </c>
      <c r="L72" s="252">
        <f t="shared" si="13"/>
        <v>10.7</v>
      </c>
      <c r="M72" s="23">
        <f>IFERROR(100/'Skjema total MA'!I72*K72,0)</f>
        <v>5.2926333830016388</v>
      </c>
    </row>
    <row r="73" spans="1:14" x14ac:dyDescent="0.25">
      <c r="A73" s="293" t="s">
        <v>12</v>
      </c>
      <c r="B73" s="233"/>
      <c r="C73" s="286"/>
      <c r="D73" s="165"/>
      <c r="E73" s="411"/>
      <c r="F73" s="278"/>
      <c r="G73" s="278"/>
      <c r="H73" s="165"/>
      <c r="I73" s="411"/>
      <c r="J73" s="287"/>
      <c r="K73" s="287"/>
      <c r="L73" s="165"/>
      <c r="M73" s="23"/>
    </row>
    <row r="74" spans="1:14" s="3" customFormat="1" x14ac:dyDescent="0.25">
      <c r="A74" s="293" t="s">
        <v>13</v>
      </c>
      <c r="B74" s="233"/>
      <c r="C74" s="286"/>
      <c r="D74" s="165"/>
      <c r="E74" s="411"/>
      <c r="F74" s="278">
        <v>1753893.95</v>
      </c>
      <c r="G74" s="278">
        <v>1942305.378</v>
      </c>
      <c r="H74" s="165">
        <f t="shared" si="11"/>
        <v>10.7</v>
      </c>
      <c r="I74" s="411">
        <f>IFERROR(100/'Skjema total MA'!F74*G74,0)</f>
        <v>5.2981436629017731</v>
      </c>
      <c r="J74" s="284">
        <f t="shared" ref="J74:K74" si="16">SUM(B74,F74)</f>
        <v>1753893.95</v>
      </c>
      <c r="K74" s="284">
        <f t="shared" si="16"/>
        <v>1942305.378</v>
      </c>
      <c r="L74" s="252">
        <f t="shared" si="13"/>
        <v>10.7</v>
      </c>
      <c r="M74" s="23">
        <f>IFERROR(100/'Skjema total MA'!I74*K74,0)</f>
        <v>5.2981436629017731</v>
      </c>
      <c r="N74" s="147"/>
    </row>
    <row r="75" spans="1:14" s="3" customFormat="1" x14ac:dyDescent="0.25">
      <c r="A75" s="21" t="s">
        <v>348</v>
      </c>
      <c r="B75" s="232"/>
      <c r="C75" s="144"/>
      <c r="D75" s="165"/>
      <c r="E75" s="27"/>
      <c r="F75" s="232"/>
      <c r="G75" s="144"/>
      <c r="H75" s="165"/>
      <c r="I75" s="27"/>
      <c r="J75" s="284"/>
      <c r="K75" s="44"/>
      <c r="L75" s="252"/>
      <c r="M75" s="27"/>
      <c r="N75" s="147"/>
    </row>
    <row r="76" spans="1:14" s="3" customFormat="1" x14ac:dyDescent="0.25">
      <c r="A76" s="21" t="s">
        <v>347</v>
      </c>
      <c r="B76" s="232"/>
      <c r="C76" s="144"/>
      <c r="D76" s="165"/>
      <c r="E76" s="27"/>
      <c r="F76" s="232"/>
      <c r="G76" s="144"/>
      <c r="H76" s="165"/>
      <c r="I76" s="27"/>
      <c r="J76" s="284"/>
      <c r="K76" s="44"/>
      <c r="L76" s="252"/>
      <c r="M76" s="27"/>
      <c r="N76" s="147"/>
    </row>
    <row r="77" spans="1:14" ht="15.6" x14ac:dyDescent="0.25">
      <c r="A77" s="21" t="s">
        <v>461</v>
      </c>
      <c r="B77" s="232">
        <v>130142.849</v>
      </c>
      <c r="C77" s="232">
        <v>134166.54500000001</v>
      </c>
      <c r="D77" s="165">
        <f t="shared" si="10"/>
        <v>3.1</v>
      </c>
      <c r="E77" s="27">
        <f>IFERROR(100/'Skjema total MA'!C77*C77,0)</f>
        <v>2.6184145778983043</v>
      </c>
      <c r="F77" s="232">
        <v>1753893.95</v>
      </c>
      <c r="G77" s="144">
        <v>1942305.378</v>
      </c>
      <c r="H77" s="165">
        <f t="shared" si="11"/>
        <v>10.7</v>
      </c>
      <c r="I77" s="27">
        <f>IFERROR(100/'Skjema total MA'!F77*G77,0)</f>
        <v>5.2995754850132197</v>
      </c>
      <c r="J77" s="284">
        <f t="shared" ref="J77:K79" si="17">SUM(B77,F77)</f>
        <v>1884036.7989999999</v>
      </c>
      <c r="K77" s="44">
        <f t="shared" si="17"/>
        <v>2076471.923</v>
      </c>
      <c r="L77" s="252">
        <f t="shared" si="13"/>
        <v>10.199999999999999</v>
      </c>
      <c r="M77" s="27">
        <f>IFERROR(100/'Skjema total MA'!I77*K77,0)</f>
        <v>4.9707080314002381</v>
      </c>
    </row>
    <row r="78" spans="1:14" x14ac:dyDescent="0.25">
      <c r="A78" s="21" t="s">
        <v>9</v>
      </c>
      <c r="B78" s="232">
        <v>130142.849</v>
      </c>
      <c r="C78" s="144">
        <v>134166.54500000001</v>
      </c>
      <c r="D78" s="165">
        <f t="shared" si="10"/>
        <v>3.1</v>
      </c>
      <c r="E78" s="27">
        <f>IFERROR(100/'Skjema total MA'!C78*C78,0)</f>
        <v>2.6408593044268271</v>
      </c>
      <c r="F78" s="232"/>
      <c r="G78" s="144"/>
      <c r="H78" s="165"/>
      <c r="I78" s="27"/>
      <c r="J78" s="284">
        <f t="shared" si="17"/>
        <v>130142.849</v>
      </c>
      <c r="K78" s="44">
        <f t="shared" si="17"/>
        <v>134166.54500000001</v>
      </c>
      <c r="L78" s="252">
        <f t="shared" si="13"/>
        <v>3.1</v>
      </c>
      <c r="M78" s="27">
        <f>IFERROR(100/'Skjema total MA'!I78*K78,0)</f>
        <v>2.6408593044268271</v>
      </c>
    </row>
    <row r="79" spans="1:14" x14ac:dyDescent="0.25">
      <c r="A79" s="38" t="s">
        <v>495</v>
      </c>
      <c r="B79" s="289"/>
      <c r="C79" s="290"/>
      <c r="D79" s="165"/>
      <c r="E79" s="27"/>
      <c r="F79" s="289">
        <v>1753893.95</v>
      </c>
      <c r="G79" s="290">
        <v>1942305.378</v>
      </c>
      <c r="H79" s="165">
        <f t="shared" si="11"/>
        <v>10.7</v>
      </c>
      <c r="I79" s="27">
        <f>IFERROR(100/'Skjema total MA'!F79*G79,0)</f>
        <v>5.2995754850132197</v>
      </c>
      <c r="J79" s="284">
        <f t="shared" si="17"/>
        <v>1753893.95</v>
      </c>
      <c r="K79" s="44">
        <f t="shared" si="17"/>
        <v>1942305.378</v>
      </c>
      <c r="L79" s="252">
        <f t="shared" si="13"/>
        <v>10.7</v>
      </c>
      <c r="M79" s="27">
        <f>IFERROR(100/'Skjema total MA'!I79*K79,0)</f>
        <v>5.2932858738210884</v>
      </c>
    </row>
    <row r="80" spans="1:14" ht="15.6" x14ac:dyDescent="0.25">
      <c r="A80" s="293" t="s">
        <v>459</v>
      </c>
      <c r="B80" s="278"/>
      <c r="C80" s="278"/>
      <c r="D80" s="165"/>
      <c r="E80" s="411"/>
      <c r="F80" s="278"/>
      <c r="G80" s="278"/>
      <c r="H80" s="165"/>
      <c r="I80" s="411"/>
      <c r="J80" s="287"/>
      <c r="K80" s="287"/>
      <c r="L80" s="165"/>
      <c r="M80" s="23"/>
    </row>
    <row r="81" spans="1:13" x14ac:dyDescent="0.25">
      <c r="A81" s="293" t="s">
        <v>12</v>
      </c>
      <c r="B81" s="233"/>
      <c r="C81" s="286"/>
      <c r="D81" s="165"/>
      <c r="E81" s="411"/>
      <c r="F81" s="278"/>
      <c r="G81" s="278"/>
      <c r="H81" s="165"/>
      <c r="I81" s="411"/>
      <c r="J81" s="287"/>
      <c r="K81" s="287"/>
      <c r="L81" s="165"/>
      <c r="M81" s="23"/>
    </row>
    <row r="82" spans="1:13" x14ac:dyDescent="0.25">
      <c r="A82" s="293" t="s">
        <v>13</v>
      </c>
      <c r="B82" s="233"/>
      <c r="C82" s="286"/>
      <c r="D82" s="165"/>
      <c r="E82" s="411"/>
      <c r="F82" s="278"/>
      <c r="G82" s="278"/>
      <c r="H82" s="165"/>
      <c r="I82" s="411"/>
      <c r="J82" s="287"/>
      <c r="K82" s="287"/>
      <c r="L82" s="165"/>
      <c r="M82" s="23"/>
    </row>
    <row r="83" spans="1:13" ht="15.6" x14ac:dyDescent="0.25">
      <c r="A83" s="293" t="s">
        <v>460</v>
      </c>
      <c r="B83" s="278"/>
      <c r="C83" s="278"/>
      <c r="D83" s="165"/>
      <c r="E83" s="411"/>
      <c r="F83" s="278">
        <v>1753893.95</v>
      </c>
      <c r="G83" s="278">
        <v>1942305.378</v>
      </c>
      <c r="H83" s="165">
        <f t="shared" si="11"/>
        <v>10.7</v>
      </c>
      <c r="I83" s="411">
        <f>IFERROR(100/'Skjema total MA'!F83*G83,0)</f>
        <v>5.2995754850132197</v>
      </c>
      <c r="J83" s="284">
        <f t="shared" ref="J83" si="18">SUM(B83,F83)</f>
        <v>1753893.95</v>
      </c>
      <c r="K83" s="284">
        <f t="shared" ref="K83" si="19">SUM(C83,G83)</f>
        <v>1942305.378</v>
      </c>
      <c r="L83" s="252">
        <f t="shared" si="13"/>
        <v>10.7</v>
      </c>
      <c r="M83" s="23">
        <f>IFERROR(100/'Skjema total MA'!I83*K83,0)</f>
        <v>5.2932858738210884</v>
      </c>
    </row>
    <row r="84" spans="1:13" x14ac:dyDescent="0.25">
      <c r="A84" s="293" t="s">
        <v>12</v>
      </c>
      <c r="B84" s="233"/>
      <c r="C84" s="286"/>
      <c r="D84" s="165"/>
      <c r="E84" s="411"/>
      <c r="F84" s="278"/>
      <c r="G84" s="278"/>
      <c r="H84" s="165"/>
      <c r="I84" s="411"/>
      <c r="J84" s="287"/>
      <c r="K84" s="287"/>
      <c r="L84" s="165"/>
      <c r="M84" s="23"/>
    </row>
    <row r="85" spans="1:13" x14ac:dyDescent="0.25">
      <c r="A85" s="293" t="s">
        <v>13</v>
      </c>
      <c r="B85" s="233"/>
      <c r="C85" s="286"/>
      <c r="D85" s="165"/>
      <c r="E85" s="411"/>
      <c r="F85" s="278">
        <v>1753893.95</v>
      </c>
      <c r="G85" s="278">
        <v>1942305.378</v>
      </c>
      <c r="H85" s="165">
        <f t="shared" si="11"/>
        <v>10.7</v>
      </c>
      <c r="I85" s="411">
        <f>IFERROR(100/'Skjema total MA'!F85*G85,0)</f>
        <v>5.2995766418037746</v>
      </c>
      <c r="J85" s="284">
        <f t="shared" ref="J85:K85" si="20">SUM(B85,F85)</f>
        <v>1753893.95</v>
      </c>
      <c r="K85" s="284">
        <f t="shared" si="20"/>
        <v>1942305.378</v>
      </c>
      <c r="L85" s="252">
        <f t="shared" si="13"/>
        <v>10.7</v>
      </c>
      <c r="M85" s="23">
        <f>IFERROR(100/'Skjema total MA'!I85*K85,0)</f>
        <v>5.2995766418037746</v>
      </c>
    </row>
    <row r="86" spans="1:13" ht="15.6" x14ac:dyDescent="0.25">
      <c r="A86" s="21" t="s">
        <v>462</v>
      </c>
      <c r="B86" s="232"/>
      <c r="C86" s="144"/>
      <c r="D86" s="165"/>
      <c r="E86" s="27"/>
      <c r="F86" s="232"/>
      <c r="G86" s="144"/>
      <c r="H86" s="165"/>
      <c r="I86" s="27"/>
      <c r="J86" s="284"/>
      <c r="K86" s="44"/>
      <c r="L86" s="252"/>
      <c r="M86" s="27"/>
    </row>
    <row r="87" spans="1:13" ht="15.6" x14ac:dyDescent="0.25">
      <c r="A87" s="13" t="s">
        <v>444</v>
      </c>
      <c r="B87" s="348">
        <v>876066.56599999999</v>
      </c>
      <c r="C87" s="348">
        <v>936041.30900000001</v>
      </c>
      <c r="D87" s="170">
        <f t="shared" si="10"/>
        <v>6.8</v>
      </c>
      <c r="E87" s="11">
        <f>IFERROR(100/'Skjema total MA'!C87*C87,0)</f>
        <v>0.23144276457524549</v>
      </c>
      <c r="F87" s="347">
        <v>19041569.561000001</v>
      </c>
      <c r="G87" s="347">
        <v>23784856.305</v>
      </c>
      <c r="H87" s="170">
        <f t="shared" si="11"/>
        <v>24.9</v>
      </c>
      <c r="I87" s="11">
        <f>IFERROR(100/'Skjema total MA'!F87*G87,0)</f>
        <v>5.2869048381357597</v>
      </c>
      <c r="J87" s="306">
        <f t="shared" ref="J87:K111" si="21">SUM(B87,F87)</f>
        <v>19917636.127</v>
      </c>
      <c r="K87" s="234">
        <f t="shared" si="21"/>
        <v>24720897.614</v>
      </c>
      <c r="L87" s="422">
        <f t="shared" si="13"/>
        <v>24.1</v>
      </c>
      <c r="M87" s="11">
        <f>IFERROR(100/'Skjema total MA'!I87*K87,0)</f>
        <v>2.893634671340426</v>
      </c>
    </row>
    <row r="88" spans="1:13" x14ac:dyDescent="0.25">
      <c r="A88" s="21" t="s">
        <v>9</v>
      </c>
      <c r="B88" s="232">
        <v>876066.56599999999</v>
      </c>
      <c r="C88" s="144">
        <v>936041.30900000001</v>
      </c>
      <c r="D88" s="165">
        <f t="shared" si="10"/>
        <v>6.8</v>
      </c>
      <c r="E88" s="27">
        <f>IFERROR(100/'Skjema total MA'!C88*C88,0)</f>
        <v>0.23968353329012004</v>
      </c>
      <c r="F88" s="232"/>
      <c r="G88" s="144"/>
      <c r="H88" s="165"/>
      <c r="I88" s="27"/>
      <c r="J88" s="284">
        <f t="shared" si="21"/>
        <v>876066.56599999999</v>
      </c>
      <c r="K88" s="44">
        <f t="shared" si="21"/>
        <v>936041.30900000001</v>
      </c>
      <c r="L88" s="252">
        <f t="shared" si="13"/>
        <v>6.8</v>
      </c>
      <c r="M88" s="27">
        <f>IFERROR(100/'Skjema total MA'!I88*K88,0)</f>
        <v>0.23968353329012004</v>
      </c>
    </row>
    <row r="89" spans="1:13" x14ac:dyDescent="0.25">
      <c r="A89" s="21" t="s">
        <v>10</v>
      </c>
      <c r="B89" s="232"/>
      <c r="C89" s="144"/>
      <c r="D89" s="165"/>
      <c r="E89" s="27"/>
      <c r="F89" s="232">
        <v>19041569.561000001</v>
      </c>
      <c r="G89" s="144">
        <v>23784856.305</v>
      </c>
      <c r="H89" s="165">
        <f t="shared" si="11"/>
        <v>24.9</v>
      </c>
      <c r="I89" s="27">
        <f>IFERROR(100/'Skjema total MA'!F89*G89,0)</f>
        <v>5.3444942258430652</v>
      </c>
      <c r="J89" s="284">
        <f t="shared" si="21"/>
        <v>19041569.561000001</v>
      </c>
      <c r="K89" s="44">
        <f t="shared" si="21"/>
        <v>23784856.305</v>
      </c>
      <c r="L89" s="252">
        <f t="shared" si="13"/>
        <v>24.9</v>
      </c>
      <c r="M89" s="27">
        <f>IFERROR(100/'Skjema total MA'!I89*K89,0)</f>
        <v>5.3067118061338387</v>
      </c>
    </row>
    <row r="90" spans="1:13" ht="15.6" x14ac:dyDescent="0.25">
      <c r="A90" s="293" t="s">
        <v>459</v>
      </c>
      <c r="B90" s="278"/>
      <c r="C90" s="278"/>
      <c r="D90" s="165"/>
      <c r="E90" s="411"/>
      <c r="F90" s="278"/>
      <c r="G90" s="278"/>
      <c r="H90" s="165"/>
      <c r="I90" s="411"/>
      <c r="J90" s="287"/>
      <c r="K90" s="287"/>
      <c r="L90" s="165"/>
      <c r="M90" s="23"/>
    </row>
    <row r="91" spans="1:13" x14ac:dyDescent="0.25">
      <c r="A91" s="293" t="s">
        <v>12</v>
      </c>
      <c r="B91" s="233"/>
      <c r="C91" s="286"/>
      <c r="D91" s="165"/>
      <c r="E91" s="411"/>
      <c r="F91" s="278"/>
      <c r="G91" s="278"/>
      <c r="H91" s="165"/>
      <c r="I91" s="411"/>
      <c r="J91" s="287"/>
      <c r="K91" s="287"/>
      <c r="L91" s="165"/>
      <c r="M91" s="23"/>
    </row>
    <row r="92" spans="1:13" x14ac:dyDescent="0.25">
      <c r="A92" s="293" t="s">
        <v>13</v>
      </c>
      <c r="B92" s="233"/>
      <c r="C92" s="286"/>
      <c r="D92" s="165"/>
      <c r="E92" s="411"/>
      <c r="F92" s="278"/>
      <c r="G92" s="278"/>
      <c r="H92" s="165"/>
      <c r="I92" s="411"/>
      <c r="J92" s="287"/>
      <c r="K92" s="287"/>
      <c r="L92" s="165"/>
      <c r="M92" s="23"/>
    </row>
    <row r="93" spans="1:13" ht="15.6" x14ac:dyDescent="0.25">
      <c r="A93" s="293" t="s">
        <v>460</v>
      </c>
      <c r="B93" s="278"/>
      <c r="C93" s="278"/>
      <c r="D93" s="165"/>
      <c r="E93" s="411"/>
      <c r="F93" s="278">
        <v>19041569.561000001</v>
      </c>
      <c r="G93" s="278">
        <v>23784856.305</v>
      </c>
      <c r="H93" s="165">
        <f t="shared" si="11"/>
        <v>24.9</v>
      </c>
      <c r="I93" s="411">
        <f>IFERROR(100/'Skjema total MA'!F93*G93,0)</f>
        <v>5.3458788445099357</v>
      </c>
      <c r="J93" s="284">
        <f t="shared" ref="J93:K93" si="22">SUM(B93,F93)</f>
        <v>19041569.561000001</v>
      </c>
      <c r="K93" s="284">
        <f t="shared" si="22"/>
        <v>23784856.305</v>
      </c>
      <c r="L93" s="252">
        <f t="shared" si="13"/>
        <v>24.9</v>
      </c>
      <c r="M93" s="23">
        <f>IFERROR(100/'Skjema total MA'!I93*K93,0)</f>
        <v>5.3080769146255156</v>
      </c>
    </row>
    <row r="94" spans="1:13" x14ac:dyDescent="0.25">
      <c r="A94" s="293" t="s">
        <v>12</v>
      </c>
      <c r="B94" s="233"/>
      <c r="C94" s="286"/>
      <c r="D94" s="165"/>
      <c r="E94" s="411"/>
      <c r="F94" s="278"/>
      <c r="G94" s="278"/>
      <c r="H94" s="165"/>
      <c r="I94" s="411"/>
      <c r="J94" s="287"/>
      <c r="K94" s="287"/>
      <c r="L94" s="165"/>
      <c r="M94" s="23"/>
    </row>
    <row r="95" spans="1:13" x14ac:dyDescent="0.25">
      <c r="A95" s="293" t="s">
        <v>13</v>
      </c>
      <c r="B95" s="233"/>
      <c r="C95" s="286"/>
      <c r="D95" s="165"/>
      <c r="E95" s="411"/>
      <c r="F95" s="278">
        <v>19041569.561000001</v>
      </c>
      <c r="G95" s="278">
        <v>23784856.305</v>
      </c>
      <c r="H95" s="165">
        <f t="shared" si="11"/>
        <v>24.9</v>
      </c>
      <c r="I95" s="411">
        <f>IFERROR(100/'Skjema total MA'!F95*G95,0)</f>
        <v>5.3550348212515519</v>
      </c>
      <c r="J95" s="284">
        <f t="shared" ref="J95" si="23">SUM(B95,F95)</f>
        <v>19041569.561000001</v>
      </c>
      <c r="K95" s="284">
        <f t="shared" ref="K95" si="24">SUM(C95,G95)</f>
        <v>23784856.305</v>
      </c>
      <c r="L95" s="252">
        <f t="shared" si="13"/>
        <v>24.9</v>
      </c>
      <c r="M95" s="23">
        <f>IFERROR(100/'Skjema total MA'!I95*K95,0)</f>
        <v>5.3550348212515519</v>
      </c>
    </row>
    <row r="96" spans="1:13" x14ac:dyDescent="0.25">
      <c r="A96" s="21" t="s">
        <v>346</v>
      </c>
      <c r="B96" s="232"/>
      <c r="C96" s="144"/>
      <c r="D96" s="165"/>
      <c r="E96" s="27"/>
      <c r="F96" s="232"/>
      <c r="G96" s="144"/>
      <c r="H96" s="165"/>
      <c r="I96" s="27"/>
      <c r="J96" s="284"/>
      <c r="K96" s="44"/>
      <c r="L96" s="252"/>
      <c r="M96" s="27"/>
    </row>
    <row r="97" spans="1:13" x14ac:dyDescent="0.25">
      <c r="A97" s="21" t="s">
        <v>345</v>
      </c>
      <c r="B97" s="232"/>
      <c r="C97" s="144"/>
      <c r="D97" s="165"/>
      <c r="E97" s="27"/>
      <c r="F97" s="232"/>
      <c r="G97" s="144"/>
      <c r="H97" s="165"/>
      <c r="I97" s="27"/>
      <c r="J97" s="284"/>
      <c r="K97" s="44"/>
      <c r="L97" s="252"/>
      <c r="M97" s="27"/>
    </row>
    <row r="98" spans="1:13" ht="15.6" x14ac:dyDescent="0.25">
      <c r="A98" s="21" t="s">
        <v>461</v>
      </c>
      <c r="B98" s="232">
        <v>876066.56599999999</v>
      </c>
      <c r="C98" s="232">
        <v>936041.30900000001</v>
      </c>
      <c r="D98" s="165">
        <f t="shared" si="10"/>
        <v>6.8</v>
      </c>
      <c r="E98" s="27">
        <f>IFERROR(100/'Skjema total MA'!C98*C98,0)</f>
        <v>0.24051359360292102</v>
      </c>
      <c r="F98" s="289">
        <v>19041569.561000001</v>
      </c>
      <c r="G98" s="289">
        <v>23784856.305</v>
      </c>
      <c r="H98" s="165">
        <f t="shared" si="11"/>
        <v>24.9</v>
      </c>
      <c r="I98" s="27">
        <f>IFERROR(100/'Skjema total MA'!F98*G98,0)</f>
        <v>5.3560702488988605</v>
      </c>
      <c r="J98" s="284">
        <f t="shared" si="21"/>
        <v>19917636.127</v>
      </c>
      <c r="K98" s="44">
        <f t="shared" si="21"/>
        <v>24720897.614</v>
      </c>
      <c r="L98" s="252">
        <f t="shared" si="13"/>
        <v>24.1</v>
      </c>
      <c r="M98" s="27">
        <f>IFERROR(100/'Skjema total MA'!I98*K98,0)</f>
        <v>2.9667785284528825</v>
      </c>
    </row>
    <row r="99" spans="1:13" x14ac:dyDescent="0.25">
      <c r="A99" s="21" t="s">
        <v>9</v>
      </c>
      <c r="B99" s="289">
        <v>876066.56599999999</v>
      </c>
      <c r="C99" s="290">
        <v>936041.30900000001</v>
      </c>
      <c r="D99" s="165">
        <f t="shared" si="10"/>
        <v>6.8</v>
      </c>
      <c r="E99" s="27">
        <f>IFERROR(100/'Skjema total MA'!C99*C99,0)</f>
        <v>0.24248780062155259</v>
      </c>
      <c r="F99" s="232"/>
      <c r="G99" s="144"/>
      <c r="H99" s="165"/>
      <c r="I99" s="27"/>
      <c r="J99" s="284">
        <f t="shared" si="21"/>
        <v>876066.56599999999</v>
      </c>
      <c r="K99" s="44">
        <f t="shared" si="21"/>
        <v>936041.30900000001</v>
      </c>
      <c r="L99" s="252">
        <f t="shared" si="13"/>
        <v>6.8</v>
      </c>
      <c r="M99" s="27">
        <f>IFERROR(100/'Skjema total MA'!I99*K99,0)</f>
        <v>0.24248780062155259</v>
      </c>
    </row>
    <row r="100" spans="1:13" x14ac:dyDescent="0.25">
      <c r="A100" s="38" t="s">
        <v>495</v>
      </c>
      <c r="B100" s="289"/>
      <c r="C100" s="290"/>
      <c r="D100" s="165"/>
      <c r="E100" s="27"/>
      <c r="F100" s="232">
        <v>19041569.561000001</v>
      </c>
      <c r="G100" s="232">
        <v>23784856.305</v>
      </c>
      <c r="H100" s="165">
        <f t="shared" si="11"/>
        <v>24.9</v>
      </c>
      <c r="I100" s="27">
        <f>IFERROR(100/'Skjema total MA'!F100*G100,0)</f>
        <v>5.3560702488988605</v>
      </c>
      <c r="J100" s="284">
        <f t="shared" si="21"/>
        <v>19041569.561000001</v>
      </c>
      <c r="K100" s="44">
        <f t="shared" si="21"/>
        <v>23784856.305</v>
      </c>
      <c r="L100" s="252">
        <f t="shared" si="13"/>
        <v>24.9</v>
      </c>
      <c r="M100" s="27">
        <f>IFERROR(100/'Skjema total MA'!I100*K100,0)</f>
        <v>5.3181245616646224</v>
      </c>
    </row>
    <row r="101" spans="1:13" ht="15.6" x14ac:dyDescent="0.25">
      <c r="A101" s="293" t="s">
        <v>459</v>
      </c>
      <c r="B101" s="278"/>
      <c r="C101" s="278"/>
      <c r="D101" s="165"/>
      <c r="E101" s="411"/>
      <c r="F101" s="278"/>
      <c r="G101" s="278"/>
      <c r="H101" s="165"/>
      <c r="I101" s="411"/>
      <c r="J101" s="287"/>
      <c r="K101" s="287"/>
      <c r="L101" s="165"/>
      <c r="M101" s="23"/>
    </row>
    <row r="102" spans="1:13" x14ac:dyDescent="0.25">
      <c r="A102" s="293" t="s">
        <v>12</v>
      </c>
      <c r="B102" s="233"/>
      <c r="C102" s="286"/>
      <c r="D102" s="165"/>
      <c r="E102" s="411"/>
      <c r="F102" s="278"/>
      <c r="G102" s="278"/>
      <c r="H102" s="165"/>
      <c r="I102" s="411"/>
      <c r="J102" s="287"/>
      <c r="K102" s="287"/>
      <c r="L102" s="165"/>
      <c r="M102" s="23"/>
    </row>
    <row r="103" spans="1:13" x14ac:dyDescent="0.25">
      <c r="A103" s="293" t="s">
        <v>13</v>
      </c>
      <c r="B103" s="233"/>
      <c r="C103" s="286"/>
      <c r="D103" s="165"/>
      <c r="E103" s="411"/>
      <c r="F103" s="278"/>
      <c r="G103" s="278"/>
      <c r="H103" s="165"/>
      <c r="I103" s="411"/>
      <c r="J103" s="287"/>
      <c r="K103" s="287"/>
      <c r="L103" s="165"/>
      <c r="M103" s="23"/>
    </row>
    <row r="104" spans="1:13" ht="15.6" x14ac:dyDescent="0.25">
      <c r="A104" s="293" t="s">
        <v>460</v>
      </c>
      <c r="B104" s="278"/>
      <c r="C104" s="278"/>
      <c r="D104" s="165"/>
      <c r="E104" s="411"/>
      <c r="F104" s="278">
        <v>19041569.561000001</v>
      </c>
      <c r="G104" s="278">
        <v>23784856.305</v>
      </c>
      <c r="H104" s="165">
        <f t="shared" si="11"/>
        <v>24.9</v>
      </c>
      <c r="I104" s="411">
        <f>IFERROR(100/'Skjema total MA'!F104*G104,0)</f>
        <v>5.3560702488988605</v>
      </c>
      <c r="J104" s="284">
        <f t="shared" ref="J104" si="25">SUM(B104,F104)</f>
        <v>19041569.561000001</v>
      </c>
      <c r="K104" s="284">
        <f t="shared" ref="K104" si="26">SUM(C104,G104)</f>
        <v>23784856.305</v>
      </c>
      <c r="L104" s="252">
        <f t="shared" si="13"/>
        <v>24.9</v>
      </c>
      <c r="M104" s="23">
        <f>IFERROR(100/'Skjema total MA'!I104*K104,0)</f>
        <v>5.3181245616646224</v>
      </c>
    </row>
    <row r="105" spans="1:13" x14ac:dyDescent="0.25">
      <c r="A105" s="293" t="s">
        <v>12</v>
      </c>
      <c r="B105" s="233"/>
      <c r="C105" s="286"/>
      <c r="D105" s="165"/>
      <c r="E105" s="411"/>
      <c r="F105" s="278"/>
      <c r="G105" s="278"/>
      <c r="H105" s="165"/>
      <c r="I105" s="411"/>
      <c r="J105" s="287"/>
      <c r="K105" s="287"/>
      <c r="L105" s="165"/>
      <c r="M105" s="23"/>
    </row>
    <row r="106" spans="1:13" x14ac:dyDescent="0.25">
      <c r="A106" s="293" t="s">
        <v>13</v>
      </c>
      <c r="B106" s="233"/>
      <c r="C106" s="286"/>
      <c r="D106" s="165"/>
      <c r="E106" s="411"/>
      <c r="F106" s="278">
        <v>19041569.561000001</v>
      </c>
      <c r="G106" s="278">
        <v>23784856.305</v>
      </c>
      <c r="H106" s="165">
        <f t="shared" si="11"/>
        <v>24.9</v>
      </c>
      <c r="I106" s="411">
        <f>IFERROR(100/'Skjema total MA'!F106*G106,0)</f>
        <v>5.3560713617898026</v>
      </c>
      <c r="J106" s="284">
        <f t="shared" ref="J106:K106" si="27">SUM(B106,F106)</f>
        <v>19041569.561000001</v>
      </c>
      <c r="K106" s="284">
        <f t="shared" si="27"/>
        <v>23784856.305</v>
      </c>
      <c r="L106" s="252">
        <f t="shared" si="13"/>
        <v>24.9</v>
      </c>
      <c r="M106" s="23">
        <f>IFERROR(100/'Skjema total MA'!I106*K106,0)</f>
        <v>5.3560713617898026</v>
      </c>
    </row>
    <row r="107" spans="1:13" ht="15.6" x14ac:dyDescent="0.25">
      <c r="A107" s="21" t="s">
        <v>462</v>
      </c>
      <c r="B107" s="232"/>
      <c r="C107" s="144"/>
      <c r="D107" s="165"/>
      <c r="E107" s="27"/>
      <c r="F107" s="232"/>
      <c r="G107" s="144"/>
      <c r="H107" s="165"/>
      <c r="I107" s="27"/>
      <c r="J107" s="284"/>
      <c r="K107" s="44"/>
      <c r="L107" s="252"/>
      <c r="M107" s="27"/>
    </row>
    <row r="108" spans="1:13" ht="15.6" x14ac:dyDescent="0.25">
      <c r="A108" s="21" t="s">
        <v>463</v>
      </c>
      <c r="B108" s="232">
        <v>180160</v>
      </c>
      <c r="C108" s="232">
        <v>161541.041</v>
      </c>
      <c r="D108" s="165">
        <f t="shared" si="10"/>
        <v>-10.3</v>
      </c>
      <c r="E108" s="27">
        <f>IFERROR(100/'Skjema total MA'!C108*C108,0)</f>
        <v>4.8022243274901191E-2</v>
      </c>
      <c r="F108" s="232">
        <v>204693</v>
      </c>
      <c r="G108" s="232">
        <v>205474.06099999999</v>
      </c>
      <c r="H108" s="165">
        <f t="shared" si="11"/>
        <v>0.4</v>
      </c>
      <c r="I108" s="27">
        <f>IFERROR(100/'Skjema total MA'!F108*G108,0)</f>
        <v>0.97592606368933799</v>
      </c>
      <c r="J108" s="284">
        <f t="shared" si="21"/>
        <v>384853</v>
      </c>
      <c r="K108" s="44">
        <f t="shared" si="21"/>
        <v>367015.10199999996</v>
      </c>
      <c r="L108" s="252">
        <f t="shared" si="13"/>
        <v>-4.5999999999999996</v>
      </c>
      <c r="M108" s="27">
        <f>IFERROR(100/'Skjema total MA'!I108*K108,0)</f>
        <v>0.10267816269858927</v>
      </c>
    </row>
    <row r="109" spans="1:13" ht="15.75" customHeight="1" x14ac:dyDescent="0.25">
      <c r="A109" s="21" t="s">
        <v>510</v>
      </c>
      <c r="B109" s="232"/>
      <c r="C109" s="232"/>
      <c r="D109" s="165"/>
      <c r="E109" s="27"/>
      <c r="F109" s="232">
        <v>6600817.0449999999</v>
      </c>
      <c r="G109" s="232">
        <v>9537397</v>
      </c>
      <c r="H109" s="165">
        <f t="shared" si="11"/>
        <v>44.5</v>
      </c>
      <c r="I109" s="27">
        <f>IFERROR(100/'Skjema total MA'!F109*G109,0)</f>
        <v>6.1418612345542458</v>
      </c>
      <c r="J109" s="284">
        <f t="shared" si="21"/>
        <v>6600817.0449999999</v>
      </c>
      <c r="K109" s="44">
        <f t="shared" si="21"/>
        <v>9537397</v>
      </c>
      <c r="L109" s="252">
        <f t="shared" si="13"/>
        <v>44.5</v>
      </c>
      <c r="M109" s="27">
        <f>IFERROR(100/'Skjema total MA'!I109*K109,0)</f>
        <v>6.077297621417646</v>
      </c>
    </row>
    <row r="110" spans="1:13" ht="15.6" x14ac:dyDescent="0.25">
      <c r="A110" s="21" t="s">
        <v>464</v>
      </c>
      <c r="B110" s="232"/>
      <c r="C110" s="232"/>
      <c r="D110" s="165"/>
      <c r="E110" s="27"/>
      <c r="F110" s="232"/>
      <c r="G110" s="232"/>
      <c r="H110" s="165"/>
      <c r="I110" s="27"/>
      <c r="J110" s="284"/>
      <c r="K110" s="44"/>
      <c r="L110" s="252"/>
      <c r="M110" s="27"/>
    </row>
    <row r="111" spans="1:13" ht="15.6" x14ac:dyDescent="0.25">
      <c r="A111" s="13" t="s">
        <v>445</v>
      </c>
      <c r="B111" s="305">
        <v>50835.434999999998</v>
      </c>
      <c r="C111" s="158">
        <v>23585.792000000001</v>
      </c>
      <c r="D111" s="170">
        <f t="shared" si="10"/>
        <v>-53.6</v>
      </c>
      <c r="E111" s="11">
        <f>IFERROR(100/'Skjema total MA'!C111*C111,0)</f>
        <v>4.1531983477674936</v>
      </c>
      <c r="F111" s="305">
        <v>811395.21200000006</v>
      </c>
      <c r="G111" s="158">
        <v>5869068.2199999997</v>
      </c>
      <c r="H111" s="170">
        <f t="shared" si="11"/>
        <v>623.29999999999995</v>
      </c>
      <c r="I111" s="11">
        <f>IFERROR(100/'Skjema total MA'!F111*G111,0)</f>
        <v>6.970000221801433</v>
      </c>
      <c r="J111" s="306">
        <f t="shared" si="21"/>
        <v>862230.64700000011</v>
      </c>
      <c r="K111" s="234">
        <f t="shared" si="21"/>
        <v>5892654.0120000001</v>
      </c>
      <c r="L111" s="422">
        <f t="shared" si="13"/>
        <v>583.4</v>
      </c>
      <c r="M111" s="11">
        <f>IFERROR(100/'Skjema total MA'!I111*K111,0)</f>
        <v>6.9511303658831229</v>
      </c>
    </row>
    <row r="112" spans="1:13" x14ac:dyDescent="0.25">
      <c r="A112" s="21" t="s">
        <v>9</v>
      </c>
      <c r="B112" s="232">
        <v>50835.434999999998</v>
      </c>
      <c r="C112" s="144">
        <v>23585.792000000001</v>
      </c>
      <c r="D112" s="165">
        <f t="shared" si="10"/>
        <v>-53.6</v>
      </c>
      <c r="E112" s="27">
        <f>IFERROR(100/'Skjema total MA'!C112*C112,0)</f>
        <v>5.336692655359788</v>
      </c>
      <c r="F112" s="232"/>
      <c r="G112" s="144"/>
      <c r="H112" s="165"/>
      <c r="I112" s="27"/>
      <c r="J112" s="284">
        <f t="shared" ref="J112:K125" si="28">SUM(B112,F112)</f>
        <v>50835.434999999998</v>
      </c>
      <c r="K112" s="44">
        <f t="shared" si="28"/>
        <v>23585.792000000001</v>
      </c>
      <c r="L112" s="252">
        <f t="shared" si="13"/>
        <v>-53.6</v>
      </c>
      <c r="M112" s="27">
        <f>IFERROR(100/'Skjema total MA'!I112*K112,0)</f>
        <v>5.2020967179307886</v>
      </c>
    </row>
    <row r="113" spans="1:14" x14ac:dyDescent="0.25">
      <c r="A113" s="21" t="s">
        <v>495</v>
      </c>
      <c r="B113" s="232"/>
      <c r="C113" s="144"/>
      <c r="D113" s="165"/>
      <c r="E113" s="27"/>
      <c r="F113" s="232">
        <v>811395.21200000006</v>
      </c>
      <c r="G113" s="144">
        <v>5869068.2199999997</v>
      </c>
      <c r="H113" s="165">
        <f t="shared" si="11"/>
        <v>623.29999999999995</v>
      </c>
      <c r="I113" s="27">
        <f>IFERROR(100/'Skjema total MA'!F113*G113,0)</f>
        <v>6.97094686693816</v>
      </c>
      <c r="J113" s="284">
        <f t="shared" si="28"/>
        <v>811395.21200000006</v>
      </c>
      <c r="K113" s="44">
        <f t="shared" si="28"/>
        <v>5869068.2199999997</v>
      </c>
      <c r="L113" s="252">
        <f t="shared" si="13"/>
        <v>623.29999999999995</v>
      </c>
      <c r="M113" s="27">
        <f>IFERROR(100/'Skjema total MA'!I113*K113,0)</f>
        <v>6.9709262200482671</v>
      </c>
    </row>
    <row r="114" spans="1:14" x14ac:dyDescent="0.25">
      <c r="A114" s="21" t="s">
        <v>26</v>
      </c>
      <c r="B114" s="232"/>
      <c r="C114" s="144"/>
      <c r="D114" s="165"/>
      <c r="E114" s="27"/>
      <c r="F114" s="232"/>
      <c r="G114" s="144"/>
      <c r="H114" s="165"/>
      <c r="I114" s="27"/>
      <c r="J114" s="284"/>
      <c r="K114" s="44"/>
      <c r="L114" s="252"/>
      <c r="M114" s="27"/>
    </row>
    <row r="115" spans="1:14" x14ac:dyDescent="0.25">
      <c r="A115" s="293" t="s">
        <v>15</v>
      </c>
      <c r="B115" s="278"/>
      <c r="C115" s="278"/>
      <c r="D115" s="165"/>
      <c r="E115" s="411"/>
      <c r="F115" s="278"/>
      <c r="G115" s="278"/>
      <c r="H115" s="165"/>
      <c r="I115" s="411"/>
      <c r="J115" s="287"/>
      <c r="K115" s="287"/>
      <c r="L115" s="165"/>
      <c r="M115" s="23"/>
    </row>
    <row r="116" spans="1:14" ht="15.6" x14ac:dyDescent="0.25">
      <c r="A116" s="21" t="s">
        <v>465</v>
      </c>
      <c r="B116" s="232"/>
      <c r="C116" s="232"/>
      <c r="D116" s="165"/>
      <c r="E116" s="27"/>
      <c r="F116" s="232"/>
      <c r="G116" s="232"/>
      <c r="H116" s="165"/>
      <c r="I116" s="27"/>
      <c r="J116" s="284"/>
      <c r="K116" s="44"/>
      <c r="L116" s="252"/>
      <c r="M116" s="27"/>
    </row>
    <row r="117" spans="1:14" ht="15.75" customHeight="1" x14ac:dyDescent="0.25">
      <c r="A117" s="21" t="s">
        <v>510</v>
      </c>
      <c r="B117" s="232"/>
      <c r="C117" s="232"/>
      <c r="D117" s="165"/>
      <c r="E117" s="27"/>
      <c r="F117" s="232">
        <v>101498.44</v>
      </c>
      <c r="G117" s="232">
        <v>4827613.0310000004</v>
      </c>
      <c r="H117" s="165">
        <f t="shared" si="11"/>
        <v>999</v>
      </c>
      <c r="I117" s="27">
        <f>IFERROR(100/'Skjema total MA'!F117*G117,0)</f>
        <v>6.9728439728097289</v>
      </c>
      <c r="J117" s="284">
        <f t="shared" si="28"/>
        <v>101498.44</v>
      </c>
      <c r="K117" s="44">
        <f t="shared" si="28"/>
        <v>4827613.0310000004</v>
      </c>
      <c r="L117" s="252">
        <f t="shared" si="13"/>
        <v>999</v>
      </c>
      <c r="M117" s="27">
        <f>IFERROR(100/'Skjema total MA'!I117*K117,0)</f>
        <v>6.9728439728097289</v>
      </c>
    </row>
    <row r="118" spans="1:14" ht="15.6" x14ac:dyDescent="0.25">
      <c r="A118" s="21" t="s">
        <v>464</v>
      </c>
      <c r="B118" s="232"/>
      <c r="C118" s="232"/>
      <c r="D118" s="165"/>
      <c r="E118" s="27"/>
      <c r="F118" s="232"/>
      <c r="G118" s="232"/>
      <c r="H118" s="165"/>
      <c r="I118" s="27"/>
      <c r="J118" s="284"/>
      <c r="K118" s="44"/>
      <c r="L118" s="252"/>
      <c r="M118" s="27"/>
    </row>
    <row r="119" spans="1:14" ht="15.6" x14ac:dyDescent="0.25">
      <c r="A119" s="13" t="s">
        <v>446</v>
      </c>
      <c r="B119" s="305">
        <v>14335.876</v>
      </c>
      <c r="C119" s="158">
        <v>22668.198</v>
      </c>
      <c r="D119" s="170">
        <f t="shared" si="10"/>
        <v>58.1</v>
      </c>
      <c r="E119" s="11">
        <f>IFERROR(100/'Skjema total MA'!C119*C119,0)</f>
        <v>4.331532734680489</v>
      </c>
      <c r="F119" s="305">
        <v>678766.58100000001</v>
      </c>
      <c r="G119" s="158">
        <v>5236246.7010000004</v>
      </c>
      <c r="H119" s="170">
        <f t="shared" si="11"/>
        <v>671.4</v>
      </c>
      <c r="I119" s="11">
        <f>IFERROR(100/'Skjema total MA'!F119*G119,0)</f>
        <v>5.7385467217857071</v>
      </c>
      <c r="J119" s="306">
        <f t="shared" si="28"/>
        <v>693102.45700000005</v>
      </c>
      <c r="K119" s="234">
        <f t="shared" si="28"/>
        <v>5258914.8990000002</v>
      </c>
      <c r="L119" s="422">
        <f t="shared" si="13"/>
        <v>658.8</v>
      </c>
      <c r="M119" s="11">
        <f>IFERROR(100/'Skjema total MA'!I119*K119,0)</f>
        <v>5.7305230725664451</v>
      </c>
    </row>
    <row r="120" spans="1:14" x14ac:dyDescent="0.25">
      <c r="A120" s="21" t="s">
        <v>9</v>
      </c>
      <c r="B120" s="232">
        <v>14335.876</v>
      </c>
      <c r="C120" s="144">
        <v>22668.198</v>
      </c>
      <c r="D120" s="165">
        <f t="shared" si="10"/>
        <v>58.1</v>
      </c>
      <c r="E120" s="27">
        <f>IFERROR(100/'Skjema total MA'!C120*C120,0)</f>
        <v>6.3884117997119905</v>
      </c>
      <c r="F120" s="232"/>
      <c r="G120" s="144"/>
      <c r="H120" s="165"/>
      <c r="I120" s="27"/>
      <c r="J120" s="284">
        <f t="shared" si="28"/>
        <v>14335.876</v>
      </c>
      <c r="K120" s="44">
        <f t="shared" si="28"/>
        <v>22668.198</v>
      </c>
      <c r="L120" s="252">
        <f t="shared" si="13"/>
        <v>58.1</v>
      </c>
      <c r="M120" s="27">
        <f>IFERROR(100/'Skjema total MA'!I120*K120,0)</f>
        <v>6.3884117997119905</v>
      </c>
    </row>
    <row r="121" spans="1:14" x14ac:dyDescent="0.25">
      <c r="A121" s="21" t="s">
        <v>495</v>
      </c>
      <c r="B121" s="232"/>
      <c r="C121" s="144"/>
      <c r="D121" s="165"/>
      <c r="E121" s="27"/>
      <c r="F121" s="232">
        <v>678766.58100000001</v>
      </c>
      <c r="G121" s="144">
        <v>5236246.7010000004</v>
      </c>
      <c r="H121" s="165">
        <f t="shared" si="11"/>
        <v>671.4</v>
      </c>
      <c r="I121" s="27">
        <f>IFERROR(100/'Skjema total MA'!F121*G121,0)</f>
        <v>5.7385467217857071</v>
      </c>
      <c r="J121" s="284">
        <f t="shared" si="28"/>
        <v>678766.58100000001</v>
      </c>
      <c r="K121" s="44">
        <f t="shared" si="28"/>
        <v>5236246.7010000004</v>
      </c>
      <c r="L121" s="252">
        <f t="shared" si="13"/>
        <v>671.4</v>
      </c>
      <c r="M121" s="27">
        <f>IFERROR(100/'Skjema total MA'!I121*K121,0)</f>
        <v>5.7377173570695623</v>
      </c>
    </row>
    <row r="122" spans="1:14" x14ac:dyDescent="0.25">
      <c r="A122" s="21" t="s">
        <v>26</v>
      </c>
      <c r="B122" s="232"/>
      <c r="C122" s="144"/>
      <c r="D122" s="165"/>
      <c r="E122" s="27"/>
      <c r="F122" s="232"/>
      <c r="G122" s="144"/>
      <c r="H122" s="165"/>
      <c r="I122" s="27"/>
      <c r="J122" s="284"/>
      <c r="K122" s="44"/>
      <c r="L122" s="252"/>
      <c r="M122" s="27"/>
    </row>
    <row r="123" spans="1:14" x14ac:dyDescent="0.25">
      <c r="A123" s="293" t="s">
        <v>14</v>
      </c>
      <c r="B123" s="278"/>
      <c r="C123" s="278"/>
      <c r="D123" s="165"/>
      <c r="E123" s="411"/>
      <c r="F123" s="278"/>
      <c r="G123" s="278"/>
      <c r="H123" s="165"/>
      <c r="I123" s="411"/>
      <c r="J123" s="287"/>
      <c r="K123" s="287"/>
      <c r="L123" s="165"/>
      <c r="M123" s="23"/>
    </row>
    <row r="124" spans="1:14" ht="15.6" x14ac:dyDescent="0.25">
      <c r="A124" s="21" t="s">
        <v>470</v>
      </c>
      <c r="B124" s="232"/>
      <c r="C124" s="232"/>
      <c r="D124" s="165"/>
      <c r="E124" s="27"/>
      <c r="F124" s="232">
        <v>4015.2130000000002</v>
      </c>
      <c r="G124" s="232">
        <v>1317.1089999999999</v>
      </c>
      <c r="H124" s="165">
        <f t="shared" si="11"/>
        <v>-67.2</v>
      </c>
      <c r="I124" s="27">
        <f>IFERROR(100/'Skjema total MA'!F124*G124,0)</f>
        <v>2.8812165086299624</v>
      </c>
      <c r="J124" s="284">
        <f t="shared" si="28"/>
        <v>4015.2130000000002</v>
      </c>
      <c r="K124" s="44">
        <f t="shared" si="28"/>
        <v>1317.1089999999999</v>
      </c>
      <c r="L124" s="252">
        <f t="shared" si="13"/>
        <v>-67.2</v>
      </c>
      <c r="M124" s="27">
        <f>IFERROR(100/'Skjema total MA'!I124*K124,0)</f>
        <v>1.5678083239280554</v>
      </c>
    </row>
    <row r="125" spans="1:14" ht="15.75" customHeight="1" x14ac:dyDescent="0.25">
      <c r="A125" s="21" t="s">
        <v>510</v>
      </c>
      <c r="B125" s="232"/>
      <c r="C125" s="232"/>
      <c r="D125" s="165"/>
      <c r="E125" s="27"/>
      <c r="F125" s="232">
        <v>218222.45300000001</v>
      </c>
      <c r="G125" s="232">
        <v>4380568.7070000004</v>
      </c>
      <c r="H125" s="165">
        <f t="shared" si="11"/>
        <v>999</v>
      </c>
      <c r="I125" s="27">
        <f>IFERROR(100/'Skjema total MA'!F125*G125,0)</f>
        <v>6.0717056400736436</v>
      </c>
      <c r="J125" s="284">
        <f t="shared" si="28"/>
        <v>218222.45300000001</v>
      </c>
      <c r="K125" s="44">
        <f t="shared" si="28"/>
        <v>4380568.7070000004</v>
      </c>
      <c r="L125" s="252">
        <f t="shared" si="13"/>
        <v>999</v>
      </c>
      <c r="M125" s="27">
        <f>IFERROR(100/'Skjema total MA'!I125*K125,0)</f>
        <v>6.0715012215352928</v>
      </c>
    </row>
    <row r="126" spans="1:14" ht="15.6" x14ac:dyDescent="0.25">
      <c r="A126" s="10" t="s">
        <v>464</v>
      </c>
      <c r="B126" s="45"/>
      <c r="C126" s="45"/>
      <c r="D126" s="166"/>
      <c r="E126" s="412"/>
      <c r="F126" s="45"/>
      <c r="G126" s="45"/>
      <c r="H126" s="166"/>
      <c r="I126" s="22"/>
      <c r="J126" s="285"/>
      <c r="K126" s="45"/>
      <c r="L126" s="253"/>
      <c r="M126" s="22"/>
    </row>
    <row r="127" spans="1:14" x14ac:dyDescent="0.25">
      <c r="A127" s="154"/>
      <c r="L127" s="26"/>
      <c r="M127" s="26"/>
      <c r="N127" s="26"/>
    </row>
    <row r="128" spans="1:14" x14ac:dyDescent="0.25">
      <c r="L128" s="26"/>
      <c r="M128" s="26"/>
      <c r="N128" s="26"/>
    </row>
    <row r="129" spans="1:14" ht="15.6" x14ac:dyDescent="0.3">
      <c r="A129" s="164" t="s">
        <v>27</v>
      </c>
    </row>
    <row r="130" spans="1:14" ht="15.6" x14ac:dyDescent="0.3">
      <c r="B130" s="958"/>
      <c r="C130" s="958"/>
      <c r="D130" s="958"/>
      <c r="E130" s="400"/>
      <c r="F130" s="958"/>
      <c r="G130" s="958"/>
      <c r="H130" s="958"/>
      <c r="I130" s="400"/>
      <c r="J130" s="958"/>
      <c r="K130" s="958"/>
      <c r="L130" s="958"/>
      <c r="M130" s="400"/>
    </row>
    <row r="131" spans="1:14" s="3" customFormat="1" x14ac:dyDescent="0.25">
      <c r="A131" s="143"/>
      <c r="B131" s="959" t="s">
        <v>0</v>
      </c>
      <c r="C131" s="960"/>
      <c r="D131" s="960"/>
      <c r="E131" s="399"/>
      <c r="F131" s="959" t="s">
        <v>1</v>
      </c>
      <c r="G131" s="960"/>
      <c r="H131" s="960"/>
      <c r="I131" s="402"/>
      <c r="J131" s="959" t="s">
        <v>2</v>
      </c>
      <c r="K131" s="960"/>
      <c r="L131" s="960"/>
      <c r="M131" s="402"/>
      <c r="N131" s="147"/>
    </row>
    <row r="132" spans="1:14" s="3" customFormat="1" x14ac:dyDescent="0.25">
      <c r="A132" s="139"/>
      <c r="B132" s="151" t="s">
        <v>508</v>
      </c>
      <c r="C132" s="151" t="s">
        <v>509</v>
      </c>
      <c r="D132" s="243" t="s">
        <v>3</v>
      </c>
      <c r="E132" s="302" t="s">
        <v>29</v>
      </c>
      <c r="F132" s="151" t="s">
        <v>508</v>
      </c>
      <c r="G132" s="151" t="s">
        <v>509</v>
      </c>
      <c r="H132" s="204" t="s">
        <v>3</v>
      </c>
      <c r="I132" s="161" t="s">
        <v>29</v>
      </c>
      <c r="J132" s="151" t="s">
        <v>508</v>
      </c>
      <c r="K132" s="151" t="s">
        <v>509</v>
      </c>
      <c r="L132" s="244" t="s">
        <v>3</v>
      </c>
      <c r="M132" s="161" t="s">
        <v>29</v>
      </c>
      <c r="N132" s="147"/>
    </row>
    <row r="133" spans="1:14" s="3" customFormat="1" x14ac:dyDescent="0.25">
      <c r="A133" s="927"/>
      <c r="B133" s="155"/>
      <c r="C133" s="155"/>
      <c r="D133" s="244" t="s">
        <v>4</v>
      </c>
      <c r="E133" s="155" t="s">
        <v>30</v>
      </c>
      <c r="F133" s="160"/>
      <c r="G133" s="160"/>
      <c r="H133" s="204" t="s">
        <v>4</v>
      </c>
      <c r="I133" s="155" t="s">
        <v>30</v>
      </c>
      <c r="J133" s="155"/>
      <c r="K133" s="155"/>
      <c r="L133" s="149" t="s">
        <v>4</v>
      </c>
      <c r="M133" s="155" t="s">
        <v>30</v>
      </c>
      <c r="N133" s="147"/>
    </row>
    <row r="134" spans="1:14" s="3" customFormat="1" ht="15.6" x14ac:dyDescent="0.25">
      <c r="A134" s="14" t="s">
        <v>466</v>
      </c>
      <c r="B134" s="234"/>
      <c r="C134" s="306"/>
      <c r="D134" s="345"/>
      <c r="E134" s="11"/>
      <c r="F134" s="313"/>
      <c r="G134" s="314"/>
      <c r="H134" s="425"/>
      <c r="I134" s="24"/>
      <c r="J134" s="315"/>
      <c r="K134" s="315"/>
      <c r="L134" s="421"/>
      <c r="M134" s="11"/>
      <c r="N134" s="147"/>
    </row>
    <row r="135" spans="1:14" s="3" customFormat="1" ht="15.6" x14ac:dyDescent="0.25">
      <c r="A135" s="13" t="s">
        <v>471</v>
      </c>
      <c r="B135" s="234"/>
      <c r="C135" s="306"/>
      <c r="D135" s="170"/>
      <c r="E135" s="11"/>
      <c r="F135" s="234"/>
      <c r="G135" s="306"/>
      <c r="H135" s="426"/>
      <c r="I135" s="24"/>
      <c r="J135" s="305"/>
      <c r="K135" s="305"/>
      <c r="L135" s="422"/>
      <c r="M135" s="11"/>
      <c r="N135" s="147"/>
    </row>
    <row r="136" spans="1:14" s="3" customFormat="1" ht="15.6" x14ac:dyDescent="0.25">
      <c r="A136" s="13" t="s">
        <v>468</v>
      </c>
      <c r="B136" s="234"/>
      <c r="C136" s="306"/>
      <c r="D136" s="170"/>
      <c r="E136" s="11"/>
      <c r="F136" s="234"/>
      <c r="G136" s="306"/>
      <c r="H136" s="426"/>
      <c r="I136" s="24"/>
      <c r="J136" s="305"/>
      <c r="K136" s="305"/>
      <c r="L136" s="422"/>
      <c r="M136" s="11"/>
      <c r="N136" s="147"/>
    </row>
    <row r="137" spans="1:14" s="3" customFormat="1" ht="15.6" x14ac:dyDescent="0.25">
      <c r="A137" s="41" t="s">
        <v>469</v>
      </c>
      <c r="B137" s="273"/>
      <c r="C137" s="312"/>
      <c r="D137" s="168"/>
      <c r="E137" s="9"/>
      <c r="F137" s="273"/>
      <c r="G137" s="312"/>
      <c r="H137" s="427"/>
      <c r="I137" s="36"/>
      <c r="J137" s="311"/>
      <c r="K137" s="311"/>
      <c r="L137" s="423"/>
      <c r="M137" s="36"/>
      <c r="N137" s="147"/>
    </row>
    <row r="138" spans="1:14" s="3" customFormat="1" x14ac:dyDescent="0.25">
      <c r="A138" s="167"/>
      <c r="B138" s="33"/>
      <c r="C138" s="33"/>
      <c r="D138" s="158"/>
      <c r="E138" s="158"/>
      <c r="F138" s="33"/>
      <c r="G138" s="33"/>
      <c r="H138" s="158"/>
      <c r="I138" s="158"/>
      <c r="J138" s="33"/>
      <c r="K138" s="33"/>
      <c r="L138" s="158"/>
      <c r="M138" s="158"/>
      <c r="N138" s="147"/>
    </row>
    <row r="139" spans="1:14" x14ac:dyDescent="0.25">
      <c r="A139" s="167"/>
      <c r="B139" s="33"/>
      <c r="C139" s="33"/>
      <c r="D139" s="158"/>
      <c r="E139" s="158"/>
      <c r="F139" s="33"/>
      <c r="G139" s="33"/>
      <c r="H139" s="158"/>
      <c r="I139" s="158"/>
      <c r="J139" s="33"/>
      <c r="K139" s="33"/>
      <c r="L139" s="158"/>
      <c r="M139" s="158"/>
      <c r="N139" s="147"/>
    </row>
    <row r="140" spans="1:14" x14ac:dyDescent="0.25">
      <c r="A140" s="167"/>
      <c r="B140" s="33"/>
      <c r="C140" s="33"/>
      <c r="D140" s="158"/>
      <c r="E140" s="158"/>
      <c r="F140" s="33"/>
      <c r="G140" s="33"/>
      <c r="H140" s="158"/>
      <c r="I140" s="158"/>
      <c r="J140" s="33"/>
      <c r="K140" s="33"/>
      <c r="L140" s="158"/>
      <c r="M140" s="158"/>
      <c r="N140" s="147"/>
    </row>
    <row r="141" spans="1:14" x14ac:dyDescent="0.25">
      <c r="A141" s="145"/>
      <c r="B141" s="145"/>
      <c r="C141" s="145"/>
      <c r="D141" s="145"/>
      <c r="E141" s="145"/>
      <c r="F141" s="145"/>
      <c r="G141" s="145"/>
      <c r="H141" s="145"/>
      <c r="I141" s="145"/>
      <c r="J141" s="145"/>
      <c r="K141" s="145"/>
      <c r="L141" s="145"/>
      <c r="M141" s="145"/>
      <c r="N141" s="145"/>
    </row>
    <row r="142" spans="1:14" ht="15.6" x14ac:dyDescent="0.3">
      <c r="B142" s="141"/>
      <c r="C142" s="141"/>
      <c r="D142" s="141"/>
      <c r="E142" s="141"/>
      <c r="F142" s="141"/>
      <c r="G142" s="141"/>
      <c r="H142" s="141"/>
      <c r="I142" s="141"/>
      <c r="J142" s="141"/>
      <c r="K142" s="141"/>
      <c r="L142" s="141"/>
      <c r="M142" s="141"/>
      <c r="N142" s="141"/>
    </row>
    <row r="143" spans="1:14" ht="15.6" x14ac:dyDescent="0.3">
      <c r="B143" s="156"/>
      <c r="C143" s="156"/>
      <c r="D143" s="156"/>
      <c r="E143" s="156"/>
      <c r="F143" s="156"/>
      <c r="G143" s="156"/>
      <c r="H143" s="156"/>
      <c r="I143" s="156"/>
      <c r="J143" s="156"/>
      <c r="K143" s="156"/>
      <c r="L143" s="156"/>
      <c r="M143" s="156"/>
      <c r="N143" s="156"/>
    </row>
    <row r="144" spans="1:14" ht="15.6" x14ac:dyDescent="0.3">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2427" priority="82">
      <formula>kvartal &lt; 4</formula>
    </cfRule>
  </conditionalFormatting>
  <conditionalFormatting sqref="B69">
    <cfRule type="expression" dxfId="2426" priority="61">
      <formula>kvartal &lt; 4</formula>
    </cfRule>
  </conditionalFormatting>
  <conditionalFormatting sqref="C69">
    <cfRule type="expression" dxfId="2425" priority="60">
      <formula>kvartal &lt; 4</formula>
    </cfRule>
  </conditionalFormatting>
  <conditionalFormatting sqref="B72">
    <cfRule type="expression" dxfId="2424" priority="59">
      <formula>kvartal &lt; 4</formula>
    </cfRule>
  </conditionalFormatting>
  <conditionalFormatting sqref="C72">
    <cfRule type="expression" dxfId="2423" priority="58">
      <formula>kvartal &lt; 4</formula>
    </cfRule>
  </conditionalFormatting>
  <conditionalFormatting sqref="B80">
    <cfRule type="expression" dxfId="2422" priority="57">
      <formula>kvartal &lt; 4</formula>
    </cfRule>
  </conditionalFormatting>
  <conditionalFormatting sqref="C80">
    <cfRule type="expression" dxfId="2421" priority="56">
      <formula>kvartal &lt; 4</formula>
    </cfRule>
  </conditionalFormatting>
  <conditionalFormatting sqref="B83">
    <cfRule type="expression" dxfId="2420" priority="55">
      <formula>kvartal &lt; 4</formula>
    </cfRule>
  </conditionalFormatting>
  <conditionalFormatting sqref="C83">
    <cfRule type="expression" dxfId="2419" priority="54">
      <formula>kvartal &lt; 4</formula>
    </cfRule>
  </conditionalFormatting>
  <conditionalFormatting sqref="B90">
    <cfRule type="expression" dxfId="2418" priority="53">
      <formula>kvartal &lt; 4</formula>
    </cfRule>
  </conditionalFormatting>
  <conditionalFormatting sqref="C90">
    <cfRule type="expression" dxfId="2417" priority="52">
      <formula>kvartal &lt; 4</formula>
    </cfRule>
  </conditionalFormatting>
  <conditionalFormatting sqref="B93">
    <cfRule type="expression" dxfId="2416" priority="51">
      <formula>kvartal &lt; 4</formula>
    </cfRule>
  </conditionalFormatting>
  <conditionalFormatting sqref="C93">
    <cfRule type="expression" dxfId="2415" priority="50">
      <formula>kvartal &lt; 4</formula>
    </cfRule>
  </conditionalFormatting>
  <conditionalFormatting sqref="B101">
    <cfRule type="expression" dxfId="2414" priority="49">
      <formula>kvartal &lt; 4</formula>
    </cfRule>
  </conditionalFormatting>
  <conditionalFormatting sqref="C101">
    <cfRule type="expression" dxfId="2413" priority="48">
      <formula>kvartal &lt; 4</formula>
    </cfRule>
  </conditionalFormatting>
  <conditionalFormatting sqref="B104">
    <cfRule type="expression" dxfId="2412" priority="47">
      <formula>kvartal &lt; 4</formula>
    </cfRule>
  </conditionalFormatting>
  <conditionalFormatting sqref="C104">
    <cfRule type="expression" dxfId="2411" priority="46">
      <formula>kvartal &lt; 4</formula>
    </cfRule>
  </conditionalFormatting>
  <conditionalFormatting sqref="B115">
    <cfRule type="expression" dxfId="2410" priority="45">
      <formula>kvartal &lt; 4</formula>
    </cfRule>
  </conditionalFormatting>
  <conditionalFormatting sqref="C115">
    <cfRule type="expression" dxfId="2409" priority="44">
      <formula>kvartal &lt; 4</formula>
    </cfRule>
  </conditionalFormatting>
  <conditionalFormatting sqref="B123">
    <cfRule type="expression" dxfId="2408" priority="43">
      <formula>kvartal &lt; 4</formula>
    </cfRule>
  </conditionalFormatting>
  <conditionalFormatting sqref="C123">
    <cfRule type="expression" dxfId="2407" priority="42">
      <formula>kvartal &lt; 4</formula>
    </cfRule>
  </conditionalFormatting>
  <conditionalFormatting sqref="F70">
    <cfRule type="expression" dxfId="2406" priority="41">
      <formula>kvartal &lt; 4</formula>
    </cfRule>
  </conditionalFormatting>
  <conditionalFormatting sqref="G70">
    <cfRule type="expression" dxfId="2405" priority="40">
      <formula>kvartal &lt; 4</formula>
    </cfRule>
  </conditionalFormatting>
  <conditionalFormatting sqref="F71:G71">
    <cfRule type="expression" dxfId="2404" priority="39">
      <formula>kvartal &lt; 4</formula>
    </cfRule>
  </conditionalFormatting>
  <conditionalFormatting sqref="F73:G74">
    <cfRule type="expression" dxfId="2403" priority="38">
      <formula>kvartal &lt; 4</formula>
    </cfRule>
  </conditionalFormatting>
  <conditionalFormatting sqref="F81:G82">
    <cfRule type="expression" dxfId="2402" priority="37">
      <formula>kvartal &lt; 4</formula>
    </cfRule>
  </conditionalFormatting>
  <conditionalFormatting sqref="F84:G85">
    <cfRule type="expression" dxfId="2401" priority="36">
      <formula>kvartal &lt; 4</formula>
    </cfRule>
  </conditionalFormatting>
  <conditionalFormatting sqref="F91:G92">
    <cfRule type="expression" dxfId="2400" priority="35">
      <formula>kvartal &lt; 4</formula>
    </cfRule>
  </conditionalFormatting>
  <conditionalFormatting sqref="F94:G95">
    <cfRule type="expression" dxfId="2399" priority="34">
      <formula>kvartal &lt; 4</formula>
    </cfRule>
  </conditionalFormatting>
  <conditionalFormatting sqref="F102:G103">
    <cfRule type="expression" dxfId="2398" priority="33">
      <formula>kvartal &lt; 4</formula>
    </cfRule>
  </conditionalFormatting>
  <conditionalFormatting sqref="F105:G106">
    <cfRule type="expression" dxfId="2397" priority="32">
      <formula>kvartal &lt; 4</formula>
    </cfRule>
  </conditionalFormatting>
  <conditionalFormatting sqref="F115">
    <cfRule type="expression" dxfId="2396" priority="31">
      <formula>kvartal &lt; 4</formula>
    </cfRule>
  </conditionalFormatting>
  <conditionalFormatting sqref="G115">
    <cfRule type="expression" dxfId="2395" priority="30">
      <formula>kvartal &lt; 4</formula>
    </cfRule>
  </conditionalFormatting>
  <conditionalFormatting sqref="F123:G123">
    <cfRule type="expression" dxfId="2394" priority="29">
      <formula>kvartal &lt; 4</formula>
    </cfRule>
  </conditionalFormatting>
  <conditionalFormatting sqref="F69:G69">
    <cfRule type="expression" dxfId="2393" priority="28">
      <formula>kvartal &lt; 4</formula>
    </cfRule>
  </conditionalFormatting>
  <conditionalFormatting sqref="F72:G72">
    <cfRule type="expression" dxfId="2392" priority="27">
      <formula>kvartal &lt; 4</formula>
    </cfRule>
  </conditionalFormatting>
  <conditionalFormatting sqref="F80:G80">
    <cfRule type="expression" dxfId="2391" priority="26">
      <formula>kvartal &lt; 4</formula>
    </cfRule>
  </conditionalFormatting>
  <conditionalFormatting sqref="F83:G83">
    <cfRule type="expression" dxfId="2390" priority="25">
      <formula>kvartal &lt; 4</formula>
    </cfRule>
  </conditionalFormatting>
  <conditionalFormatting sqref="F90:G90">
    <cfRule type="expression" dxfId="2389" priority="24">
      <formula>kvartal &lt; 4</formula>
    </cfRule>
  </conditionalFormatting>
  <conditionalFormatting sqref="F93">
    <cfRule type="expression" dxfId="2388" priority="23">
      <formula>kvartal &lt; 4</formula>
    </cfRule>
  </conditionalFormatting>
  <conditionalFormatting sqref="G93">
    <cfRule type="expression" dxfId="2387" priority="22">
      <formula>kvartal &lt; 4</formula>
    </cfRule>
  </conditionalFormatting>
  <conditionalFormatting sqref="F101">
    <cfRule type="expression" dxfId="2386" priority="21">
      <formula>kvartal &lt; 4</formula>
    </cfRule>
  </conditionalFormatting>
  <conditionalFormatting sqref="G101">
    <cfRule type="expression" dxfId="2385" priority="20">
      <formula>kvartal &lt; 4</formula>
    </cfRule>
  </conditionalFormatting>
  <conditionalFormatting sqref="G104">
    <cfRule type="expression" dxfId="2384" priority="19">
      <formula>kvartal &lt; 4</formula>
    </cfRule>
  </conditionalFormatting>
  <conditionalFormatting sqref="F104">
    <cfRule type="expression" dxfId="2383" priority="18">
      <formula>kvartal &lt; 4</formula>
    </cfRule>
  </conditionalFormatting>
  <conditionalFormatting sqref="J69:K71 J73:K73">
    <cfRule type="expression" dxfId="2382" priority="17">
      <formula>kvartal &lt; 4</formula>
    </cfRule>
  </conditionalFormatting>
  <conditionalFormatting sqref="J80:K82 J84:K84">
    <cfRule type="expression" dxfId="2381" priority="15">
      <formula>kvartal &lt; 4</formula>
    </cfRule>
  </conditionalFormatting>
  <conditionalFormatting sqref="J90:K92 J94:K94">
    <cfRule type="expression" dxfId="2380" priority="14">
      <formula>kvartal &lt; 4</formula>
    </cfRule>
  </conditionalFormatting>
  <conditionalFormatting sqref="J101:K103 J105:K105">
    <cfRule type="expression" dxfId="2379" priority="13">
      <formula>kvartal &lt; 4</formula>
    </cfRule>
  </conditionalFormatting>
  <conditionalFormatting sqref="J115:K115">
    <cfRule type="expression" dxfId="2378" priority="12">
      <formula>kvartal &lt; 4</formula>
    </cfRule>
  </conditionalFormatting>
  <conditionalFormatting sqref="J123:K123">
    <cfRule type="expression" dxfId="2377" priority="11">
      <formula>kvartal &lt; 4</formula>
    </cfRule>
  </conditionalFormatting>
  <conditionalFormatting sqref="A50:A52">
    <cfRule type="expression" dxfId="2376" priority="8">
      <formula>kvartal &lt; 4</formula>
    </cfRule>
  </conditionalFormatting>
  <conditionalFormatting sqref="A69:A74">
    <cfRule type="expression" dxfId="2375" priority="7">
      <formula>kvartal &lt; 4</formula>
    </cfRule>
  </conditionalFormatting>
  <conditionalFormatting sqref="A80:A85">
    <cfRule type="expression" dxfId="2374" priority="6">
      <formula>kvartal &lt; 4</formula>
    </cfRule>
  </conditionalFormatting>
  <conditionalFormatting sqref="A90:A95">
    <cfRule type="expression" dxfId="2373" priority="5">
      <formula>kvartal &lt; 4</formula>
    </cfRule>
  </conditionalFormatting>
  <conditionalFormatting sqref="A101:A106">
    <cfRule type="expression" dxfId="2372" priority="4">
      <formula>kvartal &lt; 4</formula>
    </cfRule>
  </conditionalFormatting>
  <conditionalFormatting sqref="A115">
    <cfRule type="expression" dxfId="2371" priority="3">
      <formula>kvartal &lt; 4</formula>
    </cfRule>
  </conditionalFormatting>
  <conditionalFormatting sqref="A123">
    <cfRule type="expression" dxfId="2370"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U E A A B Q S w M E F A A C A A g A f D 5 + V K J 5 c d O l A A A A 9 Q A A A B I A H A B D b 2 5 m a W c v U G F j a 2 F n Z S 5 4 b W w g o h g A K K A U A A A A A A A A A A A A A A A A A A A A A A A A A A A A h Y + x D o I w G I R f h X S n L d U Y J D 9 l c B U 1 M T G u t V R o h G J o E d 7 N w U f y F c Q o 6 u Z 4 3 9 0 l d / f r D Z K + K r 2 L a q y u T Y w C T J G n j K w z b f I Y t e 7 o h y j h s B H y J H L l D W F j o 9 7 q G B X O n S N C u q 7 D 3 Q T X T U 4 Y p Q H Z p 8 u t L F Q l f G 2 s E 0 Y q 9 G l l / 1 u I w + 4 1 h j M 8 n + F w y j A F M j J I t f n 6 b J j 7 d H 8 g L N r S t Y 3 i 5 u C v 1 k B G C e R 9 g T 8 A U E s D B B Q A A g A I A H w + f 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8 P n 5 U 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B 8 P n 5 U o n l x 0 6 U A A A D 1 A A A A E g A A A A A A A A A A A A A A A A A A A A A A Q 2 9 u Z m l n L 1 B h Y 2 t h Z 2 U u e G 1 s U E s B A i 0 A F A A C A A g A f D 5 + V A / K 6 a u k A A A A 6 Q A A A B M A A A A A A A A A A A A A A A A A 8 Q A A A F t D b 2 5 0 Z W 5 0 X 1 R 5 c G V z X S 5 4 b W x Q S w E C L Q A U A A I A C A B 8 P n 5 U B v r 5 6 f 4 A A A B i A Q A A E w A A A A A A A A A A A A A A A A D i A Q A A R m 9 y b X V s Y X M v U 2 V j d G l v b j E u b V B L B Q Y A A A A A A w A D A M I A A A A t 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D C w A A A A A A A K E 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x h c 3 R V c G R h d G V k I i B W Y W x 1 Z T 0 i Z D I w M j I t M D M t M j l U M T A 6 M T Q 6 M T g u N z Y 4 M j M y M l o i I C 8 + P E V u d H J 5 I F R 5 c G U 9 I k Z p b G x D b 2 x 1 b W 5 U e X B l c y I g V m F s d W U 9 I n N C Z 0 l D Q W d J Q 0 F n V T 0 i I C 8 + P E V u d H J 5 I F R 5 c G U 9 I k Z p b G x F c n J v c k N v d W 5 0 I i B W Y W x 1 Z T 0 i b D A i I C 8 + P E V u d H J 5 I F R 5 c G U 9 I k Z p b G x F c n J v c k N v Z G U i I F Z h b H V l P S J z V W 5 r b m 9 3 b i I g L z 4 8 R W 5 0 c n k g V H l w Z T 0 i R m l s b E N v b H V t b k 5 h b W V z I i B W Y W x 1 Z T 0 i c 1 s m c X V v d D t z w 7 h r Z W 7 D u G t r Z W w m c X V v d D s s J n F 1 b 3 Q 7 c 2 V s c 2 t h c F 9 p Z C Z x d W 9 0 O y w m c X V v d D v D p X I m c X V v d D s s J n F 1 b 3 Q 7 a 3 Z h c n R h b C Z x d W 9 0 O y w m c X V v d D t 0 Y W J l b G x f a W Q m c X V v d D s s J n F 1 b 3 Q 7 c m F k X 2 l k J n F 1 b 3 Q 7 L C Z x d W 9 0 O 2 t h d G V n b 3 J p X 2 l k J n F 1 b 3 Q 7 L C Z x d W 9 0 O 3 Z l c m R p J n F 1 b 3 Q 7 X S I g L z 4 8 R W 5 0 c n k g V H l w Z T 0 i R m l s b E N v d W 5 0 I i B W Y W x 1 Z T 0 i b D g 5 O D I i I C 8 + P E V u d H J 5 I F R 5 c G U 9 I k Z p b G x T d G F 0 d X M i I F Z h b H V l P S J z Q 2 9 t c G x l d G U 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C c p C y e C J T E q L N c p 4 M w / z h A A A A A A C A A A A A A A D Z g A A w A A A A B A A A A D B W 8 C 5 8 F q H t F G D q k 0 X L i e g A A A A A A S A A A C g A A A A E A A A A E Z 5 9 T 4 Q B p 2 M 9 y M 9 3 T F M z a d Q A A A A L + Z f a V L + L s S 9 f 3 w Z p u D D O U v 0 X i u H Q C d A 4 u f g E w B E 6 F H c a j u Q y S D y R F H X z r x Z s e 1 z 2 W p n K B x i i r n 9 2 c t v M J l 0 G F 9 T D S 4 G B o v h 2 v d F Q i 7 L a K Y U A A A A X s 0 7 t A 9 w U r W A u R 4 C c U z / y a 5 x U d s = < / 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2020-123998358-362</_dlc_DocId>
    <_dlc_DocIdUrl xmlns="6edf9311-6556-4af2-85ff-d57844cfe120">
      <Url>https://finansnorge.sharepoint.com/sites/intranett/arkiv/_layouts/15/DocIdRedir.aspx?ID=2020-123998358-362</Url>
      <Description>2020-123998358-362</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9BABD11E-A619-405D-AC6E-34609F669866}"/>
</file>

<file path=customXml/itemProps3.xml><?xml version="1.0" encoding="utf-8"?>
<ds:datastoreItem xmlns:ds="http://schemas.openxmlformats.org/officeDocument/2006/customXml" ds:itemID="{6C954AEC-2870-4E7D-B628-0FFD721FD91A}"/>
</file>

<file path=customXml/itemProps4.xml><?xml version="1.0" encoding="utf-8"?>
<ds:datastoreItem xmlns:ds="http://schemas.openxmlformats.org/officeDocument/2006/customXml" ds:itemID="{6B5C2DC4-BBB0-4C18-8D73-D0BB7EFC2666}"/>
</file>

<file path=customXml/itemProps5.xml><?xml version="1.0" encoding="utf-8"?>
<ds:datastoreItem xmlns:ds="http://schemas.openxmlformats.org/officeDocument/2006/customXml" ds:itemID="{AF3B8C40-AA9C-48FA-BFFA-1E6BF164DF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42</vt:i4>
      </vt:variant>
      <vt:variant>
        <vt:lpstr>Navngitte områder</vt:lpstr>
      </vt:variant>
      <vt:variant>
        <vt:i4>14</vt:i4>
      </vt:variant>
    </vt:vector>
  </HeadingPairs>
  <TitlesOfParts>
    <vt:vector size="56" baseType="lpstr">
      <vt:lpstr>Forside</vt:lpstr>
      <vt:lpstr>Innhold</vt:lpstr>
      <vt:lpstr>Figurer</vt:lpstr>
      <vt:lpstr>Tabel 1.1</vt:lpstr>
      <vt:lpstr>Tabell 1.2</vt:lpstr>
      <vt:lpstr>Tabell 1.3</vt:lpstr>
      <vt:lpstr>Skjema total MA</vt:lpstr>
      <vt:lpstr>Codan Forsikring</vt:lpstr>
      <vt:lpstr>Danica Pensjonsforsikring</vt:lpstr>
      <vt:lpstr>DNB Bedriftspensjon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WaterCircles F</vt:lpstr>
      <vt:lpstr>Tabell 4</vt:lpstr>
      <vt:lpstr>Tabell 5.1</vt:lpstr>
      <vt:lpstr>Tabell 5.2</vt:lpstr>
      <vt:lpstr>Tabell 5.3</vt:lpstr>
      <vt:lpstr>Tabell 6</vt:lpstr>
      <vt:lpstr>Tabell 7a</vt:lpstr>
      <vt:lpstr>Tabell 7b</vt:lpstr>
      <vt:lpstr>Tabell 8</vt:lpstr>
      <vt:lpstr>Noter og kommentarer</vt:lpstr>
      <vt:lpstr>'Fremtind Livsforsikring'!Utskriftsområde</vt:lpstr>
      <vt:lpstr>Insr!Utskriftsområde</vt:lpstr>
      <vt:lpstr>'Noter og kommentarer'!Utskriftsområde</vt:lpstr>
      <vt:lpstr>'Skjema total MA'!Utskriftsområde</vt:lpstr>
      <vt:lpstr>'Tabell 5.1'!Utskriftsområde</vt:lpstr>
      <vt:lpstr>'Tabell 5.2'!Utskriftsområde</vt:lpstr>
      <vt:lpstr>'Tabell 7a'!Utskriftsområde</vt:lpstr>
      <vt:lpstr>'Tabell 7b'!Utskriftsområde</vt:lpstr>
      <vt:lpstr>'Tabell 8'!Utskriftsområde</vt:lpstr>
      <vt:lpstr>'Tabell 5.1'!Utskriftstitler</vt:lpstr>
      <vt:lpstr>'Tabell 5.2'!Utskriftstitler</vt:lpstr>
      <vt:lpstr>'Tabell 7a'!Utskriftstitler</vt:lpstr>
      <vt:lpstr>'Tabell 7b'!Utskriftstitler</vt:lpstr>
      <vt:lpstr>'Tabell 8'!Utskriftstitler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2022-03-30T05:23:40Z</cp:lastPrinted>
  <dcterms:created xsi:type="dcterms:W3CDTF">2010-12-15T10:21:26Z</dcterms:created>
  <dcterms:modified xsi:type="dcterms:W3CDTF">2022-05-25T07:40:05Z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9c35ba19-f2ca-45c1-9f69-d71696fe09ff</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