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nnections.xml" ContentType="application/vnd.openxmlformats-officedocument.spreadsheetml.connection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O:\Statistikk og analyse\Livstatistikk\Faste statistikker\MA\2019\Q4-2019\Publisert\"/>
    </mc:Choice>
  </mc:AlternateContent>
  <xr:revisionPtr revIDLastSave="0" documentId="13_ncr:1_{30A130EE-FBEF-423E-87E2-BA61C5412898}" xr6:coauthVersionLast="44" xr6:coauthVersionMax="44" xr10:uidLastSave="{00000000-0000-0000-0000-000000000000}"/>
  <bookViews>
    <workbookView xWindow="28680" yWindow="1440" windowWidth="29040" windowHeight="15840" tabRatio="835" activeTab="1" xr2:uid="{00000000-000D-0000-FFFF-FFFF00000000}"/>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Danica Pensjonsforsikring" sheetId="18" r:id="rId8"/>
    <sheet name="DNB Livsforsikring" sheetId="13" r:id="rId9"/>
    <sheet name="Eika Forsikring AS" sheetId="19" r:id="rId10"/>
    <sheet name="Frende Livsforsikring" sheetId="20" r:id="rId11"/>
    <sheet name="Frende Skadeforsikring" sheetId="21" r:id="rId12"/>
    <sheet name="Gjensidige Forsikring" sheetId="22" r:id="rId13"/>
    <sheet name="Gjensidige Pensjon" sheetId="23" r:id="rId14"/>
    <sheet name="Handelsbanken Liv" sheetId="24" r:id="rId15"/>
    <sheet name="If Skadeforsikring NUF" sheetId="25" r:id="rId16"/>
    <sheet name="Insr" sheetId="41" r:id="rId17"/>
    <sheet name="KLP" sheetId="26" r:id="rId18"/>
    <sheet name="KLP Bedriftspensjon AS" sheetId="27" r:id="rId19"/>
    <sheet name="KLP Skadeforsikring AS" sheetId="51" r:id="rId20"/>
    <sheet name="Landkreditt Forsikring AS" sheetId="40" r:id="rId21"/>
    <sheet name="Nordea Liv " sheetId="29" r:id="rId22"/>
    <sheet name="Oslo Pensjonsforsikring" sheetId="34" r:id="rId23"/>
    <sheet name="Protector Forsikring" sheetId="72" r:id="rId24"/>
    <sheet name="SHB Liv" sheetId="35" r:id="rId25"/>
    <sheet name="Sparebank 1" sheetId="33" r:id="rId26"/>
    <sheet name="Storebrand Livsforsikring" sheetId="37" r:id="rId27"/>
    <sheet name="Telenor Forsikring" sheetId="38" r:id="rId28"/>
    <sheet name="Tryg Forsikring" sheetId="39" r:id="rId29"/>
    <sheet name="Tabell 4" sheetId="65" r:id="rId30"/>
    <sheet name="Tabell 5.1" sheetId="66" r:id="rId31"/>
    <sheet name="Tabell 5.2" sheetId="67" r:id="rId32"/>
    <sheet name="Tabell 5.3" sheetId="68" r:id="rId33"/>
    <sheet name="Tabell 6" sheetId="62" r:id="rId34"/>
    <sheet name="Tabell 7a" sheetId="69" r:id="rId35"/>
    <sheet name="Tabell 7b" sheetId="70" r:id="rId36"/>
    <sheet name="Tabell 8" sheetId="71" r:id="rId37"/>
    <sheet name="Noter og kommentarer" sheetId="3" r:id="rId38"/>
  </sheets>
  <externalReferences>
    <externalReference r:id="rId39"/>
    <externalReference r:id="rId40"/>
    <externalReference r:id="rId41"/>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16">Insr!$A$1:$M$137</definedName>
    <definedName name="_xlnm.Print_Area" localSheetId="37">'Noter og kommentarer'!$A$1:$L$43</definedName>
    <definedName name="_xlnm.Print_Area" localSheetId="6">'Skjema total MA'!$A$1:$J$138</definedName>
    <definedName name="_xlnm.Print_Area" localSheetId="30">'Tabell 5.1'!$A$2:$AQ$109</definedName>
    <definedName name="_xlnm.Print_Area" localSheetId="31">'Tabell 5.2'!$A$2:$AQ$145</definedName>
    <definedName name="_xlnm.Print_Area" localSheetId="34">'Tabell 7a'!$A$2:$AK$57</definedName>
    <definedName name="_xlnm.Print_Area" localSheetId="35">'Tabell 7b'!$A$2:$AK$44</definedName>
    <definedName name="_xlnm.Print_Area" localSheetId="36">'Tabell 8'!$A$2:$AH$52</definedName>
    <definedName name="_xlnm.Print_Titles" localSheetId="30">'Tabell 5.1'!$A:$A,'Tabell 5.1'!$2:$9</definedName>
    <definedName name="_xlnm.Print_Titles" localSheetId="31">'Tabell 5.2'!$A:$A,'Tabell 5.2'!$2:$9</definedName>
    <definedName name="_xlnm.Print_Titles" localSheetId="34">'Tabell 7a'!$A:$A</definedName>
    <definedName name="_xlnm.Print_Titles" localSheetId="35">'Tabell 7b'!$A:$A</definedName>
    <definedName name="_xlnm.Print_Titles" localSheetId="36">'Tabell 8'!$A:$A</definedName>
    <definedName name="år">#REF!</definedName>
    <definedName name="ÅrFratrekk">#REF!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1" i="65" l="1"/>
  <c r="AE34" i="69" l="1"/>
  <c r="AE22" i="69"/>
  <c r="AB45" i="69"/>
  <c r="P12" i="69"/>
  <c r="P15" i="69"/>
  <c r="P18" i="69"/>
  <c r="M42" i="69"/>
  <c r="M43" i="69"/>
  <c r="M37" i="69"/>
  <c r="J12" i="69"/>
  <c r="J18" i="69"/>
  <c r="J24" i="69"/>
  <c r="J34" i="69"/>
  <c r="J40" i="69"/>
  <c r="D37" i="69"/>
  <c r="D34" i="69"/>
  <c r="D32" i="69"/>
  <c r="D31" i="69"/>
  <c r="D30" i="69"/>
  <c r="D22" i="69"/>
  <c r="D20" i="69"/>
  <c r="D19" i="69"/>
  <c r="D18" i="69"/>
  <c r="D14" i="69"/>
  <c r="N40" i="70"/>
  <c r="N35" i="70"/>
  <c r="Q54" i="69"/>
  <c r="Q52" i="69"/>
  <c r="Q50" i="69"/>
  <c r="Q47" i="69"/>
  <c r="R40" i="65"/>
  <c r="R29" i="65"/>
  <c r="R21" i="65"/>
  <c r="R14" i="65"/>
  <c r="R34" i="65" s="1"/>
  <c r="R41" i="65" s="1"/>
  <c r="R43" i="65" s="1"/>
  <c r="R45" i="65" s="1"/>
  <c r="R85" i="62"/>
  <c r="R79" i="62"/>
  <c r="R91" i="62" s="1"/>
  <c r="R54" i="62"/>
  <c r="R50" i="62"/>
  <c r="R60" i="62" s="1"/>
  <c r="R39" i="62"/>
  <c r="R35" i="62"/>
  <c r="R45" i="62" s="1"/>
  <c r="R62" i="62" s="1"/>
  <c r="R27" i="62"/>
  <c r="R29" i="62" s="1"/>
  <c r="S14" i="62"/>
  <c r="AB41" i="68"/>
  <c r="R64" i="62" l="1"/>
  <c r="P12" i="68" l="1"/>
  <c r="M39" i="68"/>
  <c r="D24" i="68"/>
  <c r="D12" i="68"/>
  <c r="AE42" i="65"/>
  <c r="AE37" i="65"/>
  <c r="AE40" i="65"/>
  <c r="V31" i="65"/>
  <c r="S42" i="65"/>
  <c r="P29" i="65"/>
  <c r="M53" i="65"/>
  <c r="O56" i="65"/>
  <c r="O57" i="65" s="1"/>
  <c r="AK36" i="67"/>
  <c r="AK38" i="67"/>
  <c r="AK44" i="67"/>
  <c r="AK46" i="67"/>
  <c r="AK57" i="67"/>
  <c r="AK61" i="67"/>
  <c r="AK60" i="67"/>
  <c r="AK66" i="67"/>
  <c r="AK65" i="67"/>
  <c r="AK64" i="67"/>
  <c r="AK63" i="67"/>
  <c r="AK62" i="67"/>
  <c r="AK70" i="67"/>
  <c r="AK69" i="67"/>
  <c r="AK72" i="67"/>
  <c r="AK74" i="67"/>
  <c r="AK82" i="67"/>
  <c r="AK105" i="67"/>
  <c r="AK109" i="67"/>
  <c r="AK113" i="67"/>
  <c r="AH81" i="67"/>
  <c r="AH57" i="67"/>
  <c r="AE50" i="67"/>
  <c r="AE58" i="67"/>
  <c r="AB122" i="67"/>
  <c r="AB126" i="67"/>
  <c r="Y57" i="67"/>
  <c r="Y87" i="67"/>
  <c r="Y103" i="67"/>
  <c r="V106" i="67"/>
  <c r="V105" i="67"/>
  <c r="V102" i="67"/>
  <c r="V101" i="67"/>
  <c r="V99" i="67"/>
  <c r="V98" i="67"/>
  <c r="V97" i="67"/>
  <c r="V96" i="67"/>
  <c r="V94" i="67"/>
  <c r="V93" i="67"/>
  <c r="V91" i="67"/>
  <c r="V86" i="67"/>
  <c r="V85" i="67"/>
  <c r="V84" i="67"/>
  <c r="S135" i="67" l="1"/>
  <c r="S140" i="67"/>
  <c r="M52" i="67"/>
  <c r="M51" i="67"/>
  <c r="D96" i="67"/>
  <c r="D115" i="4"/>
  <c r="I67" i="4" l="1"/>
  <c r="AK53" i="62" l="1"/>
  <c r="AK46" i="62"/>
  <c r="AH24" i="62"/>
  <c r="AH58" i="62"/>
  <c r="AE89" i="62"/>
  <c r="AB78" i="62"/>
  <c r="AB77" i="62"/>
  <c r="Y87" i="62"/>
  <c r="Y83" i="62"/>
  <c r="Y58" i="62"/>
  <c r="Y57" i="62"/>
  <c r="Y56" i="62"/>
  <c r="Y48" i="62"/>
  <c r="Y42" i="62"/>
  <c r="Y33" i="62"/>
  <c r="Y25" i="62"/>
  <c r="Y24" i="62"/>
  <c r="Y21" i="62"/>
  <c r="V19" i="62"/>
  <c r="S84" i="62"/>
  <c r="S82" i="62"/>
  <c r="S78" i="62"/>
  <c r="S52" i="62"/>
  <c r="P28" i="62"/>
  <c r="M76" i="62"/>
  <c r="M71" i="62"/>
  <c r="M49" i="62"/>
  <c r="M46" i="62"/>
  <c r="M34" i="62"/>
  <c r="M14" i="62"/>
  <c r="M16" i="62"/>
  <c r="M19" i="62"/>
  <c r="J18" i="62"/>
  <c r="J17" i="62"/>
  <c r="J37" i="62"/>
  <c r="J36" i="62"/>
  <c r="J75" i="62"/>
  <c r="G46" i="62"/>
  <c r="G38" i="62"/>
  <c r="G19" i="62"/>
  <c r="G18" i="62"/>
  <c r="G17" i="62"/>
  <c r="D58" i="62"/>
  <c r="D57" i="62"/>
  <c r="P56" i="65"/>
  <c r="P57" i="65"/>
  <c r="E52" i="39"/>
  <c r="E51" i="39"/>
  <c r="E93" i="37"/>
  <c r="D93" i="37"/>
  <c r="E104" i="37"/>
  <c r="D104" i="37"/>
  <c r="L106" i="37"/>
  <c r="K106" i="37"/>
  <c r="J106" i="37"/>
  <c r="K104" i="37"/>
  <c r="L104" i="37" s="1"/>
  <c r="J104" i="37"/>
  <c r="L93" i="37"/>
  <c r="K93" i="37"/>
  <c r="J93" i="37"/>
  <c r="K95" i="37"/>
  <c r="J95" i="37"/>
  <c r="L95" i="37" s="1"/>
  <c r="K85" i="37"/>
  <c r="J85" i="37"/>
  <c r="L85" i="37" s="1"/>
  <c r="K83" i="37"/>
  <c r="J83" i="37"/>
  <c r="L83" i="37" s="1"/>
  <c r="K74" i="37"/>
  <c r="L74" i="37" s="1"/>
  <c r="J74" i="37"/>
  <c r="K72" i="37"/>
  <c r="L72" i="37" s="1"/>
  <c r="J72" i="37"/>
  <c r="E52" i="37"/>
  <c r="D52" i="37"/>
  <c r="E51" i="37"/>
  <c r="D51" i="37"/>
  <c r="E50" i="37"/>
  <c r="D50" i="37"/>
  <c r="H106" i="37"/>
  <c r="H104" i="37"/>
  <c r="H95" i="37"/>
  <c r="H93" i="37"/>
  <c r="H85" i="37"/>
  <c r="H83" i="37"/>
  <c r="H74" i="37"/>
  <c r="H72" i="37"/>
  <c r="L26" i="37"/>
  <c r="L25" i="37"/>
  <c r="L24" i="37"/>
  <c r="L23" i="37"/>
  <c r="L33" i="37"/>
  <c r="L32" i="37"/>
  <c r="L31" i="37"/>
  <c r="L30" i="37"/>
  <c r="H33" i="37"/>
  <c r="H32" i="37"/>
  <c r="H31" i="37"/>
  <c r="H30" i="37"/>
  <c r="H26" i="37"/>
  <c r="H25" i="37"/>
  <c r="H24" i="37"/>
  <c r="H23" i="37"/>
  <c r="D31" i="37"/>
  <c r="D30" i="37"/>
  <c r="D24" i="37"/>
  <c r="D23" i="37"/>
  <c r="E52" i="33"/>
  <c r="E51" i="33"/>
  <c r="L72" i="33"/>
  <c r="K72" i="33"/>
  <c r="J72" i="33"/>
  <c r="L74" i="33"/>
  <c r="K74" i="33"/>
  <c r="J74" i="33"/>
  <c r="K83" i="33"/>
  <c r="J83" i="33"/>
  <c r="L83" i="33" s="1"/>
  <c r="K85" i="33"/>
  <c r="J85" i="33"/>
  <c r="L85" i="33" s="1"/>
  <c r="K93" i="33"/>
  <c r="J93" i="33"/>
  <c r="L93" i="33" s="1"/>
  <c r="K95" i="33"/>
  <c r="J95" i="33"/>
  <c r="L95" i="33" s="1"/>
  <c r="L104" i="33"/>
  <c r="K104" i="33"/>
  <c r="J104" i="33"/>
  <c r="L106" i="33"/>
  <c r="K106" i="33"/>
  <c r="J106" i="33"/>
  <c r="E104" i="33"/>
  <c r="D104" i="33"/>
  <c r="E93" i="33"/>
  <c r="D93" i="33"/>
  <c r="E83" i="33"/>
  <c r="D83" i="33"/>
  <c r="E72" i="33"/>
  <c r="D72" i="33"/>
  <c r="H106" i="33"/>
  <c r="H104" i="33"/>
  <c r="H95" i="33"/>
  <c r="H93" i="33"/>
  <c r="H85" i="33"/>
  <c r="H83" i="33"/>
  <c r="H74" i="33"/>
  <c r="H72" i="33"/>
  <c r="L33" i="33"/>
  <c r="L32" i="33"/>
  <c r="L31" i="33"/>
  <c r="L30" i="33"/>
  <c r="L26" i="33"/>
  <c r="L25" i="33"/>
  <c r="L24" i="33"/>
  <c r="L23" i="33"/>
  <c r="H26" i="33"/>
  <c r="H25" i="33"/>
  <c r="H24" i="33"/>
  <c r="H23" i="33"/>
  <c r="H33" i="33"/>
  <c r="H32" i="33"/>
  <c r="H31" i="33"/>
  <c r="H30" i="33"/>
  <c r="D31" i="33"/>
  <c r="D30" i="33"/>
  <c r="D24" i="33"/>
  <c r="D23" i="33"/>
  <c r="H94" i="35"/>
  <c r="H93" i="35"/>
  <c r="K94" i="35"/>
  <c r="J94" i="35"/>
  <c r="L94" i="35" s="1"/>
  <c r="K93" i="35"/>
  <c r="J93" i="35"/>
  <c r="L93" i="35" s="1"/>
  <c r="L33" i="35"/>
  <c r="K33" i="35"/>
  <c r="J33" i="35"/>
  <c r="L31" i="35"/>
  <c r="K31" i="35"/>
  <c r="J31" i="35"/>
  <c r="L30" i="35"/>
  <c r="K30" i="35"/>
  <c r="J30" i="35"/>
  <c r="K26" i="35"/>
  <c r="J26" i="35"/>
  <c r="L26" i="35" s="1"/>
  <c r="K23" i="35"/>
  <c r="J23" i="35"/>
  <c r="L23" i="35" s="1"/>
  <c r="L73" i="35"/>
  <c r="K73" i="35"/>
  <c r="J73" i="35"/>
  <c r="L72" i="35"/>
  <c r="K72" i="35"/>
  <c r="J72" i="35"/>
  <c r="H23" i="35"/>
  <c r="H26" i="35"/>
  <c r="H31" i="35"/>
  <c r="H30" i="35"/>
  <c r="H33" i="35"/>
  <c r="H73" i="35"/>
  <c r="H72" i="35"/>
  <c r="L74" i="29"/>
  <c r="K74" i="29"/>
  <c r="J74" i="29"/>
  <c r="L73" i="29"/>
  <c r="K73" i="29"/>
  <c r="J73" i="29"/>
  <c r="K72" i="29"/>
  <c r="J72" i="29"/>
  <c r="L72" i="29" s="1"/>
  <c r="K71" i="29"/>
  <c r="J71" i="29"/>
  <c r="L71" i="29" s="1"/>
  <c r="K70" i="29"/>
  <c r="J70" i="29"/>
  <c r="L70" i="29" s="1"/>
  <c r="K69" i="29"/>
  <c r="L69" i="29" s="1"/>
  <c r="J69" i="29"/>
  <c r="K85" i="29"/>
  <c r="J85" i="29"/>
  <c r="L85" i="29" s="1"/>
  <c r="L84" i="29"/>
  <c r="K84" i="29"/>
  <c r="J84" i="29"/>
  <c r="K83" i="29"/>
  <c r="L83" i="29" s="1"/>
  <c r="J83" i="29"/>
  <c r="K92" i="29"/>
  <c r="J92" i="29"/>
  <c r="L92" i="29" s="1"/>
  <c r="K91" i="29"/>
  <c r="J91" i="29"/>
  <c r="L91" i="29" s="1"/>
  <c r="K90" i="29"/>
  <c r="L90" i="29" s="1"/>
  <c r="J90" i="29"/>
  <c r="K95" i="29"/>
  <c r="J95" i="29"/>
  <c r="L95" i="29" s="1"/>
  <c r="K94" i="29"/>
  <c r="J94" i="29"/>
  <c r="L94" i="29" s="1"/>
  <c r="K93" i="29"/>
  <c r="L93" i="29" s="1"/>
  <c r="J93" i="29"/>
  <c r="K106" i="29"/>
  <c r="J106" i="29"/>
  <c r="L106" i="29" s="1"/>
  <c r="K105" i="29"/>
  <c r="J105" i="29"/>
  <c r="L105" i="29" s="1"/>
  <c r="K104" i="29"/>
  <c r="J104" i="29"/>
  <c r="L104" i="29" s="1"/>
  <c r="K115" i="29"/>
  <c r="J115" i="29"/>
  <c r="L115" i="29" s="1"/>
  <c r="H106" i="29"/>
  <c r="H105" i="29"/>
  <c r="H104" i="29"/>
  <c r="H95" i="29"/>
  <c r="H94" i="29"/>
  <c r="H93" i="29"/>
  <c r="H92" i="29"/>
  <c r="H91" i="29"/>
  <c r="H90" i="29"/>
  <c r="H85" i="29"/>
  <c r="H84" i="29"/>
  <c r="H83" i="29"/>
  <c r="H74" i="29"/>
  <c r="H73" i="29"/>
  <c r="H72" i="29"/>
  <c r="H71" i="29"/>
  <c r="H70" i="29"/>
  <c r="H69" i="29"/>
  <c r="E115" i="29"/>
  <c r="D115" i="29"/>
  <c r="E104" i="29"/>
  <c r="D104" i="29"/>
  <c r="E93" i="29"/>
  <c r="D93" i="29"/>
  <c r="E83" i="29"/>
  <c r="D83" i="29"/>
  <c r="E72" i="29"/>
  <c r="D72" i="29"/>
  <c r="E69" i="29"/>
  <c r="D69" i="29"/>
  <c r="D32" i="29"/>
  <c r="D31" i="29"/>
  <c r="D30" i="29"/>
  <c r="H33" i="29"/>
  <c r="H32" i="29"/>
  <c r="H31" i="29"/>
  <c r="H30" i="29"/>
  <c r="L33" i="29"/>
  <c r="L32" i="29"/>
  <c r="L31" i="29"/>
  <c r="L30" i="29"/>
  <c r="L26" i="29"/>
  <c r="L25" i="29"/>
  <c r="L24" i="29"/>
  <c r="L23" i="29"/>
  <c r="H23" i="29"/>
  <c r="H26" i="29"/>
  <c r="H25" i="29"/>
  <c r="D25" i="29"/>
  <c r="D24" i="29"/>
  <c r="D23" i="29"/>
  <c r="L9" i="41"/>
  <c r="L8" i="41"/>
  <c r="L85" i="27"/>
  <c r="L83" i="27"/>
  <c r="H83" i="27"/>
  <c r="H85" i="27"/>
  <c r="H93" i="27"/>
  <c r="H95" i="27"/>
  <c r="H104" i="27"/>
  <c r="H106" i="27"/>
  <c r="H109" i="27"/>
  <c r="H115" i="27"/>
  <c r="L115" i="27"/>
  <c r="K115" i="27"/>
  <c r="J115" i="27"/>
  <c r="K106" i="27"/>
  <c r="J106" i="27"/>
  <c r="L106" i="27" s="1"/>
  <c r="L104" i="27"/>
  <c r="K104" i="27"/>
  <c r="J104" i="27"/>
  <c r="K95" i="27"/>
  <c r="J95" i="27"/>
  <c r="L95" i="27" s="1"/>
  <c r="L93" i="27"/>
  <c r="K93" i="27"/>
  <c r="J93" i="27"/>
  <c r="K85" i="27"/>
  <c r="J85" i="27"/>
  <c r="K83" i="27"/>
  <c r="J83" i="27"/>
  <c r="K74" i="27"/>
  <c r="J74" i="27"/>
  <c r="L74" i="27" s="1"/>
  <c r="K72" i="27"/>
  <c r="L72" i="27" s="1"/>
  <c r="J72" i="27"/>
  <c r="H74" i="27"/>
  <c r="H72" i="27"/>
  <c r="D50" i="26"/>
  <c r="L24" i="24"/>
  <c r="L31" i="24"/>
  <c r="D31" i="24"/>
  <c r="D24" i="24"/>
  <c r="K93" i="23"/>
  <c r="J93" i="23"/>
  <c r="L93" i="23" s="1"/>
  <c r="L95" i="23"/>
  <c r="K95" i="23"/>
  <c r="J95" i="23"/>
  <c r="L104" i="23"/>
  <c r="K104" i="23"/>
  <c r="J104" i="23"/>
  <c r="K106" i="23"/>
  <c r="J106" i="23"/>
  <c r="L106" i="23" s="1"/>
  <c r="H106" i="23"/>
  <c r="H104" i="23"/>
  <c r="H95" i="23"/>
  <c r="H93" i="23"/>
  <c r="H85" i="23"/>
  <c r="H83" i="23"/>
  <c r="K85" i="23"/>
  <c r="J85" i="23"/>
  <c r="L85" i="23" s="1"/>
  <c r="K83" i="23"/>
  <c r="J83" i="23"/>
  <c r="L83" i="23" s="1"/>
  <c r="L72" i="23"/>
  <c r="K72" i="23"/>
  <c r="J72" i="23"/>
  <c r="K74" i="23"/>
  <c r="L74" i="23" s="1"/>
  <c r="J74" i="23"/>
  <c r="H74" i="23"/>
  <c r="H72" i="23"/>
  <c r="D30" i="23"/>
  <c r="H33" i="23"/>
  <c r="H32" i="23"/>
  <c r="H31" i="23"/>
  <c r="H30" i="23"/>
  <c r="L33" i="23"/>
  <c r="L32" i="23"/>
  <c r="L31" i="23"/>
  <c r="L30" i="23"/>
  <c r="L26" i="23"/>
  <c r="L25" i="23"/>
  <c r="L24" i="23"/>
  <c r="L23" i="23"/>
  <c r="H26" i="23"/>
  <c r="H25" i="23"/>
  <c r="H24" i="23"/>
  <c r="H23" i="23"/>
  <c r="D23" i="23"/>
  <c r="E104" i="20"/>
  <c r="E100" i="20"/>
  <c r="D104" i="20"/>
  <c r="H104" i="20"/>
  <c r="H106" i="20"/>
  <c r="L106" i="20"/>
  <c r="K106" i="20"/>
  <c r="J106" i="20"/>
  <c r="K104" i="20"/>
  <c r="J104" i="20"/>
  <c r="L104" i="20" s="1"/>
  <c r="K95" i="20"/>
  <c r="J95" i="20"/>
  <c r="K93" i="20"/>
  <c r="L93" i="20" s="1"/>
  <c r="J93" i="20"/>
  <c r="E93" i="20"/>
  <c r="L95" i="20"/>
  <c r="D93" i="20"/>
  <c r="H95" i="20"/>
  <c r="H93" i="20"/>
  <c r="H72" i="20"/>
  <c r="H74" i="20"/>
  <c r="L74" i="20"/>
  <c r="L72" i="20"/>
  <c r="K74" i="20"/>
  <c r="J74" i="20"/>
  <c r="K72" i="20"/>
  <c r="J72" i="20"/>
  <c r="K85" i="20"/>
  <c r="J85" i="20"/>
  <c r="L85" i="20" s="1"/>
  <c r="K83" i="20"/>
  <c r="J83" i="20"/>
  <c r="L83" i="20"/>
  <c r="H85" i="20"/>
  <c r="H83" i="20"/>
  <c r="E83" i="20"/>
  <c r="D83" i="20"/>
  <c r="I72" i="20"/>
  <c r="E72" i="20"/>
  <c r="D72" i="20"/>
  <c r="H33" i="20"/>
  <c r="H32" i="20"/>
  <c r="D32" i="20"/>
  <c r="L33" i="20"/>
  <c r="L32" i="20"/>
  <c r="E30" i="20"/>
  <c r="D30" i="20"/>
  <c r="L30" i="20"/>
  <c r="H25" i="20"/>
  <c r="H26" i="20"/>
  <c r="L26" i="20"/>
  <c r="L25" i="20"/>
  <c r="L23" i="20"/>
  <c r="D23" i="20"/>
  <c r="D25" i="20"/>
  <c r="L106" i="13"/>
  <c r="K106" i="13"/>
  <c r="J106" i="13"/>
  <c r="K104" i="13"/>
  <c r="J104" i="13"/>
  <c r="L104" i="13" s="1"/>
  <c r="I106" i="13"/>
  <c r="H106" i="13"/>
  <c r="I104" i="13"/>
  <c r="H104" i="13"/>
  <c r="E104" i="13"/>
  <c r="D104" i="13"/>
  <c r="E97" i="13"/>
  <c r="E93" i="13"/>
  <c r="D93" i="13"/>
  <c r="H90" i="13"/>
  <c r="H91" i="13"/>
  <c r="H93" i="13"/>
  <c r="H95" i="13"/>
  <c r="L95" i="13"/>
  <c r="L93" i="13"/>
  <c r="L91" i="13"/>
  <c r="L90" i="13"/>
  <c r="K95" i="13"/>
  <c r="J95" i="13"/>
  <c r="K93" i="13"/>
  <c r="J93" i="13"/>
  <c r="K91" i="13"/>
  <c r="J91" i="13"/>
  <c r="K90" i="13"/>
  <c r="J90" i="13"/>
  <c r="K74" i="13"/>
  <c r="L74" i="13" s="1"/>
  <c r="J74" i="13"/>
  <c r="K72" i="13"/>
  <c r="J72" i="13"/>
  <c r="L72" i="13" s="1"/>
  <c r="K85" i="13"/>
  <c r="J85" i="13"/>
  <c r="K83" i="13"/>
  <c r="J83" i="13"/>
  <c r="L83" i="13" s="1"/>
  <c r="H83" i="13"/>
  <c r="H85" i="13"/>
  <c r="L85" i="13"/>
  <c r="H74" i="13"/>
  <c r="H72" i="13"/>
  <c r="D32" i="13"/>
  <c r="D31" i="13"/>
  <c r="D30" i="13"/>
  <c r="H32" i="13"/>
  <c r="H31" i="13"/>
  <c r="H30" i="13"/>
  <c r="L32" i="13"/>
  <c r="L31" i="13"/>
  <c r="L30" i="13"/>
  <c r="L25" i="13"/>
  <c r="L24" i="13"/>
  <c r="L23" i="13"/>
  <c r="H25" i="13"/>
  <c r="H24" i="13"/>
  <c r="H23" i="13"/>
  <c r="D25" i="13"/>
  <c r="D24" i="13"/>
  <c r="D23" i="13"/>
  <c r="L104" i="18"/>
  <c r="L106" i="18"/>
  <c r="H106" i="18"/>
  <c r="H104" i="18"/>
  <c r="L93" i="18"/>
  <c r="L95" i="18"/>
  <c r="H95" i="18"/>
  <c r="H93" i="18"/>
  <c r="K106" i="18"/>
  <c r="J106" i="18"/>
  <c r="K104" i="18"/>
  <c r="J104" i="18"/>
  <c r="K95" i="18"/>
  <c r="J95" i="18"/>
  <c r="K93" i="18"/>
  <c r="J93" i="18"/>
  <c r="L83" i="18"/>
  <c r="L85" i="18"/>
  <c r="H85" i="18"/>
  <c r="H83" i="18"/>
  <c r="K85" i="18"/>
  <c r="J85" i="18"/>
  <c r="K83" i="18"/>
  <c r="J83" i="18"/>
  <c r="K74" i="18"/>
  <c r="J74" i="18"/>
  <c r="K72" i="18"/>
  <c r="J72" i="18"/>
  <c r="L72" i="18" s="1"/>
  <c r="L74" i="18"/>
  <c r="H74" i="18"/>
  <c r="H72" i="18"/>
  <c r="H33" i="18"/>
  <c r="H32" i="18"/>
  <c r="H31" i="18"/>
  <c r="H30" i="18"/>
  <c r="L33" i="18"/>
  <c r="L32" i="18"/>
  <c r="L31" i="18"/>
  <c r="L30" i="18"/>
  <c r="L23" i="18"/>
  <c r="L26" i="18"/>
  <c r="L25" i="18"/>
  <c r="H26" i="18"/>
  <c r="H25" i="18"/>
  <c r="H23" i="18"/>
  <c r="AK53" i="65"/>
  <c r="V50" i="65"/>
  <c r="J53" i="65"/>
  <c r="J49" i="65"/>
  <c r="G53" i="65"/>
  <c r="AB27" i="65" l="1"/>
  <c r="AB13" i="65"/>
  <c r="AB12" i="65"/>
  <c r="P23" i="65"/>
  <c r="J30" i="65"/>
  <c r="J25" i="65"/>
  <c r="M26" i="65"/>
  <c r="M17" i="65"/>
  <c r="AG12" i="71" l="1"/>
  <c r="AG11" i="71"/>
  <c r="AF12" i="71"/>
  <c r="AF11" i="71"/>
  <c r="AG42" i="70"/>
  <c r="AG41" i="70"/>
  <c r="AG40" i="70"/>
  <c r="AG38" i="70"/>
  <c r="AG34" i="70"/>
  <c r="AG33" i="70"/>
  <c r="AG32" i="70"/>
  <c r="AG30" i="70"/>
  <c r="AG29" i="70"/>
  <c r="AG28" i="70"/>
  <c r="AG27" i="70"/>
  <c r="AG26" i="70"/>
  <c r="AG25" i="70"/>
  <c r="AG24" i="70"/>
  <c r="AG23" i="70"/>
  <c r="AG22" i="70"/>
  <c r="AG21" i="70"/>
  <c r="AG20" i="70"/>
  <c r="AG15" i="70"/>
  <c r="AG12" i="70"/>
  <c r="AF42" i="70"/>
  <c r="AF41" i="70"/>
  <c r="AF40" i="70"/>
  <c r="AF38" i="70"/>
  <c r="AF34" i="70"/>
  <c r="AF33" i="70"/>
  <c r="AF32" i="70"/>
  <c r="AF31" i="70"/>
  <c r="AF30" i="70"/>
  <c r="AF29" i="70"/>
  <c r="AF28" i="70"/>
  <c r="AF27" i="70"/>
  <c r="AF26" i="70"/>
  <c r="AF25" i="70"/>
  <c r="AF24" i="70"/>
  <c r="AF23" i="70"/>
  <c r="AF22" i="70"/>
  <c r="AF21" i="70"/>
  <c r="AF20" i="70"/>
  <c r="AF19" i="70"/>
  <c r="AF18" i="70"/>
  <c r="AF17" i="70"/>
  <c r="AF16" i="70"/>
  <c r="AF15" i="70"/>
  <c r="AF14" i="70"/>
  <c r="AF13" i="70"/>
  <c r="AF12" i="70"/>
  <c r="AF11" i="70"/>
  <c r="AJ45" i="69"/>
  <c r="AJ44" i="69"/>
  <c r="AJ42" i="69"/>
  <c r="AJ40" i="69"/>
  <c r="AJ39" i="69"/>
  <c r="AJ37" i="69"/>
  <c r="AJ36" i="69"/>
  <c r="AJ29" i="69"/>
  <c r="AJ26" i="69"/>
  <c r="AJ21" i="69"/>
  <c r="AJ20" i="69"/>
  <c r="AJ16" i="69"/>
  <c r="AJ14" i="69"/>
  <c r="AJ13" i="69"/>
  <c r="AI45" i="69"/>
  <c r="AI44" i="69"/>
  <c r="AI43" i="69"/>
  <c r="AI42" i="69"/>
  <c r="AI41" i="69"/>
  <c r="AI40" i="69"/>
  <c r="AI39" i="69"/>
  <c r="AI38" i="69"/>
  <c r="AI37" i="69"/>
  <c r="AI36" i="69"/>
  <c r="AI35" i="69"/>
  <c r="AI34" i="69"/>
  <c r="AI33" i="69"/>
  <c r="AI32" i="69"/>
  <c r="AI31" i="69"/>
  <c r="AI30" i="69"/>
  <c r="AI29" i="69"/>
  <c r="AI28" i="69"/>
  <c r="AI27" i="69"/>
  <c r="AI26" i="69"/>
  <c r="AI25" i="69"/>
  <c r="AI24" i="69"/>
  <c r="AI23" i="69"/>
  <c r="AI22" i="69"/>
  <c r="AI21" i="69"/>
  <c r="AI20" i="69"/>
  <c r="AI19" i="69"/>
  <c r="AI18" i="69"/>
  <c r="AI17" i="69"/>
  <c r="AI16" i="69"/>
  <c r="AI15" i="69"/>
  <c r="AI14" i="69"/>
  <c r="AI13" i="69"/>
  <c r="AI12" i="69"/>
  <c r="AI11" i="69"/>
  <c r="AP89" i="62"/>
  <c r="AP87" i="62"/>
  <c r="AP86" i="62"/>
  <c r="AP84" i="62"/>
  <c r="AP83" i="62"/>
  <c r="AP82" i="62"/>
  <c r="AP81" i="62"/>
  <c r="AP78" i="62"/>
  <c r="AP77" i="62"/>
  <c r="AP76" i="62"/>
  <c r="AP75" i="62"/>
  <c r="AP74" i="62"/>
  <c r="AP73" i="62"/>
  <c r="AP71" i="62"/>
  <c r="AP70" i="62"/>
  <c r="AP69" i="62"/>
  <c r="AP68" i="62"/>
  <c r="AP61" i="62"/>
  <c r="AP59" i="62"/>
  <c r="AP58" i="62"/>
  <c r="AP57" i="62"/>
  <c r="AP56" i="62"/>
  <c r="AP55" i="62"/>
  <c r="AP53" i="62"/>
  <c r="AP52" i="62"/>
  <c r="AP51" i="62"/>
  <c r="AP49" i="62"/>
  <c r="AP48" i="62"/>
  <c r="AP46" i="62"/>
  <c r="AP44" i="62"/>
  <c r="AP43" i="62"/>
  <c r="AP42" i="62"/>
  <c r="AP41" i="62"/>
  <c r="AP40" i="62"/>
  <c r="AP37" i="62"/>
  <c r="AP36" i="62"/>
  <c r="AP34" i="62"/>
  <c r="AP33" i="62"/>
  <c r="AP26" i="62"/>
  <c r="AP25" i="62"/>
  <c r="AP24" i="62"/>
  <c r="AP23" i="62"/>
  <c r="AP22" i="62"/>
  <c r="AP21" i="62"/>
  <c r="AP18" i="62"/>
  <c r="AP17" i="62"/>
  <c r="AP15" i="62"/>
  <c r="AP14" i="62"/>
  <c r="AO89" i="62"/>
  <c r="AO88" i="62"/>
  <c r="AO87" i="62"/>
  <c r="AO86" i="62"/>
  <c r="AO84" i="62"/>
  <c r="AO83" i="62"/>
  <c r="AO82" i="62"/>
  <c r="AO81" i="62"/>
  <c r="AO78" i="62"/>
  <c r="AO77" i="62"/>
  <c r="AO76" i="62"/>
  <c r="AO75" i="62"/>
  <c r="AO74" i="62"/>
  <c r="AO73" i="62"/>
  <c r="AO71" i="62"/>
  <c r="AO70" i="62"/>
  <c r="AO69" i="62"/>
  <c r="AO68" i="62"/>
  <c r="AO61" i="62"/>
  <c r="AO59" i="62"/>
  <c r="AO58" i="62"/>
  <c r="AO57" i="62"/>
  <c r="AO56" i="62"/>
  <c r="AO55" i="62"/>
  <c r="AO53" i="62"/>
  <c r="AO52" i="62"/>
  <c r="AO51" i="62"/>
  <c r="AO49" i="62"/>
  <c r="AO48" i="62"/>
  <c r="AO46" i="62"/>
  <c r="AO44" i="62"/>
  <c r="AO43" i="62"/>
  <c r="AO42" i="62"/>
  <c r="AO41" i="62"/>
  <c r="AO40" i="62"/>
  <c r="AO38" i="62"/>
  <c r="AO37" i="62"/>
  <c r="AO36" i="62"/>
  <c r="AO34" i="62"/>
  <c r="AO33" i="62"/>
  <c r="AO28" i="62"/>
  <c r="AO26" i="62"/>
  <c r="AO25" i="62"/>
  <c r="AO24" i="62"/>
  <c r="AO23" i="62"/>
  <c r="AO22" i="62"/>
  <c r="AO21" i="62"/>
  <c r="AO19" i="62"/>
  <c r="AO18" i="62"/>
  <c r="AO17" i="62"/>
  <c r="AO15" i="62"/>
  <c r="AO14" i="62"/>
  <c r="AM89" i="62"/>
  <c r="AM87" i="62"/>
  <c r="AM86" i="62"/>
  <c r="AM84" i="62"/>
  <c r="AM83" i="62"/>
  <c r="AM82" i="62"/>
  <c r="AM81" i="62"/>
  <c r="AM78" i="62"/>
  <c r="AM77" i="62"/>
  <c r="AM76" i="62"/>
  <c r="AM75" i="62"/>
  <c r="AM74" i="62"/>
  <c r="AM73" i="62"/>
  <c r="AM71" i="62"/>
  <c r="AM70" i="62"/>
  <c r="AM69" i="62"/>
  <c r="AM68" i="62"/>
  <c r="AM61" i="62"/>
  <c r="AM59" i="62"/>
  <c r="AM58" i="62"/>
  <c r="AM57" i="62"/>
  <c r="AM56" i="62"/>
  <c r="AM55" i="62"/>
  <c r="AM53" i="62"/>
  <c r="AM52" i="62"/>
  <c r="AM51" i="62"/>
  <c r="AM49" i="62"/>
  <c r="AM48" i="62"/>
  <c r="AM46" i="62"/>
  <c r="AM44" i="62"/>
  <c r="AM43" i="62"/>
  <c r="AM42" i="62"/>
  <c r="AM41" i="62"/>
  <c r="AM40" i="62"/>
  <c r="AM37" i="62"/>
  <c r="AM36" i="62"/>
  <c r="AM34" i="62"/>
  <c r="AM33" i="62"/>
  <c r="AM26" i="62"/>
  <c r="AM25" i="62"/>
  <c r="AM24" i="62"/>
  <c r="AM23" i="62"/>
  <c r="AM22" i="62"/>
  <c r="AM21" i="62"/>
  <c r="AM18" i="62"/>
  <c r="AM17" i="62"/>
  <c r="AM15" i="62"/>
  <c r="AM14" i="62"/>
  <c r="AL89" i="62"/>
  <c r="AL88" i="62"/>
  <c r="AL87" i="62"/>
  <c r="AL86" i="62"/>
  <c r="AL84" i="62"/>
  <c r="AL83" i="62"/>
  <c r="AL82" i="62"/>
  <c r="AL81" i="62"/>
  <c r="AL78" i="62"/>
  <c r="AL77" i="62"/>
  <c r="AL76" i="62"/>
  <c r="AL75" i="62"/>
  <c r="AL74" i="62"/>
  <c r="AL73" i="62"/>
  <c r="AL71" i="62"/>
  <c r="AL70" i="62"/>
  <c r="AL69" i="62"/>
  <c r="AL68" i="62"/>
  <c r="AL61" i="62"/>
  <c r="AL59" i="62"/>
  <c r="AL58" i="62"/>
  <c r="AL57" i="62"/>
  <c r="AL56" i="62"/>
  <c r="AL55" i="62"/>
  <c r="AL53" i="62"/>
  <c r="AL52" i="62"/>
  <c r="AL51" i="62"/>
  <c r="AL49" i="62"/>
  <c r="AL48" i="62"/>
  <c r="AL46" i="62"/>
  <c r="AL44" i="62"/>
  <c r="AL43" i="62"/>
  <c r="AL42" i="62"/>
  <c r="AL41" i="62"/>
  <c r="AL40" i="62"/>
  <c r="AL38" i="62"/>
  <c r="AL37" i="62"/>
  <c r="AL36" i="62"/>
  <c r="AL34" i="62"/>
  <c r="AL33" i="62"/>
  <c r="AL28" i="62"/>
  <c r="AL26" i="62"/>
  <c r="AL25" i="62"/>
  <c r="AL24" i="62"/>
  <c r="AL23" i="62"/>
  <c r="AL22" i="62"/>
  <c r="AL21" i="62"/>
  <c r="AL19" i="62"/>
  <c r="AL18" i="62"/>
  <c r="AL17" i="62"/>
  <c r="AL15" i="62"/>
  <c r="AL14" i="62"/>
  <c r="AP34" i="68"/>
  <c r="AP33" i="68"/>
  <c r="AP31" i="68"/>
  <c r="AP30" i="68"/>
  <c r="AP29" i="68"/>
  <c r="AP28" i="68"/>
  <c r="AP27" i="68"/>
  <c r="AP26" i="68"/>
  <c r="AP25" i="68"/>
  <c r="AP24" i="68"/>
  <c r="AP22" i="68"/>
  <c r="AP21" i="68"/>
  <c r="AP19" i="68"/>
  <c r="AP18" i="68"/>
  <c r="AP17" i="68"/>
  <c r="AP16" i="68"/>
  <c r="AP15" i="68"/>
  <c r="AP14" i="68"/>
  <c r="AP13" i="68"/>
  <c r="AP12" i="68"/>
  <c r="AO34" i="68"/>
  <c r="AO33" i="68"/>
  <c r="AO31" i="68"/>
  <c r="AO30" i="68"/>
  <c r="AO29" i="68"/>
  <c r="AO28" i="68"/>
  <c r="AO27" i="68"/>
  <c r="AO26" i="68"/>
  <c r="AO25" i="68"/>
  <c r="AO24" i="68"/>
  <c r="AO22" i="68"/>
  <c r="AO21" i="68"/>
  <c r="AO19" i="68"/>
  <c r="AO18" i="68"/>
  <c r="AO17" i="68"/>
  <c r="AO16" i="68"/>
  <c r="AO15" i="68"/>
  <c r="AO14" i="68"/>
  <c r="AO13" i="68"/>
  <c r="AO12" i="68"/>
  <c r="AM34" i="68"/>
  <c r="AM33" i="68"/>
  <c r="AM31" i="68"/>
  <c r="AM30" i="68"/>
  <c r="AM29" i="68"/>
  <c r="AM28" i="68"/>
  <c r="AM27" i="68"/>
  <c r="AM26" i="68"/>
  <c r="AM25" i="68"/>
  <c r="AM24" i="68"/>
  <c r="AM22" i="68"/>
  <c r="AM21" i="68"/>
  <c r="AM19" i="68"/>
  <c r="AM18" i="68"/>
  <c r="AM17" i="68"/>
  <c r="AM16" i="68"/>
  <c r="AM15" i="68"/>
  <c r="AM14" i="68"/>
  <c r="AM13" i="68"/>
  <c r="AM12" i="68"/>
  <c r="AL34" i="68"/>
  <c r="AL33" i="68"/>
  <c r="AL31" i="68"/>
  <c r="AL30" i="68"/>
  <c r="AL29" i="68"/>
  <c r="AL28" i="68"/>
  <c r="AL27" i="68"/>
  <c r="AL26" i="68"/>
  <c r="AL25" i="68"/>
  <c r="AL24" i="68"/>
  <c r="AL22" i="68"/>
  <c r="AL21" i="68"/>
  <c r="AL19" i="68"/>
  <c r="AL18" i="68"/>
  <c r="AL17" i="68"/>
  <c r="AL16" i="68"/>
  <c r="AL15" i="68"/>
  <c r="AL14" i="68"/>
  <c r="AL13" i="68"/>
  <c r="AL12" i="68"/>
  <c r="AP144" i="67"/>
  <c r="AP143" i="67"/>
  <c r="AP142" i="67"/>
  <c r="AP141" i="67"/>
  <c r="AP140" i="67"/>
  <c r="AP139" i="67"/>
  <c r="AP138" i="67"/>
  <c r="AP137" i="67"/>
  <c r="AP136" i="67"/>
  <c r="AP135" i="67"/>
  <c r="AP134" i="67"/>
  <c r="AP132" i="67"/>
  <c r="AP131" i="67"/>
  <c r="AP129" i="67"/>
  <c r="AP128" i="67"/>
  <c r="AP127" i="67"/>
  <c r="AP126" i="67"/>
  <c r="AP125" i="67"/>
  <c r="AP124" i="67"/>
  <c r="AP123" i="67"/>
  <c r="AP122" i="67"/>
  <c r="AP118" i="67"/>
  <c r="AP117" i="67"/>
  <c r="AP115" i="67"/>
  <c r="AP114" i="67"/>
  <c r="AP113" i="67"/>
  <c r="AP112" i="67"/>
  <c r="AP111" i="67"/>
  <c r="AP110" i="67"/>
  <c r="AP109" i="67"/>
  <c r="AP108" i="67"/>
  <c r="AP106" i="67"/>
  <c r="AP105" i="67"/>
  <c r="AP103" i="67"/>
  <c r="AP102" i="67"/>
  <c r="AP101" i="67"/>
  <c r="AP100" i="67"/>
  <c r="AP99" i="67"/>
  <c r="AP98" i="67"/>
  <c r="AP97" i="67"/>
  <c r="AP96" i="67"/>
  <c r="AP91" i="67"/>
  <c r="AP90" i="67"/>
  <c r="AP88" i="67"/>
  <c r="AP87" i="67"/>
  <c r="AP85" i="67"/>
  <c r="AP84" i="67"/>
  <c r="AP82" i="67"/>
  <c r="AP81" i="67"/>
  <c r="AP79" i="67"/>
  <c r="AP78" i="67"/>
  <c r="AP77" i="67"/>
  <c r="AP76" i="67"/>
  <c r="AP75" i="67"/>
  <c r="AP74" i="67"/>
  <c r="AP73" i="67"/>
  <c r="AP72" i="67"/>
  <c r="AP70" i="67"/>
  <c r="AP69" i="67"/>
  <c r="AP67" i="67"/>
  <c r="AP66" i="67"/>
  <c r="AP65" i="67"/>
  <c r="AP64" i="67"/>
  <c r="AP63" i="67"/>
  <c r="AP62" i="67"/>
  <c r="AP61" i="67"/>
  <c r="AP60" i="67"/>
  <c r="AP59" i="67"/>
  <c r="AP57" i="67"/>
  <c r="AP55" i="67"/>
  <c r="AP54" i="67"/>
  <c r="AP53" i="67"/>
  <c r="AP52" i="67"/>
  <c r="AP51" i="67"/>
  <c r="AP49" i="67"/>
  <c r="AP48" i="67"/>
  <c r="AP46" i="67"/>
  <c r="AP45" i="67"/>
  <c r="AP43" i="67"/>
  <c r="AP42" i="67"/>
  <c r="AP41" i="67"/>
  <c r="AP40" i="67"/>
  <c r="AP39" i="67"/>
  <c r="AP38" i="67"/>
  <c r="AP37" i="67"/>
  <c r="AP34" i="67"/>
  <c r="AP33" i="67"/>
  <c r="AP32" i="67"/>
  <c r="AP31" i="67"/>
  <c r="AP30" i="67"/>
  <c r="AP29" i="67"/>
  <c r="AP28" i="67"/>
  <c r="AP27" i="67"/>
  <c r="AP26" i="67"/>
  <c r="AP25" i="67"/>
  <c r="AP24" i="67"/>
  <c r="AP19" i="67"/>
  <c r="AP18" i="67"/>
  <c r="AP16" i="67"/>
  <c r="AP15" i="67"/>
  <c r="AO144" i="67"/>
  <c r="AO143" i="67"/>
  <c r="AO142" i="67"/>
  <c r="AO141" i="67"/>
  <c r="AO140" i="67"/>
  <c r="AO139" i="67"/>
  <c r="AO138" i="67"/>
  <c r="AO137" i="67"/>
  <c r="AO136" i="67"/>
  <c r="AO135" i="67"/>
  <c r="AO134" i="67"/>
  <c r="AO132" i="67"/>
  <c r="AO131" i="67"/>
  <c r="AO130" i="67"/>
  <c r="AO129" i="67"/>
  <c r="AO128" i="67"/>
  <c r="AO127" i="67"/>
  <c r="AO126" i="67"/>
  <c r="AO125" i="67"/>
  <c r="AO124" i="67"/>
  <c r="AO123" i="67"/>
  <c r="AO122" i="67"/>
  <c r="AO118" i="67"/>
  <c r="AO117" i="67"/>
  <c r="AO116" i="67"/>
  <c r="AO115" i="67"/>
  <c r="AO114" i="67"/>
  <c r="AO113" i="67"/>
  <c r="AO112" i="67"/>
  <c r="AO111" i="67"/>
  <c r="AO110" i="67"/>
  <c r="AO109" i="67"/>
  <c r="AO108" i="67"/>
  <c r="AO106" i="67"/>
  <c r="AO105" i="67"/>
  <c r="AO104" i="67"/>
  <c r="AO103" i="67"/>
  <c r="AO102" i="67"/>
  <c r="AO101" i="67"/>
  <c r="AO100" i="67"/>
  <c r="AO99" i="67"/>
  <c r="AO98" i="67"/>
  <c r="AO97" i="67"/>
  <c r="AO96" i="67"/>
  <c r="AO94" i="67"/>
  <c r="AO93" i="67"/>
  <c r="AO92" i="67"/>
  <c r="AO91" i="67"/>
  <c r="AO90" i="67"/>
  <c r="AO89" i="67"/>
  <c r="AO88" i="67"/>
  <c r="AO87" i="67"/>
  <c r="AO86" i="67"/>
  <c r="AO85" i="67"/>
  <c r="AO84" i="67"/>
  <c r="AO82" i="67"/>
  <c r="AO81" i="67"/>
  <c r="AO80" i="67"/>
  <c r="AO79" i="67"/>
  <c r="AO78" i="67"/>
  <c r="AO77" i="67"/>
  <c r="AO76" i="67"/>
  <c r="AO75" i="67"/>
  <c r="AO74" i="67"/>
  <c r="AO73" i="67"/>
  <c r="AO72" i="67"/>
  <c r="AO70" i="67"/>
  <c r="AO69" i="67"/>
  <c r="AO68" i="67"/>
  <c r="AO67" i="67"/>
  <c r="AO66" i="67"/>
  <c r="AO65" i="67"/>
  <c r="AO64" i="67"/>
  <c r="AO63" i="67"/>
  <c r="AO62" i="67"/>
  <c r="AO61" i="67"/>
  <c r="AO60" i="67"/>
  <c r="AO59" i="67"/>
  <c r="AO58" i="67"/>
  <c r="AO57" i="67"/>
  <c r="AO55" i="67"/>
  <c r="AO54" i="67"/>
  <c r="AO53" i="67"/>
  <c r="AO52" i="67"/>
  <c r="AO51" i="67"/>
  <c r="AO50" i="67"/>
  <c r="AO49" i="67"/>
  <c r="AO48" i="67"/>
  <c r="AO46" i="67"/>
  <c r="AO45" i="67"/>
  <c r="AO44" i="67"/>
  <c r="AO43" i="67"/>
  <c r="AO42" i="67"/>
  <c r="AO41" i="67"/>
  <c r="AO40" i="67"/>
  <c r="AO39" i="67"/>
  <c r="AO38" i="67"/>
  <c r="AO37" i="67"/>
  <c r="AO36" i="67"/>
  <c r="AO34" i="67"/>
  <c r="AO33" i="67"/>
  <c r="AO32" i="67"/>
  <c r="AO31" i="67"/>
  <c r="AO30" i="67"/>
  <c r="AO29" i="67"/>
  <c r="AO28" i="67"/>
  <c r="AO27" i="67"/>
  <c r="AO26" i="67"/>
  <c r="AO25" i="67"/>
  <c r="AO24" i="67"/>
  <c r="AO22" i="67"/>
  <c r="AO21" i="67"/>
  <c r="AO20" i="67"/>
  <c r="AO19" i="67"/>
  <c r="AO18" i="67"/>
  <c r="AO17" i="67"/>
  <c r="AO16" i="67"/>
  <c r="AO15" i="67"/>
  <c r="AO14" i="67"/>
  <c r="AO13" i="67"/>
  <c r="AO12" i="67"/>
  <c r="AM144" i="67"/>
  <c r="AM143" i="67"/>
  <c r="AM142" i="67"/>
  <c r="AM141" i="67"/>
  <c r="AM140" i="67"/>
  <c r="AM139" i="67"/>
  <c r="AM138" i="67"/>
  <c r="AM137" i="67"/>
  <c r="AM136" i="67"/>
  <c r="AM135" i="67"/>
  <c r="AM134" i="67"/>
  <c r="AM132" i="67"/>
  <c r="AM131" i="67"/>
  <c r="AM129" i="67"/>
  <c r="AM128" i="67"/>
  <c r="AM127" i="67"/>
  <c r="AM126" i="67"/>
  <c r="AM125" i="67"/>
  <c r="AM124" i="67"/>
  <c r="AM123" i="67"/>
  <c r="AM122" i="67"/>
  <c r="AM118" i="67"/>
  <c r="AM117" i="67"/>
  <c r="AM115" i="67"/>
  <c r="AM114" i="67"/>
  <c r="AM113" i="67"/>
  <c r="AM112" i="67"/>
  <c r="AM111" i="67"/>
  <c r="AM110" i="67"/>
  <c r="AM109" i="67"/>
  <c r="AM108" i="67"/>
  <c r="AM106" i="67"/>
  <c r="AM105" i="67"/>
  <c r="AM103" i="67"/>
  <c r="AM102" i="67"/>
  <c r="AM101" i="67"/>
  <c r="AM100" i="67"/>
  <c r="AM99" i="67"/>
  <c r="AM98" i="67"/>
  <c r="AM97" i="67"/>
  <c r="AM96" i="67"/>
  <c r="AM91" i="67"/>
  <c r="AM90" i="67"/>
  <c r="AM88" i="67"/>
  <c r="AM87" i="67"/>
  <c r="AM85" i="67"/>
  <c r="AM84" i="67"/>
  <c r="AM83" i="67"/>
  <c r="AM82" i="67"/>
  <c r="AM81" i="67"/>
  <c r="AM79" i="67"/>
  <c r="AM78" i="67"/>
  <c r="AM77" i="67"/>
  <c r="AM76" i="67"/>
  <c r="AM75" i="67"/>
  <c r="AM74" i="67"/>
  <c r="AM73" i="67"/>
  <c r="AM72" i="67"/>
  <c r="AM71" i="67"/>
  <c r="AM70" i="67"/>
  <c r="AM69" i="67"/>
  <c r="AM67" i="67"/>
  <c r="AM66" i="67"/>
  <c r="AM65" i="67"/>
  <c r="AM64" i="67"/>
  <c r="AM63" i="67"/>
  <c r="AM62" i="67"/>
  <c r="AM61" i="67"/>
  <c r="AM60" i="67"/>
  <c r="AM59" i="67"/>
  <c r="AM57" i="67"/>
  <c r="AM55" i="67"/>
  <c r="AM54" i="67"/>
  <c r="AM53" i="67"/>
  <c r="AM52" i="67"/>
  <c r="AM51" i="67"/>
  <c r="AM49" i="67"/>
  <c r="AM48" i="67"/>
  <c r="AM46" i="67"/>
  <c r="AM45" i="67"/>
  <c r="AM43" i="67"/>
  <c r="AM42" i="67"/>
  <c r="AM41" i="67"/>
  <c r="AM40" i="67"/>
  <c r="AM39" i="67"/>
  <c r="AM38" i="67"/>
  <c r="AM37" i="67"/>
  <c r="AM34" i="67"/>
  <c r="AM33" i="67"/>
  <c r="AM32" i="67"/>
  <c r="AM31" i="67"/>
  <c r="AM30" i="67"/>
  <c r="AM29" i="67"/>
  <c r="AM28" i="67"/>
  <c r="AM27" i="67"/>
  <c r="AM26" i="67"/>
  <c r="AM25" i="67"/>
  <c r="AM24" i="67"/>
  <c r="AM19" i="67"/>
  <c r="AM18" i="67"/>
  <c r="AM16" i="67"/>
  <c r="AM15" i="67"/>
  <c r="AL20" i="67"/>
  <c r="AL32" i="67"/>
  <c r="AL44" i="67"/>
  <c r="AL68" i="67"/>
  <c r="AL80" i="67"/>
  <c r="AL92" i="67"/>
  <c r="AL104" i="67"/>
  <c r="AL116" i="67"/>
  <c r="AL130" i="67"/>
  <c r="AL142" i="67"/>
  <c r="AL144" i="67"/>
  <c r="AL143" i="67"/>
  <c r="AL141" i="67"/>
  <c r="AL140" i="67"/>
  <c r="AL139" i="67"/>
  <c r="AL138" i="67"/>
  <c r="AL137" i="67"/>
  <c r="AL136" i="67"/>
  <c r="AL135" i="67"/>
  <c r="AL134" i="67"/>
  <c r="AL132" i="67"/>
  <c r="AL131" i="67"/>
  <c r="AL129" i="67"/>
  <c r="AL128" i="67"/>
  <c r="AL127" i="67"/>
  <c r="AL126" i="67"/>
  <c r="AL125" i="67"/>
  <c r="AL124" i="67"/>
  <c r="AL123" i="67"/>
  <c r="AL122" i="67"/>
  <c r="AL118" i="67"/>
  <c r="AL117" i="67"/>
  <c r="AL115" i="67"/>
  <c r="AL114" i="67"/>
  <c r="AL113" i="67"/>
  <c r="AL112" i="67"/>
  <c r="AL111" i="67"/>
  <c r="AL110" i="67"/>
  <c r="AL109" i="67"/>
  <c r="AL108" i="67"/>
  <c r="AL106" i="67"/>
  <c r="AL105" i="67"/>
  <c r="AL103" i="67"/>
  <c r="AL102" i="67"/>
  <c r="AL101" i="67"/>
  <c r="AL100" i="67"/>
  <c r="AL99" i="67"/>
  <c r="AL98" i="67"/>
  <c r="AL97" i="67"/>
  <c r="AL96" i="67"/>
  <c r="AL94" i="67"/>
  <c r="AL93" i="67"/>
  <c r="AL91" i="67"/>
  <c r="AL90" i="67"/>
  <c r="AL89" i="67"/>
  <c r="AL88" i="67"/>
  <c r="AL87" i="67"/>
  <c r="AL86" i="67"/>
  <c r="AL85" i="67"/>
  <c r="AL84" i="67"/>
  <c r="AL83" i="67"/>
  <c r="AL82" i="67"/>
  <c r="AL81" i="67"/>
  <c r="AL79" i="67"/>
  <c r="AL78" i="67"/>
  <c r="AL77" i="67"/>
  <c r="AL76" i="67"/>
  <c r="AL75" i="67"/>
  <c r="AL74" i="67"/>
  <c r="AL73" i="67"/>
  <c r="AL72" i="67"/>
  <c r="AL71" i="67"/>
  <c r="AL70" i="67"/>
  <c r="AL69" i="67"/>
  <c r="AL67" i="67"/>
  <c r="AL66" i="67"/>
  <c r="AL65" i="67"/>
  <c r="AL64" i="67"/>
  <c r="AL63" i="67"/>
  <c r="AL62" i="67"/>
  <c r="AL61" i="67"/>
  <c r="AL60" i="67"/>
  <c r="AL59" i="67"/>
  <c r="AL58" i="67"/>
  <c r="AL57" i="67"/>
  <c r="AL55" i="67"/>
  <c r="AL54" i="67"/>
  <c r="AL53" i="67"/>
  <c r="AL52" i="67"/>
  <c r="AL51" i="67"/>
  <c r="AL50" i="67"/>
  <c r="AL49" i="67"/>
  <c r="AL48" i="67"/>
  <c r="AL46" i="67"/>
  <c r="AL45" i="67"/>
  <c r="AL43" i="67"/>
  <c r="AL42" i="67"/>
  <c r="AL41" i="67"/>
  <c r="AL40" i="67"/>
  <c r="AL39" i="67"/>
  <c r="AL38" i="67"/>
  <c r="AL37" i="67"/>
  <c r="AL36" i="67"/>
  <c r="AL34" i="67"/>
  <c r="AL33" i="67"/>
  <c r="AL31" i="67"/>
  <c r="AL30" i="67"/>
  <c r="AL29" i="67"/>
  <c r="AL28" i="67"/>
  <c r="AL27" i="67"/>
  <c r="AL26" i="67"/>
  <c r="AL25" i="67"/>
  <c r="AL24" i="67"/>
  <c r="AL22" i="67"/>
  <c r="AL21" i="67"/>
  <c r="AL19" i="67"/>
  <c r="AL18" i="67"/>
  <c r="AL17" i="67"/>
  <c r="AL16" i="67"/>
  <c r="AL15" i="67"/>
  <c r="AL14" i="67"/>
  <c r="AL13" i="67"/>
  <c r="AL12" i="67"/>
  <c r="AP108" i="66"/>
  <c r="AP107" i="66"/>
  <c r="AP105" i="66"/>
  <c r="AP104" i="66"/>
  <c r="AP103" i="66"/>
  <c r="AP102" i="66"/>
  <c r="AP101" i="66"/>
  <c r="AP100" i="66"/>
  <c r="AP99" i="66"/>
  <c r="AP98" i="66"/>
  <c r="AP96" i="66"/>
  <c r="AP95" i="66"/>
  <c r="AP93" i="66"/>
  <c r="AP92" i="66"/>
  <c r="AP91" i="66"/>
  <c r="AP90" i="66"/>
  <c r="AP89" i="66"/>
  <c r="AP88" i="66"/>
  <c r="AP87" i="66"/>
  <c r="AP86" i="66"/>
  <c r="AP84" i="66"/>
  <c r="AP83" i="66"/>
  <c r="AP81" i="66"/>
  <c r="AP80" i="66"/>
  <c r="AP79" i="66"/>
  <c r="AP78" i="66"/>
  <c r="AP77" i="66"/>
  <c r="AP76" i="66"/>
  <c r="AP75" i="66"/>
  <c r="AP74" i="66"/>
  <c r="AP72" i="66"/>
  <c r="AP71" i="66"/>
  <c r="AP69" i="66"/>
  <c r="AP68" i="66"/>
  <c r="AP67" i="66"/>
  <c r="AP66" i="66"/>
  <c r="AP65" i="66"/>
  <c r="AP64" i="66"/>
  <c r="AP63" i="66"/>
  <c r="AP62" i="66"/>
  <c r="AP58" i="66"/>
  <c r="AP57" i="66"/>
  <c r="AP55" i="66"/>
  <c r="AP54" i="66"/>
  <c r="AP53" i="66"/>
  <c r="AP52" i="66"/>
  <c r="AP51" i="66"/>
  <c r="AP50" i="66"/>
  <c r="AP49" i="66"/>
  <c r="AP48" i="66"/>
  <c r="AP46" i="66"/>
  <c r="AP45" i="66"/>
  <c r="AP43" i="66"/>
  <c r="AP42" i="66"/>
  <c r="AP41" i="66"/>
  <c r="AP40" i="66"/>
  <c r="AP39" i="66"/>
  <c r="AP38" i="66"/>
  <c r="AP37" i="66"/>
  <c r="AP36" i="66"/>
  <c r="AP34" i="66"/>
  <c r="AP33" i="66"/>
  <c r="AP31" i="66"/>
  <c r="AP30" i="66"/>
  <c r="AP29" i="66"/>
  <c r="AP28" i="66"/>
  <c r="AP27" i="66"/>
  <c r="AP26" i="66"/>
  <c r="AP25" i="66"/>
  <c r="AP24" i="66"/>
  <c r="AP22" i="66"/>
  <c r="AP19" i="66"/>
  <c r="AP18" i="66"/>
  <c r="AP17" i="66"/>
  <c r="AP16" i="66"/>
  <c r="AP15" i="66"/>
  <c r="AP14" i="66"/>
  <c r="AP13" i="66"/>
  <c r="AP12" i="66"/>
  <c r="AO20" i="66"/>
  <c r="AO32" i="66"/>
  <c r="AO56" i="66"/>
  <c r="AO70" i="66"/>
  <c r="AO82" i="66"/>
  <c r="AO106" i="66"/>
  <c r="AO108" i="66"/>
  <c r="AO107" i="66"/>
  <c r="AO105" i="66"/>
  <c r="AO104" i="66"/>
  <c r="AO103" i="66"/>
  <c r="AO102" i="66"/>
  <c r="AO101" i="66"/>
  <c r="AO100" i="66"/>
  <c r="AO99" i="66"/>
  <c r="AO98" i="66"/>
  <c r="AO96" i="66"/>
  <c r="AO95" i="66"/>
  <c r="AO93" i="66"/>
  <c r="AO92" i="66"/>
  <c r="AO91" i="66"/>
  <c r="AO90" i="66"/>
  <c r="AO89" i="66"/>
  <c r="AO88" i="66"/>
  <c r="AO87" i="66"/>
  <c r="AO86" i="66"/>
  <c r="AO84" i="66"/>
  <c r="AO83" i="66"/>
  <c r="AO81" i="66"/>
  <c r="AO80" i="66"/>
  <c r="AO79" i="66"/>
  <c r="AO78" i="66"/>
  <c r="AO77" i="66"/>
  <c r="AO76" i="66"/>
  <c r="AO75" i="66"/>
  <c r="AO74" i="66"/>
  <c r="AO72" i="66"/>
  <c r="AO71" i="66"/>
  <c r="AO69" i="66"/>
  <c r="AO68" i="66"/>
  <c r="AO67" i="66"/>
  <c r="AO66" i="66"/>
  <c r="AO65" i="66"/>
  <c r="AO64" i="66"/>
  <c r="AO63" i="66"/>
  <c r="AO62" i="66"/>
  <c r="AO58" i="66"/>
  <c r="AO57" i="66"/>
  <c r="AO55" i="66"/>
  <c r="AO54" i="66"/>
  <c r="AO53" i="66"/>
  <c r="AO52" i="66"/>
  <c r="AO51" i="66"/>
  <c r="AO50" i="66"/>
  <c r="AO49" i="66"/>
  <c r="AO48" i="66"/>
  <c r="AO46" i="66"/>
  <c r="AO45" i="66"/>
  <c r="AO43" i="66"/>
  <c r="AO42" i="66"/>
  <c r="AO41" i="66"/>
  <c r="AO40" i="66"/>
  <c r="AO39" i="66"/>
  <c r="AO38" i="66"/>
  <c r="AO37" i="66"/>
  <c r="AO36" i="66"/>
  <c r="AO34" i="66"/>
  <c r="AO33" i="66"/>
  <c r="AO31" i="66"/>
  <c r="AO30" i="66"/>
  <c r="AO29" i="66"/>
  <c r="AO28" i="66"/>
  <c r="AO27" i="66"/>
  <c r="AO26" i="66"/>
  <c r="AO25" i="66"/>
  <c r="AO24" i="66"/>
  <c r="AO22" i="66"/>
  <c r="AO21" i="66"/>
  <c r="AO19" i="66"/>
  <c r="AO18" i="66"/>
  <c r="AO17" i="66"/>
  <c r="AO16" i="66"/>
  <c r="AO15" i="66"/>
  <c r="AO14" i="66"/>
  <c r="AO13" i="66"/>
  <c r="AO12" i="66"/>
  <c r="AM108" i="66"/>
  <c r="AM107" i="66"/>
  <c r="AM105" i="66"/>
  <c r="AM104" i="66"/>
  <c r="AM103" i="66"/>
  <c r="AM102" i="66"/>
  <c r="AM101" i="66"/>
  <c r="AM100" i="66"/>
  <c r="AM99" i="66"/>
  <c r="AM98" i="66"/>
  <c r="AM96" i="66"/>
  <c r="AM95" i="66"/>
  <c r="AM93" i="66"/>
  <c r="AM92" i="66"/>
  <c r="AM91" i="66"/>
  <c r="AM90" i="66"/>
  <c r="AM89" i="66"/>
  <c r="AM88" i="66"/>
  <c r="AM87" i="66"/>
  <c r="AM86" i="66"/>
  <c r="AM84" i="66"/>
  <c r="AM83" i="66"/>
  <c r="AM81" i="66"/>
  <c r="AM80" i="66"/>
  <c r="AM79" i="66"/>
  <c r="AM78" i="66"/>
  <c r="AM77" i="66"/>
  <c r="AM76" i="66"/>
  <c r="AM75" i="66"/>
  <c r="AM74" i="66"/>
  <c r="AM72" i="66"/>
  <c r="AM71" i="66"/>
  <c r="AM69" i="66"/>
  <c r="AM68" i="66"/>
  <c r="AM67" i="66"/>
  <c r="AM66" i="66"/>
  <c r="AM65" i="66"/>
  <c r="AM64" i="66"/>
  <c r="AM63" i="66"/>
  <c r="AM62" i="66"/>
  <c r="AM58" i="66"/>
  <c r="AM57" i="66"/>
  <c r="AM55" i="66"/>
  <c r="AM54" i="66"/>
  <c r="AM53" i="66"/>
  <c r="AM52" i="66"/>
  <c r="AM51" i="66"/>
  <c r="AM50" i="66"/>
  <c r="AM49" i="66"/>
  <c r="AM48" i="66"/>
  <c r="AM46" i="66"/>
  <c r="AM45" i="66"/>
  <c r="AM43" i="66"/>
  <c r="AM42" i="66"/>
  <c r="AM41" i="66"/>
  <c r="AM40" i="66"/>
  <c r="AM39" i="66"/>
  <c r="AM38" i="66"/>
  <c r="AM37" i="66"/>
  <c r="AM36" i="66"/>
  <c r="AM34" i="66"/>
  <c r="AM33" i="66"/>
  <c r="AM31" i="66"/>
  <c r="AM30" i="66"/>
  <c r="AM29" i="66"/>
  <c r="AM28" i="66"/>
  <c r="AM27" i="66"/>
  <c r="AM26" i="66"/>
  <c r="AM25" i="66"/>
  <c r="AM24" i="66"/>
  <c r="AM22" i="66"/>
  <c r="AM19" i="66"/>
  <c r="AM18" i="66"/>
  <c r="AM17" i="66"/>
  <c r="AM16" i="66"/>
  <c r="AM15" i="66"/>
  <c r="AM14" i="66"/>
  <c r="AM13" i="66"/>
  <c r="AM12" i="66"/>
  <c r="AL32" i="66"/>
  <c r="AL56" i="66"/>
  <c r="AL70" i="66"/>
  <c r="AL82" i="66"/>
  <c r="AL108" i="66"/>
  <c r="AL106" i="66"/>
  <c r="AL107" i="66"/>
  <c r="AL105" i="66"/>
  <c r="AL104" i="66"/>
  <c r="AL103" i="66"/>
  <c r="AL102" i="66"/>
  <c r="AL101" i="66"/>
  <c r="AL100" i="66"/>
  <c r="AL99" i="66"/>
  <c r="AL98" i="66"/>
  <c r="AL96" i="66"/>
  <c r="AL95" i="66"/>
  <c r="AL93" i="66"/>
  <c r="AL92" i="66"/>
  <c r="AL91" i="66"/>
  <c r="AL90" i="66"/>
  <c r="AL89" i="66"/>
  <c r="AL88" i="66"/>
  <c r="AL87" i="66"/>
  <c r="AL86" i="66"/>
  <c r="AL84" i="66"/>
  <c r="AL83" i="66"/>
  <c r="AL81" i="66"/>
  <c r="AL80" i="66"/>
  <c r="AL79" i="66"/>
  <c r="AL78" i="66"/>
  <c r="AL77" i="66"/>
  <c r="AL76" i="66"/>
  <c r="AL75" i="66"/>
  <c r="AL74" i="66"/>
  <c r="AL72" i="66"/>
  <c r="AL71" i="66"/>
  <c r="AL69" i="66"/>
  <c r="AL68" i="66"/>
  <c r="AL67" i="66"/>
  <c r="AL66" i="66"/>
  <c r="AL65" i="66"/>
  <c r="AL64" i="66"/>
  <c r="AL63" i="66"/>
  <c r="AL62" i="66"/>
  <c r="AL58" i="66"/>
  <c r="AL57" i="66"/>
  <c r="AL55" i="66"/>
  <c r="AL54" i="66"/>
  <c r="AL53" i="66"/>
  <c r="AL52" i="66"/>
  <c r="AL51" i="66"/>
  <c r="AL50" i="66"/>
  <c r="AL49" i="66"/>
  <c r="AL48" i="66"/>
  <c r="AL46" i="66"/>
  <c r="AL45" i="66"/>
  <c r="AL43" i="66"/>
  <c r="AL42" i="66"/>
  <c r="AL41" i="66"/>
  <c r="AL40" i="66"/>
  <c r="AL39" i="66"/>
  <c r="AL38" i="66"/>
  <c r="AL37" i="66"/>
  <c r="AL36" i="66"/>
  <c r="AL34" i="66"/>
  <c r="AL33" i="66"/>
  <c r="AL31" i="66"/>
  <c r="AL30" i="66"/>
  <c r="AL29" i="66"/>
  <c r="AL28" i="66"/>
  <c r="AL27" i="66"/>
  <c r="AL26" i="66"/>
  <c r="AL25" i="66"/>
  <c r="AL24" i="66"/>
  <c r="AL22" i="66"/>
  <c r="AL21" i="66"/>
  <c r="AL20" i="66"/>
  <c r="AL19" i="66"/>
  <c r="AL18" i="66"/>
  <c r="AL17" i="66"/>
  <c r="AL16" i="66"/>
  <c r="AL15" i="66"/>
  <c r="AL14" i="66"/>
  <c r="AL13" i="66"/>
  <c r="AL12" i="66"/>
  <c r="AP20" i="65" l="1"/>
  <c r="AP17" i="65"/>
  <c r="AP16" i="65"/>
  <c r="AP15" i="65"/>
  <c r="AP13" i="65"/>
  <c r="AP12" i="65"/>
  <c r="AO20" i="65"/>
  <c r="AO19" i="65"/>
  <c r="AO17" i="65"/>
  <c r="AO16" i="65"/>
  <c r="AO15" i="65"/>
  <c r="AO13" i="65"/>
  <c r="AO12" i="65"/>
  <c r="AO11" i="65"/>
  <c r="AM53" i="65"/>
  <c r="AM50" i="65"/>
  <c r="AM49" i="65"/>
  <c r="AM44" i="65"/>
  <c r="AM39" i="65"/>
  <c r="AM38" i="65"/>
  <c r="AM37" i="65"/>
  <c r="AM33" i="65"/>
  <c r="AM32" i="65"/>
  <c r="AM31" i="65"/>
  <c r="AM30" i="65"/>
  <c r="AM28" i="65"/>
  <c r="AM27" i="65"/>
  <c r="AM26" i="65"/>
  <c r="AM24" i="65"/>
  <c r="AM20" i="65"/>
  <c r="AM17" i="65"/>
  <c r="AM16" i="65"/>
  <c r="AM15" i="65"/>
  <c r="AM13" i="65"/>
  <c r="AM12" i="65"/>
  <c r="AL55" i="65"/>
  <c r="AL53" i="65"/>
  <c r="AN53" i="65" s="1"/>
  <c r="AL50" i="65"/>
  <c r="AL49" i="65"/>
  <c r="AL44" i="65"/>
  <c r="AL42" i="65"/>
  <c r="AL39" i="65"/>
  <c r="AL38" i="65"/>
  <c r="AL37" i="65"/>
  <c r="AL33" i="65"/>
  <c r="AL32" i="65"/>
  <c r="AL31" i="65"/>
  <c r="AL30" i="65"/>
  <c r="AL28" i="65"/>
  <c r="AL27" i="65"/>
  <c r="AL26" i="65"/>
  <c r="AL25" i="65"/>
  <c r="AL24" i="65"/>
  <c r="AL23" i="65"/>
  <c r="AL20" i="65"/>
  <c r="AL19" i="65"/>
  <c r="AL17" i="65"/>
  <c r="AL16" i="65"/>
  <c r="AL15" i="65"/>
  <c r="AL13" i="65"/>
  <c r="AL12" i="65"/>
  <c r="AL11" i="65"/>
  <c r="AH55" i="65"/>
  <c r="AE57" i="65"/>
  <c r="AE56" i="65"/>
  <c r="AE55" i="65"/>
  <c r="AB55" i="65"/>
  <c r="Y57" i="65"/>
  <c r="Y56" i="65"/>
  <c r="V56" i="65"/>
  <c r="M55" i="65"/>
  <c r="J55" i="65"/>
  <c r="D55" i="65"/>
  <c r="AN49" i="65" l="1"/>
  <c r="AN50" i="65"/>
  <c r="D52" i="39"/>
  <c r="D51" i="39"/>
  <c r="D54" i="33"/>
  <c r="D53" i="33"/>
  <c r="D52" i="33"/>
  <c r="D51" i="33"/>
  <c r="D51" i="13"/>
  <c r="R16" i="71" l="1"/>
  <c r="AA35" i="71" l="1"/>
  <c r="AA16" i="71"/>
  <c r="AA39" i="70"/>
  <c r="Z39" i="70"/>
  <c r="AA37" i="70"/>
  <c r="Z37" i="70"/>
  <c r="AA36" i="70"/>
  <c r="Z36" i="70"/>
  <c r="Z35" i="70"/>
  <c r="AA31" i="70"/>
  <c r="AA11" i="70"/>
  <c r="AA35" i="70" s="1"/>
  <c r="AD54" i="69"/>
  <c r="AC54" i="69"/>
  <c r="AD53" i="69"/>
  <c r="AC53" i="69"/>
  <c r="AD51" i="69"/>
  <c r="AC51" i="69"/>
  <c r="AD50" i="69"/>
  <c r="AC50" i="69"/>
  <c r="AD49" i="69"/>
  <c r="AC49" i="69"/>
  <c r="AD48" i="69"/>
  <c r="AC48" i="69"/>
  <c r="AC47" i="69"/>
  <c r="AD41" i="69"/>
  <c r="AD35" i="69"/>
  <c r="AD23" i="69"/>
  <c r="AD11" i="69"/>
  <c r="AG85" i="62"/>
  <c r="AG79" i="62"/>
  <c r="AG54" i="62"/>
  <c r="AG39" i="62"/>
  <c r="AG35" i="62"/>
  <c r="AG20" i="62"/>
  <c r="AG16" i="62"/>
  <c r="AG27" i="62" s="1"/>
  <c r="AG29" i="62" s="1"/>
  <c r="AG32" i="68"/>
  <c r="AG20" i="68"/>
  <c r="AG104" i="67"/>
  <c r="AG92" i="67"/>
  <c r="AG80" i="67"/>
  <c r="AG68" i="67"/>
  <c r="AG56" i="67"/>
  <c r="AG44" i="67"/>
  <c r="AG20" i="67"/>
  <c r="AG106" i="66"/>
  <c r="AG94" i="66"/>
  <c r="AG82" i="66"/>
  <c r="AG70" i="66"/>
  <c r="AG56" i="66"/>
  <c r="AG44" i="66"/>
  <c r="AG32" i="66"/>
  <c r="AG20" i="66"/>
  <c r="AG56" i="65"/>
  <c r="AH56" i="65" s="1"/>
  <c r="AG40" i="65"/>
  <c r="AG29" i="65"/>
  <c r="AG21" i="65"/>
  <c r="AG14" i="65"/>
  <c r="AG60" i="62" l="1"/>
  <c r="AG91" i="62"/>
  <c r="AG34" i="65"/>
  <c r="AG41" i="65" s="1"/>
  <c r="AG43" i="65" s="1"/>
  <c r="AG45" i="65" s="1"/>
  <c r="AG57" i="65"/>
  <c r="AH57" i="65" s="1"/>
  <c r="AG45" i="62"/>
  <c r="AD47" i="69"/>
  <c r="R35" i="71"/>
  <c r="R39" i="70"/>
  <c r="Q39" i="70"/>
  <c r="Q35" i="70"/>
  <c r="R31" i="70"/>
  <c r="R11" i="70"/>
  <c r="U54" i="69"/>
  <c r="T54" i="69"/>
  <c r="U51" i="69"/>
  <c r="T51" i="69"/>
  <c r="T47" i="69"/>
  <c r="U41" i="69"/>
  <c r="U35" i="69"/>
  <c r="U11" i="69"/>
  <c r="U47" i="69" s="1"/>
  <c r="U85" i="62"/>
  <c r="U79" i="62"/>
  <c r="U91" i="62" s="1"/>
  <c r="U54" i="62"/>
  <c r="U39" i="62"/>
  <c r="U35" i="62"/>
  <c r="U20" i="62"/>
  <c r="U16" i="62"/>
  <c r="U46" i="68"/>
  <c r="U104" i="67"/>
  <c r="V104" i="67" s="1"/>
  <c r="U92" i="67"/>
  <c r="V92" i="67" s="1"/>
  <c r="U56" i="67"/>
  <c r="U20" i="67"/>
  <c r="U56" i="65"/>
  <c r="U51" i="65"/>
  <c r="U40" i="65"/>
  <c r="U29" i="65"/>
  <c r="U21" i="65"/>
  <c r="U14" i="65"/>
  <c r="U27" i="62" l="1"/>
  <c r="U29" i="62" s="1"/>
  <c r="V16" i="62"/>
  <c r="AG62" i="62"/>
  <c r="AG64" i="62" s="1"/>
  <c r="U57" i="65"/>
  <c r="V57" i="65" s="1"/>
  <c r="V51" i="65"/>
  <c r="U60" i="62"/>
  <c r="U34" i="65"/>
  <c r="U41" i="65" s="1"/>
  <c r="U43" i="65" s="1"/>
  <c r="U45" i="65" s="1"/>
  <c r="R35" i="70"/>
  <c r="U45" i="62"/>
  <c r="X39" i="70"/>
  <c r="W39" i="70"/>
  <c r="X37" i="70"/>
  <c r="W37" i="70"/>
  <c r="X36" i="70"/>
  <c r="W36" i="70"/>
  <c r="W35" i="70"/>
  <c r="X11" i="70"/>
  <c r="O51" i="69"/>
  <c r="N51" i="69"/>
  <c r="N50" i="69"/>
  <c r="N49" i="69"/>
  <c r="N48" i="69"/>
  <c r="N47" i="69"/>
  <c r="O11" i="69"/>
  <c r="AD85" i="62"/>
  <c r="AD54" i="62"/>
  <c r="O79" i="62"/>
  <c r="O20" i="68"/>
  <c r="AD56" i="67"/>
  <c r="AE56" i="67" s="1"/>
  <c r="AD106" i="66"/>
  <c r="AD56" i="66"/>
  <c r="AD32" i="66"/>
  <c r="AD20" i="66"/>
  <c r="O44" i="66"/>
  <c r="AD56" i="65"/>
  <c r="AD40" i="65"/>
  <c r="AD21" i="65"/>
  <c r="AD14" i="65"/>
  <c r="O40" i="65"/>
  <c r="O29" i="65"/>
  <c r="O21" i="65"/>
  <c r="O14" i="65"/>
  <c r="O47" i="69" l="1"/>
  <c r="P11" i="69"/>
  <c r="X35" i="70"/>
  <c r="AD29" i="62"/>
  <c r="AD34" i="65"/>
  <c r="AD41" i="65" s="1"/>
  <c r="AD43" i="65" s="1"/>
  <c r="AD45" i="65" s="1"/>
  <c r="O91" i="62"/>
  <c r="U62" i="62"/>
  <c r="U64" i="62" s="1"/>
  <c r="AD57" i="65"/>
  <c r="O46" i="68"/>
  <c r="AD46" i="68"/>
  <c r="AD91" i="62"/>
  <c r="O34" i="65"/>
  <c r="O41" i="65" s="1"/>
  <c r="O43" i="65" s="1"/>
  <c r="O45" i="65" s="1"/>
  <c r="AD60" i="62"/>
  <c r="AD62" i="62" s="1"/>
  <c r="I39" i="70"/>
  <c r="H39" i="70"/>
  <c r="I37" i="70"/>
  <c r="H37" i="70"/>
  <c r="I36" i="70"/>
  <c r="H36" i="70"/>
  <c r="J36" i="70" s="1"/>
  <c r="H35" i="70"/>
  <c r="I11" i="70"/>
  <c r="I54" i="69"/>
  <c r="H54" i="69"/>
  <c r="I53" i="69"/>
  <c r="H53" i="69"/>
  <c r="I51" i="69"/>
  <c r="H51" i="69"/>
  <c r="I50" i="69"/>
  <c r="H50" i="69"/>
  <c r="I49" i="69"/>
  <c r="H49" i="69"/>
  <c r="I48" i="69"/>
  <c r="H48" i="69"/>
  <c r="H47" i="69"/>
  <c r="I35" i="69"/>
  <c r="I23" i="69"/>
  <c r="I11" i="69"/>
  <c r="H91" i="62"/>
  <c r="I85" i="62"/>
  <c r="I79" i="62"/>
  <c r="I91" i="62" s="1"/>
  <c r="I54" i="62"/>
  <c r="I39" i="62"/>
  <c r="I35" i="62"/>
  <c r="J35" i="62" s="1"/>
  <c r="H29" i="62"/>
  <c r="I20" i="62"/>
  <c r="I16" i="62"/>
  <c r="J16" i="62" s="1"/>
  <c r="I48" i="68"/>
  <c r="I43" i="68"/>
  <c r="H43" i="68"/>
  <c r="I40" i="68"/>
  <c r="H40" i="68"/>
  <c r="I38" i="68"/>
  <c r="H38" i="68"/>
  <c r="I32" i="68"/>
  <c r="H32" i="68"/>
  <c r="I20" i="68"/>
  <c r="H20" i="68"/>
  <c r="I56" i="67"/>
  <c r="H56" i="67"/>
  <c r="I94" i="66"/>
  <c r="H94" i="66"/>
  <c r="I44" i="66"/>
  <c r="H44" i="66"/>
  <c r="I56" i="65"/>
  <c r="H56" i="65"/>
  <c r="I51" i="65"/>
  <c r="AM51" i="65" s="1"/>
  <c r="H51" i="65"/>
  <c r="AL51" i="65" s="1"/>
  <c r="H43" i="65"/>
  <c r="I40" i="65"/>
  <c r="H34" i="65"/>
  <c r="I29" i="65"/>
  <c r="I21" i="65"/>
  <c r="I14" i="65"/>
  <c r="AO20" i="68" l="1"/>
  <c r="AL20" i="68"/>
  <c r="AO32" i="68"/>
  <c r="AL32" i="68"/>
  <c r="AL56" i="67"/>
  <c r="AO56" i="67"/>
  <c r="AO44" i="66"/>
  <c r="AL44" i="66"/>
  <c r="AL94" i="66"/>
  <c r="AO94" i="66"/>
  <c r="H64" i="62"/>
  <c r="AD64" i="62"/>
  <c r="O29" i="62"/>
  <c r="H45" i="65"/>
  <c r="J56" i="65"/>
  <c r="AL56" i="65"/>
  <c r="I47" i="69"/>
  <c r="I45" i="62"/>
  <c r="I57" i="65"/>
  <c r="H57" i="65"/>
  <c r="AL57" i="65" s="1"/>
  <c r="J51" i="65"/>
  <c r="I60" i="62"/>
  <c r="I62" i="62" s="1"/>
  <c r="I46" i="68"/>
  <c r="I27" i="62"/>
  <c r="I29" i="62" s="1"/>
  <c r="I34" i="65"/>
  <c r="I41" i="65" s="1"/>
  <c r="I43" i="65" s="1"/>
  <c r="I45" i="65" s="1"/>
  <c r="I35" i="70"/>
  <c r="C39" i="70"/>
  <c r="B39" i="70"/>
  <c r="C37" i="70"/>
  <c r="B37" i="70"/>
  <c r="C36" i="70"/>
  <c r="B36" i="70"/>
  <c r="B35" i="70"/>
  <c r="C31" i="70"/>
  <c r="C11" i="70"/>
  <c r="O64" i="62" l="1"/>
  <c r="J57" i="65"/>
  <c r="I64" i="62"/>
  <c r="C35" i="70"/>
  <c r="F35" i="71"/>
  <c r="F16" i="71"/>
  <c r="C16" i="71"/>
  <c r="C35" i="71"/>
  <c r="E39" i="70"/>
  <c r="F37" i="70"/>
  <c r="E37" i="70"/>
  <c r="F36" i="70"/>
  <c r="E36" i="70"/>
  <c r="E35" i="70"/>
  <c r="F31" i="70"/>
  <c r="F14" i="70"/>
  <c r="F54" i="69"/>
  <c r="E54" i="69"/>
  <c r="E53" i="69"/>
  <c r="F52" i="69"/>
  <c r="E52" i="69"/>
  <c r="F51" i="69"/>
  <c r="E51" i="69"/>
  <c r="E50" i="69"/>
  <c r="F49" i="69"/>
  <c r="E49" i="69"/>
  <c r="F48" i="69"/>
  <c r="E48" i="69"/>
  <c r="E47" i="69"/>
  <c r="F41" i="69"/>
  <c r="F35" i="69"/>
  <c r="F34" i="69"/>
  <c r="F30" i="69"/>
  <c r="F22" i="69"/>
  <c r="F18" i="69"/>
  <c r="AJ18" i="69" s="1"/>
  <c r="F88" i="62"/>
  <c r="F85" i="62"/>
  <c r="F79" i="62"/>
  <c r="F54" i="62"/>
  <c r="F39" i="62"/>
  <c r="F35" i="62"/>
  <c r="F28" i="62"/>
  <c r="F20" i="62"/>
  <c r="F16" i="62"/>
  <c r="F32" i="68"/>
  <c r="F20" i="68"/>
  <c r="F104" i="67"/>
  <c r="F92" i="67"/>
  <c r="F56" i="67"/>
  <c r="F22" i="67"/>
  <c r="F21" i="67"/>
  <c r="F17" i="67"/>
  <c r="F14" i="67"/>
  <c r="F13" i="67"/>
  <c r="F12" i="67"/>
  <c r="F106" i="66"/>
  <c r="F82" i="66"/>
  <c r="F70" i="66"/>
  <c r="F56" i="66"/>
  <c r="F32" i="66"/>
  <c r="F20" i="66"/>
  <c r="F55" i="65"/>
  <c r="F40" i="65"/>
  <c r="F29" i="65"/>
  <c r="F21" i="65"/>
  <c r="F14" i="65"/>
  <c r="F11" i="70" l="1"/>
  <c r="F50" i="69"/>
  <c r="F53" i="69"/>
  <c r="G22" i="69"/>
  <c r="AJ22" i="69"/>
  <c r="F23" i="69"/>
  <c r="G34" i="69"/>
  <c r="AJ34" i="69"/>
  <c r="AP13" i="67"/>
  <c r="AM13" i="67"/>
  <c r="G16" i="62"/>
  <c r="AP88" i="62"/>
  <c r="AM88" i="62"/>
  <c r="F56" i="65"/>
  <c r="G56" i="65" s="1"/>
  <c r="G55" i="65"/>
  <c r="F45" i="62"/>
  <c r="F57" i="65"/>
  <c r="G57" i="65" s="1"/>
  <c r="F11" i="69"/>
  <c r="F47" i="69" s="1"/>
  <c r="F34" i="65"/>
  <c r="F41" i="65" s="1"/>
  <c r="F43" i="65" s="1"/>
  <c r="F45" i="65" s="1"/>
  <c r="F27" i="62"/>
  <c r="F29" i="62" s="1"/>
  <c r="F20" i="67"/>
  <c r="F46" i="68" s="1"/>
  <c r="F60" i="62"/>
  <c r="F91" i="62"/>
  <c r="F39" i="70"/>
  <c r="U35" i="71"/>
  <c r="U16" i="71"/>
  <c r="U39" i="70"/>
  <c r="T39" i="70"/>
  <c r="U37" i="70"/>
  <c r="T37" i="70"/>
  <c r="U36" i="70"/>
  <c r="T36" i="70"/>
  <c r="T35" i="70"/>
  <c r="U16" i="70"/>
  <c r="U11" i="70"/>
  <c r="X54" i="69"/>
  <c r="W54" i="69"/>
  <c r="X53" i="69"/>
  <c r="W53" i="69"/>
  <c r="X51" i="69"/>
  <c r="W51" i="69"/>
  <c r="X49" i="69"/>
  <c r="W49" i="69"/>
  <c r="X48" i="69"/>
  <c r="W48" i="69"/>
  <c r="W47" i="69"/>
  <c r="X41" i="69"/>
  <c r="X35" i="69"/>
  <c r="X23" i="69"/>
  <c r="X11" i="69"/>
  <c r="X85" i="62"/>
  <c r="X79" i="62"/>
  <c r="X54" i="62"/>
  <c r="X39" i="62"/>
  <c r="X35" i="62"/>
  <c r="X20" i="62"/>
  <c r="X32" i="68"/>
  <c r="X104" i="67"/>
  <c r="X92" i="67"/>
  <c r="X56" i="67"/>
  <c r="X20" i="67"/>
  <c r="X106" i="66"/>
  <c r="X94" i="66"/>
  <c r="X82" i="66"/>
  <c r="X70" i="66"/>
  <c r="X56" i="66"/>
  <c r="X44" i="66"/>
  <c r="X32" i="66"/>
  <c r="AM32" i="66" s="1"/>
  <c r="X20" i="66"/>
  <c r="X56" i="65"/>
  <c r="X40" i="65"/>
  <c r="X29" i="65"/>
  <c r="X21" i="65"/>
  <c r="X14" i="65"/>
  <c r="F35" i="70" l="1"/>
  <c r="AP32" i="66"/>
  <c r="X27" i="62"/>
  <c r="X29" i="62" s="1"/>
  <c r="F62" i="62"/>
  <c r="F64" i="62" s="1"/>
  <c r="X46" i="68"/>
  <c r="X34" i="65"/>
  <c r="X41" i="65" s="1"/>
  <c r="X43" i="65" s="1"/>
  <c r="X45" i="65" s="1"/>
  <c r="X91" i="62"/>
  <c r="X45" i="62"/>
  <c r="X57" i="65"/>
  <c r="X47" i="69"/>
  <c r="U35" i="70"/>
  <c r="X60" i="62"/>
  <c r="X62" i="62" l="1"/>
  <c r="X64" i="62" s="1"/>
  <c r="AD35" i="71"/>
  <c r="AD16" i="71"/>
  <c r="AC39" i="70"/>
  <c r="AD37" i="70"/>
  <c r="AC37" i="70"/>
  <c r="AD36" i="70"/>
  <c r="AC36" i="70"/>
  <c r="AC35" i="70"/>
  <c r="AD18" i="70"/>
  <c r="AG18" i="70" s="1"/>
  <c r="AD17" i="70"/>
  <c r="AG17" i="70" s="1"/>
  <c r="AD14" i="70"/>
  <c r="AD11" i="70"/>
  <c r="AG54" i="69"/>
  <c r="AF54" i="69"/>
  <c r="AF53" i="69"/>
  <c r="AI53" i="69" s="1"/>
  <c r="AG52" i="69"/>
  <c r="AF52" i="69"/>
  <c r="AF51" i="69"/>
  <c r="AG50" i="69"/>
  <c r="AF50" i="69"/>
  <c r="AI50" i="69" s="1"/>
  <c r="AG49" i="69"/>
  <c r="AF49" i="69"/>
  <c r="AF48" i="69"/>
  <c r="AI48" i="69" s="1"/>
  <c r="AF47" i="69"/>
  <c r="AG43" i="69"/>
  <c r="AG35" i="69"/>
  <c r="AG33" i="69"/>
  <c r="AJ33" i="69" s="1"/>
  <c r="AG32" i="69"/>
  <c r="AJ32" i="69" s="1"/>
  <c r="AG30" i="69"/>
  <c r="AJ30" i="69" s="1"/>
  <c r="AG28" i="69"/>
  <c r="AJ28" i="69" s="1"/>
  <c r="AG27" i="69"/>
  <c r="AG25" i="69"/>
  <c r="AJ25" i="69" s="1"/>
  <c r="AG19" i="69"/>
  <c r="AG12" i="69"/>
  <c r="AJ85" i="62"/>
  <c r="AJ79" i="62"/>
  <c r="AJ54" i="62"/>
  <c r="AJ50" i="62"/>
  <c r="AJ39" i="62"/>
  <c r="AJ38" i="62"/>
  <c r="AJ28" i="62"/>
  <c r="AJ20" i="62"/>
  <c r="AJ19" i="62"/>
  <c r="AJ47" i="68"/>
  <c r="AJ32" i="68"/>
  <c r="AJ20" i="68"/>
  <c r="AJ130" i="67"/>
  <c r="AJ116" i="67"/>
  <c r="AJ104" i="67"/>
  <c r="AJ94" i="67"/>
  <c r="AJ93" i="67"/>
  <c r="AJ89" i="67"/>
  <c r="AJ86" i="67"/>
  <c r="AJ80" i="67"/>
  <c r="AJ68" i="67"/>
  <c r="AJ50" i="67"/>
  <c r="AJ56" i="67" s="1"/>
  <c r="AJ36" i="67"/>
  <c r="AJ20" i="67"/>
  <c r="AD19" i="70" l="1"/>
  <c r="AG19" i="70" s="1"/>
  <c r="AG14" i="70"/>
  <c r="AG31" i="69"/>
  <c r="AJ31" i="69" s="1"/>
  <c r="AJ19" i="69"/>
  <c r="AG48" i="69"/>
  <c r="AJ12" i="69"/>
  <c r="AG41" i="69"/>
  <c r="AJ43" i="69"/>
  <c r="AK68" i="67"/>
  <c r="AP68" i="67"/>
  <c r="AM68" i="67"/>
  <c r="AM93" i="67"/>
  <c r="AP93" i="67"/>
  <c r="AM94" i="67"/>
  <c r="AP94" i="67"/>
  <c r="AP116" i="67"/>
  <c r="AM116" i="67"/>
  <c r="AK80" i="67"/>
  <c r="AP80" i="67"/>
  <c r="AM80" i="67"/>
  <c r="AP89" i="67"/>
  <c r="AM89" i="67"/>
  <c r="AJ44" i="67"/>
  <c r="AP36" i="67"/>
  <c r="AM36" i="67"/>
  <c r="AP86" i="67"/>
  <c r="AM86" i="67"/>
  <c r="AJ16" i="62"/>
  <c r="AJ27" i="62" s="1"/>
  <c r="AJ29" i="62" s="1"/>
  <c r="AP19" i="62"/>
  <c r="AM19" i="62"/>
  <c r="AJ35" i="62"/>
  <c r="AM38" i="62"/>
  <c r="AP38" i="62"/>
  <c r="AK50" i="62"/>
  <c r="AM50" i="62"/>
  <c r="AP50" i="62"/>
  <c r="AJ45" i="62"/>
  <c r="AJ91" i="62"/>
  <c r="AJ92" i="67"/>
  <c r="AG24" i="69"/>
  <c r="AJ60" i="62"/>
  <c r="AJ62" i="62" s="1"/>
  <c r="AD39" i="70"/>
  <c r="AG11" i="69"/>
  <c r="AD35" i="70"/>
  <c r="AG51" i="69"/>
  <c r="AD16" i="70" l="1"/>
  <c r="AG23" i="69"/>
  <c r="AJ24" i="69"/>
  <c r="AG47" i="69"/>
  <c r="AP44" i="67"/>
  <c r="AM44" i="67"/>
  <c r="AJ64" i="62"/>
  <c r="AJ106" i="66"/>
  <c r="AJ70" i="66"/>
  <c r="AJ56" i="66"/>
  <c r="AJ44" i="66"/>
  <c r="AJ21" i="66"/>
  <c r="AJ20" i="66"/>
  <c r="AJ55" i="65"/>
  <c r="AM55" i="65" s="1"/>
  <c r="AJ40" i="65"/>
  <c r="AJ25" i="65"/>
  <c r="AJ19" i="65"/>
  <c r="AJ21" i="65" s="1"/>
  <c r="AJ11" i="65"/>
  <c r="AJ14" i="65" s="1"/>
  <c r="AM20" i="66" l="1"/>
  <c r="AP20" i="66"/>
  <c r="AM21" i="66"/>
  <c r="AP21" i="66"/>
  <c r="AJ29" i="65"/>
  <c r="AM25" i="65"/>
  <c r="AJ56" i="65"/>
  <c r="AK56" i="65" s="1"/>
  <c r="AK55" i="65"/>
  <c r="AJ46" i="68"/>
  <c r="AJ57" i="65"/>
  <c r="AK57" i="65" s="1"/>
  <c r="AJ34" i="65"/>
  <c r="AJ41" i="65" s="1"/>
  <c r="AJ43" i="65" s="1"/>
  <c r="AJ45" i="65" s="1"/>
  <c r="X35" i="71"/>
  <c r="X16" i="71"/>
  <c r="X10" i="71"/>
  <c r="W10" i="71"/>
  <c r="AA54" i="69"/>
  <c r="Z54" i="69"/>
  <c r="AA52" i="69"/>
  <c r="AJ52" i="69" s="1"/>
  <c r="Z52" i="69"/>
  <c r="AI52" i="69" s="1"/>
  <c r="Z47" i="69"/>
  <c r="AA41" i="69"/>
  <c r="AA35" i="69"/>
  <c r="AA11" i="69"/>
  <c r="AA79" i="62"/>
  <c r="AA39" i="62"/>
  <c r="AA35" i="62"/>
  <c r="AA28" i="62"/>
  <c r="AA20" i="62"/>
  <c r="AA16" i="62"/>
  <c r="AA27" i="62" s="1"/>
  <c r="AA130" i="67"/>
  <c r="AA56" i="65"/>
  <c r="AB56" i="65" s="1"/>
  <c r="AA42" i="65"/>
  <c r="AM42" i="65" s="1"/>
  <c r="AA40" i="65"/>
  <c r="AA29" i="65"/>
  <c r="AA21" i="65"/>
  <c r="AA14" i="65"/>
  <c r="AM130" i="67" l="1"/>
  <c r="AP130" i="67"/>
  <c r="AA29" i="62"/>
  <c r="AA57" i="65"/>
  <c r="AB57" i="65" s="1"/>
  <c r="AA45" i="62"/>
  <c r="AA91" i="62"/>
  <c r="AA34" i="65"/>
  <c r="AA41" i="65" s="1"/>
  <c r="AA43" i="65" s="1"/>
  <c r="AA45" i="65" s="1"/>
  <c r="AA47" i="69"/>
  <c r="AA62" i="62"/>
  <c r="AA64" i="62" s="1"/>
  <c r="C54" i="69"/>
  <c r="C53" i="69"/>
  <c r="C50" i="69"/>
  <c r="AJ50" i="69" s="1"/>
  <c r="C48" i="69"/>
  <c r="AJ48" i="69" s="1"/>
  <c r="C41" i="69"/>
  <c r="C38" i="69"/>
  <c r="C27" i="69"/>
  <c r="C17" i="69"/>
  <c r="C15" i="69"/>
  <c r="C85" i="62"/>
  <c r="C79" i="62"/>
  <c r="C54" i="62"/>
  <c r="C39" i="62"/>
  <c r="C28" i="62"/>
  <c r="C20" i="62"/>
  <c r="C32" i="68"/>
  <c r="C20" i="68"/>
  <c r="C104" i="67"/>
  <c r="C58" i="67"/>
  <c r="C50" i="67"/>
  <c r="C22" i="67"/>
  <c r="C21" i="67"/>
  <c r="C17" i="67"/>
  <c r="C14" i="67"/>
  <c r="C12" i="67"/>
  <c r="C106" i="66"/>
  <c r="C94" i="66"/>
  <c r="C82" i="66"/>
  <c r="C70" i="66"/>
  <c r="C56" i="66"/>
  <c r="C44" i="66"/>
  <c r="C56" i="65"/>
  <c r="C40" i="65"/>
  <c r="C23" i="65"/>
  <c r="C19" i="65"/>
  <c r="C11" i="65"/>
  <c r="C35" i="69" l="1"/>
  <c r="AJ38" i="69"/>
  <c r="C23" i="69"/>
  <c r="D27" i="69"/>
  <c r="AJ27" i="69"/>
  <c r="AJ54" i="69"/>
  <c r="D53" i="69"/>
  <c r="AJ53" i="69"/>
  <c r="C49" i="69"/>
  <c r="D15" i="69"/>
  <c r="AJ15" i="69"/>
  <c r="D17" i="69"/>
  <c r="AJ17" i="69"/>
  <c r="AP32" i="68"/>
  <c r="AM32" i="68"/>
  <c r="AM20" i="68"/>
  <c r="AP20" i="68"/>
  <c r="AM22" i="67"/>
  <c r="AP22" i="67"/>
  <c r="AP21" i="67"/>
  <c r="AM21" i="67"/>
  <c r="AM17" i="67"/>
  <c r="AP17" i="67"/>
  <c r="C56" i="67"/>
  <c r="AM50" i="67"/>
  <c r="AP50" i="67"/>
  <c r="AM58" i="67"/>
  <c r="AP58" i="67"/>
  <c r="AP104" i="67"/>
  <c r="AM104" i="67"/>
  <c r="AP12" i="67"/>
  <c r="AM12" i="67"/>
  <c r="AM14" i="67"/>
  <c r="AP14" i="67"/>
  <c r="AM82" i="66"/>
  <c r="AP82" i="66"/>
  <c r="AM44" i="66"/>
  <c r="AP44" i="66"/>
  <c r="AM56" i="66"/>
  <c r="AP56" i="66"/>
  <c r="AP70" i="66"/>
  <c r="AM70" i="66"/>
  <c r="AP20" i="62"/>
  <c r="AM28" i="62"/>
  <c r="AP28" i="62"/>
  <c r="AM54" i="62"/>
  <c r="C21" i="65"/>
  <c r="C29" i="65"/>
  <c r="D56" i="65"/>
  <c r="C14" i="65"/>
  <c r="AP11" i="65"/>
  <c r="AM11" i="65"/>
  <c r="C20" i="67"/>
  <c r="C91" i="62"/>
  <c r="C27" i="62"/>
  <c r="C45" i="62"/>
  <c r="C57" i="65"/>
  <c r="C60" i="62"/>
  <c r="C11" i="69"/>
  <c r="C51" i="69"/>
  <c r="AJ51" i="69" s="1"/>
  <c r="L35" i="71"/>
  <c r="L16" i="71"/>
  <c r="L39" i="70"/>
  <c r="AG39" i="70" s="1"/>
  <c r="K39" i="70"/>
  <c r="AF39" i="70" s="1"/>
  <c r="K37" i="70"/>
  <c r="AF37" i="70" s="1"/>
  <c r="L36" i="70"/>
  <c r="AG36" i="70" s="1"/>
  <c r="K36" i="70"/>
  <c r="AF36" i="70" s="1"/>
  <c r="K35" i="70"/>
  <c r="AF35" i="70" s="1"/>
  <c r="L31" i="70"/>
  <c r="AG31" i="70" s="1"/>
  <c r="L16" i="70"/>
  <c r="AG16" i="70" s="1"/>
  <c r="L13" i="70"/>
  <c r="AG13" i="70" s="1"/>
  <c r="L54" i="69"/>
  <c r="K54" i="69"/>
  <c r="AI54" i="69" s="1"/>
  <c r="L51" i="69"/>
  <c r="K51" i="69"/>
  <c r="AI51" i="69" s="1"/>
  <c r="L49" i="69"/>
  <c r="K49" i="69"/>
  <c r="AI49" i="69" s="1"/>
  <c r="K47" i="69"/>
  <c r="AI47" i="69" s="1"/>
  <c r="L41" i="69"/>
  <c r="M41" i="69" s="1"/>
  <c r="L35" i="69"/>
  <c r="L23" i="69"/>
  <c r="L11" i="69"/>
  <c r="L85" i="62"/>
  <c r="AM85" i="62" s="1"/>
  <c r="L79" i="62"/>
  <c r="AP79" i="62" s="1"/>
  <c r="L54" i="62"/>
  <c r="AP54" i="62" s="1"/>
  <c r="L39" i="62"/>
  <c r="AM39" i="62" s="1"/>
  <c r="L35" i="62"/>
  <c r="L28" i="62"/>
  <c r="L20" i="62"/>
  <c r="AM20" i="62" s="1"/>
  <c r="L16" i="62"/>
  <c r="L47" i="68"/>
  <c r="L92" i="67"/>
  <c r="L56" i="67"/>
  <c r="L106" i="66"/>
  <c r="AP106" i="66" s="1"/>
  <c r="L94" i="66"/>
  <c r="AM94" i="66" s="1"/>
  <c r="AJ41" i="69" l="1"/>
  <c r="C47" i="69"/>
  <c r="AJ11" i="69"/>
  <c r="AJ23" i="69"/>
  <c r="AJ49" i="69"/>
  <c r="AJ35" i="69"/>
  <c r="AM56" i="67"/>
  <c r="AP56" i="67"/>
  <c r="C46" i="68"/>
  <c r="AP20" i="67"/>
  <c r="AM20" i="67"/>
  <c r="AP92" i="67"/>
  <c r="AM92" i="67"/>
  <c r="AP94" i="66"/>
  <c r="AM106" i="66"/>
  <c r="AP85" i="62"/>
  <c r="AP16" i="62"/>
  <c r="AM16" i="62"/>
  <c r="AM79" i="62"/>
  <c r="AP39" i="62"/>
  <c r="AP35" i="62"/>
  <c r="AM35" i="62"/>
  <c r="AM45" i="62"/>
  <c r="C29" i="62"/>
  <c r="C34" i="65"/>
  <c r="D57" i="65"/>
  <c r="L91" i="62"/>
  <c r="AP91" i="62" s="1"/>
  <c r="L46" i="68"/>
  <c r="C62" i="62"/>
  <c r="L37" i="70"/>
  <c r="AG37" i="70" s="1"/>
  <c r="L47" i="69"/>
  <c r="L45" i="62"/>
  <c r="AP45" i="62" s="1"/>
  <c r="L27" i="62"/>
  <c r="L29" i="62" s="1"/>
  <c r="L60" i="62"/>
  <c r="AP60" i="62" s="1"/>
  <c r="L11" i="70"/>
  <c r="L56" i="65"/>
  <c r="L40" i="65"/>
  <c r="AM40" i="65" s="1"/>
  <c r="L23" i="65"/>
  <c r="L19" i="65"/>
  <c r="L14" i="65"/>
  <c r="AM14" i="65" s="1"/>
  <c r="L35" i="70" l="1"/>
  <c r="AG35" i="70" s="1"/>
  <c r="AG11" i="70"/>
  <c r="AJ47" i="69"/>
  <c r="AM91" i="62"/>
  <c r="AM27" i="62"/>
  <c r="AP27" i="62"/>
  <c r="AM60" i="62"/>
  <c r="C64" i="62"/>
  <c r="AM29" i="62"/>
  <c r="AP29" i="62"/>
  <c r="C41" i="65"/>
  <c r="M56" i="65"/>
  <c r="AM56" i="65"/>
  <c r="AP14" i="65"/>
  <c r="L21" i="65"/>
  <c r="L34" i="65" s="1"/>
  <c r="AM19" i="65"/>
  <c r="AP19" i="65"/>
  <c r="L29" i="65"/>
  <c r="AM29" i="65" s="1"/>
  <c r="AM23" i="65"/>
  <c r="L62" i="62"/>
  <c r="L64" i="62" s="1"/>
  <c r="L57" i="65"/>
  <c r="AM62" i="62" l="1"/>
  <c r="AP62" i="62"/>
  <c r="AM64" i="62"/>
  <c r="AP64" i="62"/>
  <c r="L41" i="65"/>
  <c r="L43" i="65" s="1"/>
  <c r="L45" i="65" s="1"/>
  <c r="AM34" i="65"/>
  <c r="AP21" i="65"/>
  <c r="AM21" i="65"/>
  <c r="C43" i="65"/>
  <c r="AM41" i="65"/>
  <c r="M57" i="65"/>
  <c r="AM57" i="65"/>
  <c r="AL40" i="65"/>
  <c r="AL29" i="65"/>
  <c r="AO50" i="62" l="1"/>
  <c r="AL50" i="62"/>
  <c r="AO54" i="62"/>
  <c r="AL54" i="62"/>
  <c r="AO85" i="62"/>
  <c r="AL85" i="62"/>
  <c r="AL20" i="62"/>
  <c r="AO20" i="62"/>
  <c r="AO79" i="62"/>
  <c r="AL79" i="62"/>
  <c r="AO16" i="62"/>
  <c r="AL16" i="62"/>
  <c r="AO35" i="62"/>
  <c r="AL35" i="62"/>
  <c r="AL39" i="62"/>
  <c r="AO39" i="62"/>
  <c r="C45" i="65"/>
  <c r="AM45" i="65" s="1"/>
  <c r="AM43" i="65"/>
  <c r="AO14" i="65"/>
  <c r="AL14" i="65"/>
  <c r="AO21" i="65"/>
  <c r="AL21" i="65"/>
  <c r="AO45" i="62" l="1"/>
  <c r="AL45" i="62"/>
  <c r="AL27" i="62"/>
  <c r="AO27" i="62"/>
  <c r="AO91" i="62"/>
  <c r="AL91" i="62"/>
  <c r="AO60" i="62"/>
  <c r="AL60" i="62"/>
  <c r="AL34" i="65"/>
  <c r="AO29" i="62" l="1"/>
  <c r="AL29" i="62"/>
  <c r="AO62" i="62"/>
  <c r="AL62" i="62"/>
  <c r="AL41" i="65"/>
  <c r="P73" i="62"/>
  <c r="AL64" i="62" l="1"/>
  <c r="AO64" i="62"/>
  <c r="AL45" i="65"/>
  <c r="AL43" i="65"/>
  <c r="R45" i="68" l="1"/>
  <c r="R44" i="68"/>
  <c r="R43" i="68"/>
  <c r="R42" i="68"/>
  <c r="R41" i="68"/>
  <c r="R40" i="68"/>
  <c r="R39" i="68"/>
  <c r="R38" i="68"/>
  <c r="O35" i="71" l="1"/>
  <c r="O16" i="71"/>
  <c r="R48" i="68" l="1"/>
  <c r="R47" i="68"/>
  <c r="R46" i="68" l="1"/>
  <c r="AA46" i="68" l="1"/>
  <c r="G76" i="62" l="1"/>
  <c r="J30" i="23" l="1"/>
  <c r="J30" i="29"/>
  <c r="J30" i="18"/>
  <c r="K33" i="20" l="1"/>
  <c r="K32" i="13"/>
  <c r="J33" i="23"/>
  <c r="J33" i="20"/>
  <c r="J33" i="33"/>
  <c r="J33" i="29"/>
  <c r="J25" i="29"/>
  <c r="J25" i="23"/>
  <c r="J25" i="20"/>
  <c r="J25" i="13"/>
  <c r="J32" i="18"/>
  <c r="J32" i="33"/>
  <c r="J32" i="29"/>
  <c r="J32" i="23"/>
  <c r="J26" i="18"/>
  <c r="J26" i="37"/>
  <c r="J26" i="33"/>
  <c r="J26" i="29"/>
  <c r="J26" i="23"/>
  <c r="J26" i="20"/>
  <c r="K23" i="33"/>
  <c r="J33" i="18"/>
  <c r="J33" i="37"/>
  <c r="K31" i="23"/>
  <c r="K25" i="18"/>
  <c r="K25" i="37"/>
  <c r="K25" i="33"/>
  <c r="K25" i="29"/>
  <c r="K25" i="23"/>
  <c r="K25" i="20"/>
  <c r="K25" i="13"/>
  <c r="K23" i="37"/>
  <c r="K23" i="20"/>
  <c r="K32" i="18"/>
  <c r="K32" i="33"/>
  <c r="K32" i="29"/>
  <c r="K32" i="23"/>
  <c r="K33" i="23"/>
  <c r="K32" i="20"/>
  <c r="K26" i="18"/>
  <c r="K26" i="33"/>
  <c r="K26" i="29"/>
  <c r="K26" i="20"/>
  <c r="K23" i="13"/>
  <c r="K33" i="18"/>
  <c r="K33" i="33"/>
  <c r="K33" i="29"/>
  <c r="J23" i="20"/>
  <c r="J23" i="37"/>
  <c r="K26" i="37"/>
  <c r="K26" i="23"/>
  <c r="K31" i="13"/>
  <c r="J23" i="18"/>
  <c r="J23" i="29"/>
  <c r="J23" i="23"/>
  <c r="J25" i="18"/>
  <c r="J25" i="37"/>
  <c r="J25" i="33"/>
  <c r="K24" i="24"/>
  <c r="K24" i="23"/>
  <c r="K24" i="13"/>
  <c r="K31" i="18"/>
  <c r="K31" i="33"/>
  <c r="K31" i="29"/>
  <c r="J23" i="13"/>
  <c r="K30" i="20"/>
  <c r="K30" i="13"/>
  <c r="K24" i="33"/>
  <c r="K24" i="29"/>
  <c r="J31" i="37"/>
  <c r="J31" i="24"/>
  <c r="J31" i="13"/>
  <c r="J24" i="37"/>
  <c r="J24" i="33"/>
  <c r="J24" i="29"/>
  <c r="J24" i="24"/>
  <c r="J24" i="23"/>
  <c r="J24" i="13"/>
  <c r="K23" i="18"/>
  <c r="K23" i="29"/>
  <c r="K23" i="23"/>
  <c r="J31" i="18"/>
  <c r="J31" i="33"/>
  <c r="J31" i="29"/>
  <c r="J31" i="23"/>
  <c r="K24" i="37"/>
  <c r="K30" i="37"/>
  <c r="J30" i="13"/>
  <c r="J23" i="33"/>
  <c r="J30" i="33"/>
  <c r="J32" i="20"/>
  <c r="J32" i="13"/>
  <c r="J30" i="37"/>
  <c r="J30" i="20"/>
  <c r="J32" i="37"/>
  <c r="K30" i="18"/>
  <c r="K30" i="33"/>
  <c r="K30" i="29"/>
  <c r="K30" i="23"/>
  <c r="K32" i="37"/>
  <c r="K31" i="37"/>
  <c r="K33" i="37"/>
  <c r="K31" i="24"/>
  <c r="J9" i="72" l="1"/>
  <c r="E31" i="13" l="1"/>
  <c r="E31" i="37"/>
  <c r="E31" i="33"/>
  <c r="E31" i="24"/>
  <c r="E31" i="29"/>
  <c r="E23" i="23"/>
  <c r="E23" i="13"/>
  <c r="E23" i="20"/>
  <c r="E23" i="37"/>
  <c r="E23" i="33"/>
  <c r="E23" i="29"/>
  <c r="E25" i="29"/>
  <c r="E25" i="20"/>
  <c r="E25" i="13"/>
  <c r="E30" i="13"/>
  <c r="E30" i="37"/>
  <c r="E30" i="23"/>
  <c r="E30" i="29"/>
  <c r="E30" i="33"/>
  <c r="E32" i="20"/>
  <c r="E32" i="13"/>
  <c r="E32" i="29"/>
  <c r="E24" i="24"/>
  <c r="E24" i="13"/>
  <c r="E24" i="29"/>
  <c r="E24" i="33"/>
  <c r="E24" i="37"/>
  <c r="K7" i="72"/>
  <c r="K9" i="72"/>
  <c r="L9" i="72" s="1"/>
  <c r="J7" i="72"/>
  <c r="D48" i="72"/>
  <c r="D7" i="72"/>
  <c r="D9" i="72"/>
  <c r="AE12" i="71"/>
  <c r="AB12" i="71"/>
  <c r="Y12" i="71"/>
  <c r="V12" i="71"/>
  <c r="S12" i="71"/>
  <c r="P12" i="71"/>
  <c r="G12" i="71"/>
  <c r="AE11" i="71"/>
  <c r="AB11" i="71"/>
  <c r="Y11" i="71"/>
  <c r="V11" i="71"/>
  <c r="P11" i="71"/>
  <c r="M11" i="71"/>
  <c r="G11" i="71"/>
  <c r="D11" i="71"/>
  <c r="S10" i="71"/>
  <c r="AH42" i="70"/>
  <c r="AH41" i="70"/>
  <c r="P40" i="70"/>
  <c r="AE39" i="70"/>
  <c r="AB39" i="70"/>
  <c r="Y39" i="70"/>
  <c r="V39" i="70"/>
  <c r="S39" i="70"/>
  <c r="M39" i="70"/>
  <c r="J39" i="70"/>
  <c r="G39" i="70"/>
  <c r="D39" i="70"/>
  <c r="AH38" i="70"/>
  <c r="AE37" i="70"/>
  <c r="AB37" i="70"/>
  <c r="Y37" i="70"/>
  <c r="V37" i="70"/>
  <c r="M37" i="70"/>
  <c r="J37" i="70"/>
  <c r="G37" i="70"/>
  <c r="D37" i="70"/>
  <c r="AE36" i="70"/>
  <c r="AB36" i="70"/>
  <c r="Y36" i="70"/>
  <c r="V36" i="70"/>
  <c r="M36" i="70"/>
  <c r="G36" i="70"/>
  <c r="P34" i="70"/>
  <c r="AB33" i="70"/>
  <c r="S33" i="70"/>
  <c r="M33" i="70"/>
  <c r="G33" i="70"/>
  <c r="D33" i="70"/>
  <c r="AH32" i="70"/>
  <c r="M31" i="70"/>
  <c r="P30" i="70"/>
  <c r="AH29" i="70"/>
  <c r="AH28" i="70"/>
  <c r="AH27" i="70"/>
  <c r="AH25" i="70"/>
  <c r="AH24" i="70"/>
  <c r="AH23" i="70"/>
  <c r="AH22" i="70"/>
  <c r="AH21" i="70"/>
  <c r="P20" i="70"/>
  <c r="AE19" i="70"/>
  <c r="V19" i="70"/>
  <c r="M19" i="70"/>
  <c r="AE18" i="70"/>
  <c r="V18" i="70"/>
  <c r="M18" i="70"/>
  <c r="AE17" i="70"/>
  <c r="V17" i="70"/>
  <c r="M17" i="70"/>
  <c r="AE16" i="70"/>
  <c r="P15" i="70"/>
  <c r="AE14" i="70"/>
  <c r="AB14" i="70"/>
  <c r="Y14" i="70"/>
  <c r="V14" i="70"/>
  <c r="S14" i="70"/>
  <c r="M14" i="70"/>
  <c r="J14" i="70"/>
  <c r="G14" i="70"/>
  <c r="D14" i="70"/>
  <c r="AE13" i="70"/>
  <c r="AB13" i="70"/>
  <c r="Y13" i="70"/>
  <c r="V13" i="70"/>
  <c r="M13" i="70"/>
  <c r="J13" i="70"/>
  <c r="G13" i="70"/>
  <c r="D13" i="70"/>
  <c r="AE12" i="70"/>
  <c r="AB12" i="70"/>
  <c r="Y12" i="70"/>
  <c r="V12" i="70"/>
  <c r="M12" i="70"/>
  <c r="G12" i="70"/>
  <c r="D12" i="70"/>
  <c r="M11" i="70"/>
  <c r="AH53" i="69"/>
  <c r="P51" i="69"/>
  <c r="AH45" i="69"/>
  <c r="J45" i="69"/>
  <c r="G45" i="69"/>
  <c r="AH44" i="69"/>
  <c r="AB44" i="69"/>
  <c r="S44" i="69"/>
  <c r="AH43" i="69"/>
  <c r="AE43" i="69"/>
  <c r="Y43" i="69"/>
  <c r="V43" i="69"/>
  <c r="G43" i="69"/>
  <c r="D43" i="69"/>
  <c r="Y42" i="69"/>
  <c r="G42" i="69"/>
  <c r="AB41" i="69"/>
  <c r="D41" i="69"/>
  <c r="AH40" i="69"/>
  <c r="AE40" i="69"/>
  <c r="AB40" i="69"/>
  <c r="Y40" i="69"/>
  <c r="V40" i="69"/>
  <c r="S40" i="69"/>
  <c r="M40" i="69"/>
  <c r="G40" i="69"/>
  <c r="D40" i="69"/>
  <c r="AH39" i="69"/>
  <c r="AB39" i="69"/>
  <c r="S39" i="69"/>
  <c r="AH38" i="69"/>
  <c r="AE38" i="69"/>
  <c r="Y38" i="69"/>
  <c r="V38" i="69"/>
  <c r="M38" i="69"/>
  <c r="J38" i="69"/>
  <c r="G38" i="69"/>
  <c r="D38" i="69"/>
  <c r="AH37" i="69"/>
  <c r="AE37" i="69"/>
  <c r="Y37" i="69"/>
  <c r="J37" i="69"/>
  <c r="G37" i="69"/>
  <c r="AH36" i="69"/>
  <c r="AE36" i="69"/>
  <c r="Y36" i="69"/>
  <c r="G36" i="69"/>
  <c r="Y34" i="69"/>
  <c r="AH33" i="69"/>
  <c r="S33" i="69"/>
  <c r="AH32" i="69"/>
  <c r="AE32" i="69"/>
  <c r="Y32" i="69"/>
  <c r="M32" i="69"/>
  <c r="G32" i="69"/>
  <c r="AH31" i="69"/>
  <c r="AE31" i="69"/>
  <c r="Y31" i="69"/>
  <c r="M31" i="69"/>
  <c r="J31" i="69"/>
  <c r="G31" i="69"/>
  <c r="AH30" i="69"/>
  <c r="AE30" i="69"/>
  <c r="S30" i="69"/>
  <c r="G30" i="69"/>
  <c r="AE29" i="69"/>
  <c r="Y29" i="69"/>
  <c r="M29" i="69"/>
  <c r="G29" i="69"/>
  <c r="AH28" i="69"/>
  <c r="AE28" i="69"/>
  <c r="Y28" i="69"/>
  <c r="G28" i="69"/>
  <c r="AH27" i="69"/>
  <c r="AE27" i="69"/>
  <c r="Y27" i="69"/>
  <c r="M27" i="69"/>
  <c r="J27" i="69"/>
  <c r="G27" i="69"/>
  <c r="AE26" i="69"/>
  <c r="Y26" i="69"/>
  <c r="G26" i="69"/>
  <c r="AH25" i="69"/>
  <c r="AE25" i="69"/>
  <c r="Y25" i="69"/>
  <c r="G25" i="69"/>
  <c r="AH24" i="69"/>
  <c r="AE24" i="69"/>
  <c r="Y24" i="69"/>
  <c r="G24" i="69"/>
  <c r="D24" i="69"/>
  <c r="J23" i="69"/>
  <c r="Y22" i="69"/>
  <c r="AH21" i="69"/>
  <c r="AB21" i="69"/>
  <c r="S21" i="69"/>
  <c r="AH20" i="69"/>
  <c r="AE20" i="69"/>
  <c r="Y20" i="69"/>
  <c r="V20" i="69"/>
  <c r="M20" i="69"/>
  <c r="G20" i="69"/>
  <c r="AH19" i="69"/>
  <c r="AE19" i="69"/>
  <c r="Y19" i="69"/>
  <c r="V19" i="69"/>
  <c r="M19" i="69"/>
  <c r="J19" i="69"/>
  <c r="G19" i="69"/>
  <c r="AH18" i="69"/>
  <c r="AH50" i="69" s="1"/>
  <c r="AE18" i="69"/>
  <c r="S18" i="69"/>
  <c r="G18" i="69"/>
  <c r="AE17" i="69"/>
  <c r="Y17" i="69"/>
  <c r="M17" i="69"/>
  <c r="G17" i="69"/>
  <c r="AH16" i="69"/>
  <c r="AE16" i="69"/>
  <c r="Y16" i="69"/>
  <c r="G16" i="69"/>
  <c r="AH15" i="69"/>
  <c r="AE15" i="69"/>
  <c r="Y15" i="69"/>
  <c r="M15" i="69"/>
  <c r="J15" i="69"/>
  <c r="G15" i="69"/>
  <c r="AE14" i="69"/>
  <c r="Y14" i="69"/>
  <c r="G14" i="69"/>
  <c r="AH13" i="69"/>
  <c r="AE13" i="69"/>
  <c r="Y13" i="69"/>
  <c r="G13" i="69"/>
  <c r="AH12" i="69"/>
  <c r="AE12" i="69"/>
  <c r="Y12" i="69"/>
  <c r="G12" i="69"/>
  <c r="D12" i="69"/>
  <c r="P47" i="68"/>
  <c r="D47" i="68"/>
  <c r="AB45" i="68"/>
  <c r="S45" i="68"/>
  <c r="P45" i="68"/>
  <c r="M45" i="68"/>
  <c r="G45" i="68"/>
  <c r="D45" i="68"/>
  <c r="AK44" i="68"/>
  <c r="AH44" i="68"/>
  <c r="V44" i="68"/>
  <c r="P44" i="68"/>
  <c r="M44" i="68"/>
  <c r="G44" i="68"/>
  <c r="D44" i="68"/>
  <c r="P42" i="68"/>
  <c r="M42" i="68"/>
  <c r="AH41" i="68"/>
  <c r="S41" i="68"/>
  <c r="P41" i="68"/>
  <c r="M41" i="68"/>
  <c r="D41" i="68"/>
  <c r="AK39" i="68"/>
  <c r="P39" i="68"/>
  <c r="D39" i="68"/>
  <c r="AK34" i="68"/>
  <c r="AH34" i="68"/>
  <c r="Y34" i="68"/>
  <c r="J34" i="68"/>
  <c r="G34" i="68"/>
  <c r="D34" i="68"/>
  <c r="AQ33" i="68"/>
  <c r="AN33" i="68"/>
  <c r="G33" i="68"/>
  <c r="AH32" i="68"/>
  <c r="J31" i="68"/>
  <c r="AQ30" i="68"/>
  <c r="AN30" i="68"/>
  <c r="AK29" i="68"/>
  <c r="AH29" i="68"/>
  <c r="Y29" i="68"/>
  <c r="J29" i="68"/>
  <c r="G29" i="68"/>
  <c r="D29" i="68"/>
  <c r="AQ28" i="68"/>
  <c r="AN28" i="68"/>
  <c r="AQ27" i="68"/>
  <c r="AN27" i="68"/>
  <c r="AK26" i="68"/>
  <c r="AH26" i="68"/>
  <c r="Y26" i="68"/>
  <c r="J26" i="68"/>
  <c r="G26" i="68"/>
  <c r="D26" i="68"/>
  <c r="AQ25" i="68"/>
  <c r="AN25" i="68"/>
  <c r="AK24" i="68"/>
  <c r="AH24" i="68"/>
  <c r="Y24" i="68"/>
  <c r="J24" i="68"/>
  <c r="G24" i="68"/>
  <c r="AK22" i="68"/>
  <c r="AH22" i="68"/>
  <c r="S22" i="68"/>
  <c r="P22" i="68"/>
  <c r="J22" i="68"/>
  <c r="G22" i="68"/>
  <c r="D22" i="68"/>
  <c r="AH21" i="68"/>
  <c r="G21" i="68"/>
  <c r="J19" i="68"/>
  <c r="AQ18" i="68"/>
  <c r="AN18" i="68"/>
  <c r="AK17" i="68"/>
  <c r="AH17" i="68"/>
  <c r="S17" i="68"/>
  <c r="P17" i="68"/>
  <c r="J17" i="68"/>
  <c r="G17" i="68"/>
  <c r="D17" i="68"/>
  <c r="AQ16" i="68"/>
  <c r="AN16" i="68"/>
  <c r="AQ15" i="68"/>
  <c r="AN15" i="68"/>
  <c r="AK14" i="68"/>
  <c r="AH14" i="68"/>
  <c r="S14" i="68"/>
  <c r="P14" i="68"/>
  <c r="J14" i="68"/>
  <c r="G14" i="68"/>
  <c r="D14" i="68"/>
  <c r="AQ13" i="68"/>
  <c r="AN13" i="68"/>
  <c r="AK12" i="68"/>
  <c r="AH12" i="68"/>
  <c r="J12" i="68"/>
  <c r="G12" i="68"/>
  <c r="S144" i="67"/>
  <c r="S143" i="67"/>
  <c r="AR142" i="67"/>
  <c r="AQ141" i="67"/>
  <c r="AN141" i="67"/>
  <c r="S139" i="67"/>
  <c r="S138" i="67"/>
  <c r="AQ137" i="67"/>
  <c r="AN137" i="67"/>
  <c r="S136" i="67"/>
  <c r="S134" i="67"/>
  <c r="AK132" i="67"/>
  <c r="AB132" i="67"/>
  <c r="S132" i="67"/>
  <c r="AK131" i="67"/>
  <c r="AB131" i="67"/>
  <c r="S131" i="67"/>
  <c r="AR130" i="67"/>
  <c r="AK128" i="67"/>
  <c r="AB128" i="67"/>
  <c r="S128" i="67"/>
  <c r="AK127" i="67"/>
  <c r="AB127" i="67"/>
  <c r="S127" i="67"/>
  <c r="AK126" i="67"/>
  <c r="S126" i="67"/>
  <c r="AK125" i="67"/>
  <c r="AK124" i="67"/>
  <c r="AB124" i="67"/>
  <c r="S124" i="67"/>
  <c r="AK123" i="67"/>
  <c r="AB123" i="67"/>
  <c r="S123" i="67"/>
  <c r="AK122" i="67"/>
  <c r="S122" i="67"/>
  <c r="AK118" i="67"/>
  <c r="AK117" i="67"/>
  <c r="AR116" i="67"/>
  <c r="AQ115" i="67"/>
  <c r="AN115" i="67"/>
  <c r="AQ114" i="67"/>
  <c r="AN114" i="67"/>
  <c r="AQ112" i="67"/>
  <c r="AN112" i="67"/>
  <c r="AQ111" i="67"/>
  <c r="AN111" i="67"/>
  <c r="AK110" i="67"/>
  <c r="AK108" i="67"/>
  <c r="AK106" i="67"/>
  <c r="AH106" i="67"/>
  <c r="Y106" i="67"/>
  <c r="G106" i="67"/>
  <c r="D106" i="67"/>
  <c r="AH105" i="67"/>
  <c r="G105" i="67"/>
  <c r="AR104" i="67"/>
  <c r="AK104" i="67"/>
  <c r="AH104" i="67"/>
  <c r="Y104" i="67"/>
  <c r="G104" i="67"/>
  <c r="AQ102" i="67"/>
  <c r="AN102" i="67"/>
  <c r="AK101" i="67"/>
  <c r="AH101" i="67"/>
  <c r="Y101" i="67"/>
  <c r="G101" i="67"/>
  <c r="D101" i="67"/>
  <c r="G100" i="67"/>
  <c r="AK99" i="67"/>
  <c r="G99" i="67"/>
  <c r="AK98" i="67"/>
  <c r="AH98" i="67"/>
  <c r="Y98" i="67"/>
  <c r="G98" i="67"/>
  <c r="D98" i="67"/>
  <c r="G97" i="67"/>
  <c r="AK96" i="67"/>
  <c r="AH96" i="67"/>
  <c r="Y96" i="67"/>
  <c r="G96" i="67"/>
  <c r="AK94" i="67"/>
  <c r="AH94" i="67"/>
  <c r="Y94" i="67"/>
  <c r="M94" i="67"/>
  <c r="G94" i="67"/>
  <c r="AK93" i="67"/>
  <c r="AH93" i="67"/>
  <c r="Y93" i="67"/>
  <c r="M93" i="67"/>
  <c r="G93" i="67"/>
  <c r="AR92" i="67"/>
  <c r="AK92" i="67"/>
  <c r="Y92" i="67"/>
  <c r="M92" i="67"/>
  <c r="AK91" i="67"/>
  <c r="Y91" i="67"/>
  <c r="AK90" i="67"/>
  <c r="Y90" i="67"/>
  <c r="AK89" i="67"/>
  <c r="AH89" i="67"/>
  <c r="Y89" i="67"/>
  <c r="M89" i="67"/>
  <c r="G89" i="67"/>
  <c r="AQ88" i="67"/>
  <c r="AN88" i="67"/>
  <c r="AQ87" i="67"/>
  <c r="AN87" i="67"/>
  <c r="AK86" i="67"/>
  <c r="AH86" i="67"/>
  <c r="Y86" i="67"/>
  <c r="M86" i="67"/>
  <c r="G86" i="67"/>
  <c r="AK85" i="67"/>
  <c r="AH85" i="67"/>
  <c r="Y85" i="67"/>
  <c r="AK84" i="67"/>
  <c r="AH84" i="67"/>
  <c r="Y84" i="67"/>
  <c r="M84" i="67"/>
  <c r="G84" i="67"/>
  <c r="AN83" i="67"/>
  <c r="AH82" i="67"/>
  <c r="AR80" i="67"/>
  <c r="AQ79" i="67"/>
  <c r="AN79" i="67"/>
  <c r="AQ78" i="67"/>
  <c r="AN78" i="67"/>
  <c r="AH77" i="67"/>
  <c r="AQ76" i="67"/>
  <c r="AN76" i="67"/>
  <c r="AQ75" i="67"/>
  <c r="AN75" i="67"/>
  <c r="AH74" i="67"/>
  <c r="AQ73" i="67"/>
  <c r="AN73" i="67"/>
  <c r="AH72" i="67"/>
  <c r="AN71" i="67"/>
  <c r="AH70" i="67"/>
  <c r="AH69" i="67"/>
  <c r="AR68" i="67"/>
  <c r="AQ67" i="67"/>
  <c r="AN67" i="67"/>
  <c r="AH65" i="67"/>
  <c r="AH64" i="67"/>
  <c r="AH62" i="67"/>
  <c r="AH60" i="67"/>
  <c r="AQ59" i="67"/>
  <c r="AN59" i="67"/>
  <c r="AK58" i="67"/>
  <c r="AH58" i="67"/>
  <c r="Y58" i="67"/>
  <c r="V58" i="67"/>
  <c r="M58" i="67"/>
  <c r="J58" i="67"/>
  <c r="G58" i="67"/>
  <c r="D58" i="67"/>
  <c r="M57" i="67"/>
  <c r="G57" i="67"/>
  <c r="M56" i="67"/>
  <c r="J56" i="67"/>
  <c r="D56" i="67"/>
  <c r="Y55" i="67"/>
  <c r="J55" i="67"/>
  <c r="AQ54" i="67"/>
  <c r="AN54" i="67"/>
  <c r="AK53" i="67"/>
  <c r="AH53" i="67"/>
  <c r="Y53" i="67"/>
  <c r="M53" i="67"/>
  <c r="J53" i="67"/>
  <c r="G53" i="67"/>
  <c r="AK50" i="67"/>
  <c r="AH50" i="67"/>
  <c r="Y50" i="67"/>
  <c r="V50" i="67"/>
  <c r="M50" i="67"/>
  <c r="J50" i="67"/>
  <c r="G50" i="67"/>
  <c r="D50" i="67"/>
  <c r="AQ49" i="67"/>
  <c r="AN49" i="67"/>
  <c r="AK48" i="67"/>
  <c r="AH48" i="67"/>
  <c r="M48" i="67"/>
  <c r="J48" i="67"/>
  <c r="G48" i="67"/>
  <c r="AH46" i="67"/>
  <c r="AH45" i="67"/>
  <c r="AH44" i="67"/>
  <c r="AQ43" i="67"/>
  <c r="AN43" i="67"/>
  <c r="AH41" i="67"/>
  <c r="AH40" i="67"/>
  <c r="AH38" i="67"/>
  <c r="AQ37" i="67"/>
  <c r="AN37" i="67"/>
  <c r="AH36" i="67"/>
  <c r="AQ34" i="67"/>
  <c r="AN34" i="67"/>
  <c r="AQ33" i="67"/>
  <c r="AN33" i="67"/>
  <c r="AQ31" i="67"/>
  <c r="AN31" i="67"/>
  <c r="AQ30" i="67"/>
  <c r="AN30" i="67"/>
  <c r="AQ29" i="67"/>
  <c r="AN29" i="67"/>
  <c r="AQ28" i="67"/>
  <c r="AN28" i="67"/>
  <c r="AQ27" i="67"/>
  <c r="AN27" i="67"/>
  <c r="AQ26" i="67"/>
  <c r="AN26" i="67"/>
  <c r="AQ25" i="67"/>
  <c r="AN25" i="67"/>
  <c r="AQ24" i="67"/>
  <c r="AN24" i="67"/>
  <c r="AK22" i="67"/>
  <c r="AH22" i="67"/>
  <c r="Y22" i="67"/>
  <c r="V22" i="67"/>
  <c r="G22" i="67"/>
  <c r="D22" i="67"/>
  <c r="AK21" i="67"/>
  <c r="AH21" i="67"/>
  <c r="Y21" i="67"/>
  <c r="V21" i="67"/>
  <c r="G21" i="67"/>
  <c r="D21" i="67"/>
  <c r="G20" i="67"/>
  <c r="Y19" i="67"/>
  <c r="V19" i="67"/>
  <c r="AK18" i="67"/>
  <c r="Y18" i="67"/>
  <c r="AK17" i="67"/>
  <c r="AH17" i="67"/>
  <c r="Y17" i="67"/>
  <c r="V17" i="67"/>
  <c r="G17" i="67"/>
  <c r="D17" i="67"/>
  <c r="AK16" i="67"/>
  <c r="AH16" i="67"/>
  <c r="Y16" i="67"/>
  <c r="V16" i="67"/>
  <c r="G16" i="67"/>
  <c r="D16" i="67"/>
  <c r="AK15" i="67"/>
  <c r="Y15" i="67"/>
  <c r="V15" i="67"/>
  <c r="G15" i="67"/>
  <c r="AK14" i="67"/>
  <c r="AH14" i="67"/>
  <c r="Y14" i="67"/>
  <c r="V14" i="67"/>
  <c r="G14" i="67"/>
  <c r="D14" i="67"/>
  <c r="AK13" i="67"/>
  <c r="AH13" i="67"/>
  <c r="Y13" i="67"/>
  <c r="V13" i="67"/>
  <c r="G13" i="67"/>
  <c r="AK12" i="67"/>
  <c r="AH12" i="67"/>
  <c r="Y12" i="67"/>
  <c r="V12" i="67"/>
  <c r="G12" i="67"/>
  <c r="D12" i="67"/>
  <c r="AK108" i="66"/>
  <c r="AH108" i="66"/>
  <c r="Y108" i="66"/>
  <c r="M108" i="66"/>
  <c r="G108" i="66"/>
  <c r="D108" i="66"/>
  <c r="G107" i="66"/>
  <c r="AQ104" i="66"/>
  <c r="AN104" i="66"/>
  <c r="AK103" i="66"/>
  <c r="AH103" i="66"/>
  <c r="Y103" i="66"/>
  <c r="M103" i="66"/>
  <c r="G103" i="66"/>
  <c r="D103" i="66"/>
  <c r="AQ102" i="66"/>
  <c r="AN102" i="66"/>
  <c r="AQ101" i="66"/>
  <c r="AN101" i="66"/>
  <c r="AK100" i="66"/>
  <c r="AH100" i="66"/>
  <c r="AE100" i="66"/>
  <c r="Y100" i="66"/>
  <c r="M100" i="66"/>
  <c r="G100" i="66"/>
  <c r="D100" i="66"/>
  <c r="AQ99" i="66"/>
  <c r="AN99" i="66"/>
  <c r="AH98" i="66"/>
  <c r="G98" i="66"/>
  <c r="AH96" i="66"/>
  <c r="Y96" i="66"/>
  <c r="M96" i="66"/>
  <c r="J96" i="66"/>
  <c r="D96" i="66"/>
  <c r="M95" i="66"/>
  <c r="AH94" i="66"/>
  <c r="J93" i="66"/>
  <c r="AQ92" i="66"/>
  <c r="AN92" i="66"/>
  <c r="AH91" i="66"/>
  <c r="Y91" i="66"/>
  <c r="M91" i="66"/>
  <c r="J91" i="66"/>
  <c r="D91" i="66"/>
  <c r="AQ90" i="66"/>
  <c r="AN90" i="66"/>
  <c r="AQ89" i="66"/>
  <c r="AN89" i="66"/>
  <c r="AH88" i="66"/>
  <c r="Y88" i="66"/>
  <c r="M88" i="66"/>
  <c r="J88" i="66"/>
  <c r="D88" i="66"/>
  <c r="AQ87" i="66"/>
  <c r="AN87" i="66"/>
  <c r="AH86" i="66"/>
  <c r="Y86" i="66"/>
  <c r="M86" i="66"/>
  <c r="J86" i="66"/>
  <c r="AH84" i="66"/>
  <c r="Y84" i="66"/>
  <c r="G84" i="66"/>
  <c r="D84" i="66"/>
  <c r="AH83" i="66"/>
  <c r="Y83" i="66"/>
  <c r="G83" i="66"/>
  <c r="D83" i="66"/>
  <c r="AH82" i="66"/>
  <c r="Y82" i="66"/>
  <c r="AQ81" i="66"/>
  <c r="AN81" i="66"/>
  <c r="Y80" i="66"/>
  <c r="AH79" i="66"/>
  <c r="Y79" i="66"/>
  <c r="G79" i="66"/>
  <c r="D79" i="66"/>
  <c r="AH78" i="66"/>
  <c r="Y78" i="66"/>
  <c r="G78" i="66"/>
  <c r="G77" i="66"/>
  <c r="AH76" i="66"/>
  <c r="Y76" i="66"/>
  <c r="G76" i="66"/>
  <c r="D76" i="66"/>
  <c r="Y75" i="66"/>
  <c r="G75" i="66"/>
  <c r="AH74" i="66"/>
  <c r="Y74" i="66"/>
  <c r="G74" i="66"/>
  <c r="D74" i="66"/>
  <c r="AK72" i="66"/>
  <c r="AH72" i="66"/>
  <c r="Y72" i="66"/>
  <c r="G72" i="66"/>
  <c r="AK71" i="66"/>
  <c r="AH71" i="66"/>
  <c r="Y71" i="66"/>
  <c r="G71" i="66"/>
  <c r="AH70" i="66"/>
  <c r="AK69" i="66"/>
  <c r="AQ68" i="66"/>
  <c r="AN68" i="66"/>
  <c r="AK67" i="66"/>
  <c r="AH67" i="66"/>
  <c r="Y67" i="66"/>
  <c r="G67" i="66"/>
  <c r="AQ66" i="66"/>
  <c r="AN66" i="66"/>
  <c r="AQ65" i="66"/>
  <c r="AN65" i="66"/>
  <c r="AK64" i="66"/>
  <c r="AH64" i="66"/>
  <c r="Y64" i="66"/>
  <c r="G64" i="66"/>
  <c r="AK63" i="66"/>
  <c r="Y63" i="66"/>
  <c r="G63" i="66"/>
  <c r="AK62" i="66"/>
  <c r="AH62" i="66"/>
  <c r="Y62" i="66"/>
  <c r="G62" i="66"/>
  <c r="AK58" i="66"/>
  <c r="AH58" i="66"/>
  <c r="Y58" i="66"/>
  <c r="G58" i="66"/>
  <c r="D58" i="66"/>
  <c r="G57" i="66"/>
  <c r="AK56" i="66"/>
  <c r="D56" i="66"/>
  <c r="AQ54" i="66"/>
  <c r="AN54" i="66"/>
  <c r="AH53" i="66"/>
  <c r="Y53" i="66"/>
  <c r="G53" i="66"/>
  <c r="D53" i="66"/>
  <c r="AQ52" i="66"/>
  <c r="AN52" i="66"/>
  <c r="AQ51" i="66"/>
  <c r="AN51" i="66"/>
  <c r="AK50" i="66"/>
  <c r="AH50" i="66"/>
  <c r="AE50" i="66"/>
  <c r="Y50" i="66"/>
  <c r="G50" i="66"/>
  <c r="D50" i="66"/>
  <c r="AQ49" i="66"/>
  <c r="AN49" i="66"/>
  <c r="AH48" i="66"/>
  <c r="G48" i="66"/>
  <c r="AK46" i="66"/>
  <c r="AH46" i="66"/>
  <c r="Y46" i="66"/>
  <c r="P46" i="66"/>
  <c r="J46" i="66"/>
  <c r="D46" i="66"/>
  <c r="AQ45" i="66"/>
  <c r="AN45" i="66"/>
  <c r="J43" i="66"/>
  <c r="AQ42" i="66"/>
  <c r="AN42" i="66"/>
  <c r="AK41" i="66"/>
  <c r="AH41" i="66"/>
  <c r="Y41" i="66"/>
  <c r="P41" i="66"/>
  <c r="J41" i="66"/>
  <c r="D41" i="66"/>
  <c r="AQ40" i="66"/>
  <c r="AN40" i="66"/>
  <c r="AQ39" i="66"/>
  <c r="AN39" i="66"/>
  <c r="AK38" i="66"/>
  <c r="AH38" i="66"/>
  <c r="Y38" i="66"/>
  <c r="P38" i="66"/>
  <c r="J38" i="66"/>
  <c r="D38" i="66"/>
  <c r="AQ37" i="66"/>
  <c r="AN37" i="66"/>
  <c r="AK36" i="66"/>
  <c r="AH36" i="66"/>
  <c r="Y36" i="66"/>
  <c r="J36" i="66"/>
  <c r="AH34" i="66"/>
  <c r="Y34" i="66"/>
  <c r="G34" i="66"/>
  <c r="Y33" i="66"/>
  <c r="G33" i="66"/>
  <c r="Y32" i="66"/>
  <c r="AQ31" i="66"/>
  <c r="AN31" i="66"/>
  <c r="AH29" i="66"/>
  <c r="Y29" i="66"/>
  <c r="G29" i="66"/>
  <c r="Y28" i="66"/>
  <c r="G28" i="66"/>
  <c r="G27" i="66"/>
  <c r="AH26" i="66"/>
  <c r="Y26" i="66"/>
  <c r="G26" i="66"/>
  <c r="Y25" i="66"/>
  <c r="G25" i="66"/>
  <c r="AH24" i="66"/>
  <c r="Y24" i="66"/>
  <c r="G24" i="66"/>
  <c r="AK22" i="66"/>
  <c r="AH22" i="66"/>
  <c r="Y22" i="66"/>
  <c r="G22" i="66"/>
  <c r="AK21" i="66"/>
  <c r="AH21" i="66"/>
  <c r="Y21" i="66"/>
  <c r="G21" i="66"/>
  <c r="AH20" i="66"/>
  <c r="AK17" i="66"/>
  <c r="AH17" i="66"/>
  <c r="Y17" i="66"/>
  <c r="G17" i="66"/>
  <c r="AQ15" i="66"/>
  <c r="AN15" i="66"/>
  <c r="AK14" i="66"/>
  <c r="AH14" i="66"/>
  <c r="Y14" i="66"/>
  <c r="G14" i="66"/>
  <c r="AK13" i="66"/>
  <c r="Y13" i="66"/>
  <c r="G13" i="66"/>
  <c r="AK12" i="66"/>
  <c r="AH12" i="66"/>
  <c r="Y12" i="66"/>
  <c r="G12" i="66"/>
  <c r="AN51" i="65"/>
  <c r="AK44" i="65"/>
  <c r="Y44" i="65"/>
  <c r="V44" i="65"/>
  <c r="S44" i="65"/>
  <c r="M44" i="65"/>
  <c r="G44" i="65"/>
  <c r="AK42" i="65"/>
  <c r="AH42" i="65"/>
  <c r="AB42" i="65"/>
  <c r="Y42" i="65"/>
  <c r="P42" i="65"/>
  <c r="M42" i="65"/>
  <c r="J42" i="65"/>
  <c r="G42" i="65"/>
  <c r="D42" i="65"/>
  <c r="AK40" i="65"/>
  <c r="AH40" i="65"/>
  <c r="AB40" i="65"/>
  <c r="Y40" i="65"/>
  <c r="V40" i="65"/>
  <c r="S40" i="65"/>
  <c r="P40" i="65"/>
  <c r="M40" i="65"/>
  <c r="J40" i="65"/>
  <c r="G40" i="65"/>
  <c r="D40" i="65"/>
  <c r="AK39" i="65"/>
  <c r="AH39" i="65"/>
  <c r="AB39" i="65"/>
  <c r="Y39" i="65"/>
  <c r="V39" i="65"/>
  <c r="S39" i="65"/>
  <c r="M39" i="65"/>
  <c r="G39" i="65"/>
  <c r="AK38" i="65"/>
  <c r="AH38" i="65"/>
  <c r="AB38" i="65"/>
  <c r="Y38" i="65"/>
  <c r="V38" i="65"/>
  <c r="S38" i="65"/>
  <c r="M38" i="65"/>
  <c r="J38" i="65"/>
  <c r="G38" i="65"/>
  <c r="AK37" i="65"/>
  <c r="AH37" i="65"/>
  <c r="AB37" i="65"/>
  <c r="Y37" i="65"/>
  <c r="V37" i="65"/>
  <c r="S37" i="65"/>
  <c r="P37" i="65"/>
  <c r="M37" i="65"/>
  <c r="J37" i="65"/>
  <c r="G37" i="65"/>
  <c r="D37" i="65"/>
  <c r="AK33" i="65"/>
  <c r="AH33" i="65"/>
  <c r="Y33" i="65"/>
  <c r="V33" i="65"/>
  <c r="S33" i="65"/>
  <c r="G33" i="65"/>
  <c r="AK32" i="65"/>
  <c r="AH32" i="65"/>
  <c r="AE32" i="65"/>
  <c r="AB32" i="65"/>
  <c r="Y32" i="65"/>
  <c r="V32" i="65"/>
  <c r="S32" i="65"/>
  <c r="P32" i="65"/>
  <c r="M32" i="65"/>
  <c r="J32" i="65"/>
  <c r="G32" i="65"/>
  <c r="D32" i="65"/>
  <c r="AK31" i="65"/>
  <c r="AH31" i="65"/>
  <c r="AB31" i="65"/>
  <c r="Y31" i="65"/>
  <c r="S31" i="65"/>
  <c r="M31" i="65"/>
  <c r="G31" i="65"/>
  <c r="D31" i="65"/>
  <c r="AK30" i="65"/>
  <c r="AH30" i="65"/>
  <c r="AE30" i="65"/>
  <c r="Y30" i="65"/>
  <c r="V30" i="65"/>
  <c r="S30" i="65"/>
  <c r="M30" i="65"/>
  <c r="G30" i="65"/>
  <c r="D30" i="65"/>
  <c r="Y29" i="65"/>
  <c r="AK28" i="65"/>
  <c r="AH28" i="65"/>
  <c r="Y28" i="65"/>
  <c r="V28" i="65"/>
  <c r="S28" i="65"/>
  <c r="G28" i="65"/>
  <c r="AK27" i="65"/>
  <c r="AH27" i="65"/>
  <c r="Y27" i="65"/>
  <c r="J27" i="65"/>
  <c r="G27" i="65"/>
  <c r="D27" i="65"/>
  <c r="AK26" i="65"/>
  <c r="AH26" i="65"/>
  <c r="AB26" i="65"/>
  <c r="Y26" i="65"/>
  <c r="V26" i="65"/>
  <c r="S26" i="65"/>
  <c r="G26" i="65"/>
  <c r="AK25" i="65"/>
  <c r="AH25" i="65"/>
  <c r="AB25" i="65"/>
  <c r="Y25" i="65"/>
  <c r="V25" i="65"/>
  <c r="S25" i="65"/>
  <c r="M25" i="65"/>
  <c r="G25" i="65"/>
  <c r="D25" i="65"/>
  <c r="AK24" i="65"/>
  <c r="AH24" i="65"/>
  <c r="AB24" i="65"/>
  <c r="Y24" i="65"/>
  <c r="V24" i="65"/>
  <c r="S24" i="65"/>
  <c r="M24" i="65"/>
  <c r="J24" i="65"/>
  <c r="G24" i="65"/>
  <c r="AK23" i="65"/>
  <c r="AH23" i="65"/>
  <c r="AB23" i="65"/>
  <c r="Y23" i="65"/>
  <c r="V23" i="65"/>
  <c r="S23" i="65"/>
  <c r="M23" i="65"/>
  <c r="J23" i="65"/>
  <c r="G23" i="65"/>
  <c r="D23" i="65"/>
  <c r="AB21" i="65"/>
  <c r="AK20" i="65"/>
  <c r="AH20" i="65"/>
  <c r="AE20" i="65"/>
  <c r="Y20" i="65"/>
  <c r="V20" i="65"/>
  <c r="S20" i="65"/>
  <c r="M20" i="65"/>
  <c r="J20" i="65"/>
  <c r="G20" i="65"/>
  <c r="D20" i="65"/>
  <c r="AK19" i="65"/>
  <c r="AH19" i="65"/>
  <c r="AE19" i="65"/>
  <c r="AB19" i="65"/>
  <c r="Y19" i="65"/>
  <c r="V19" i="65"/>
  <c r="S19" i="65"/>
  <c r="P19" i="65"/>
  <c r="M19" i="65"/>
  <c r="J19" i="65"/>
  <c r="G19" i="65"/>
  <c r="D19" i="65"/>
  <c r="AK17" i="65"/>
  <c r="AH17" i="65"/>
  <c r="AB17" i="65"/>
  <c r="Y17" i="65"/>
  <c r="V17" i="65"/>
  <c r="S17" i="65"/>
  <c r="J17" i="65"/>
  <c r="G17" i="65"/>
  <c r="AK16" i="65"/>
  <c r="AH16" i="65"/>
  <c r="AE16" i="65"/>
  <c r="Y16" i="65"/>
  <c r="V16" i="65"/>
  <c r="S16" i="65"/>
  <c r="M16" i="65"/>
  <c r="J16" i="65"/>
  <c r="G16" i="65"/>
  <c r="D16" i="65"/>
  <c r="AK15" i="65"/>
  <c r="AH15" i="65"/>
  <c r="AB15" i="65"/>
  <c r="Y15" i="65"/>
  <c r="V15" i="65"/>
  <c r="S15" i="65"/>
  <c r="M15" i="65"/>
  <c r="J15" i="65"/>
  <c r="G15" i="65"/>
  <c r="D15" i="65"/>
  <c r="AK14" i="65"/>
  <c r="Y14" i="65"/>
  <c r="AK13" i="65"/>
  <c r="AH13" i="65"/>
  <c r="AE13" i="65"/>
  <c r="Y13" i="65"/>
  <c r="V13" i="65"/>
  <c r="S13" i="65"/>
  <c r="M13" i="65"/>
  <c r="J13" i="65"/>
  <c r="G13" i="65"/>
  <c r="D13" i="65"/>
  <c r="AK12" i="65"/>
  <c r="AH12" i="65"/>
  <c r="Y12" i="65"/>
  <c r="V12" i="65"/>
  <c r="S12" i="65"/>
  <c r="M12" i="65"/>
  <c r="J12" i="65"/>
  <c r="G12" i="65"/>
  <c r="D12" i="65"/>
  <c r="AK11" i="65"/>
  <c r="AH11" i="65"/>
  <c r="AE11" i="65"/>
  <c r="AB11" i="65"/>
  <c r="Y11" i="65"/>
  <c r="V11" i="65"/>
  <c r="S11" i="65"/>
  <c r="P11" i="65"/>
  <c r="M11" i="65"/>
  <c r="J11" i="65"/>
  <c r="G11" i="65"/>
  <c r="D11" i="65"/>
  <c r="AK89" i="62"/>
  <c r="AH89" i="62"/>
  <c r="AB89" i="62"/>
  <c r="Y89" i="62"/>
  <c r="V89" i="62"/>
  <c r="S89" i="62"/>
  <c r="P89" i="62"/>
  <c r="M89" i="62"/>
  <c r="J89" i="62"/>
  <c r="G89" i="62"/>
  <c r="D89" i="62"/>
  <c r="AK88" i="62"/>
  <c r="AH88" i="62"/>
  <c r="AE88" i="62"/>
  <c r="AB88" i="62"/>
  <c r="Y88" i="62"/>
  <c r="V88" i="62"/>
  <c r="S88" i="62"/>
  <c r="P88" i="62"/>
  <c r="M88" i="62"/>
  <c r="G88" i="62"/>
  <c r="D88" i="62"/>
  <c r="AH87" i="62"/>
  <c r="AK86" i="62"/>
  <c r="AH86" i="62"/>
  <c r="AB86" i="62"/>
  <c r="Y86" i="62"/>
  <c r="V86" i="62"/>
  <c r="S86" i="62"/>
  <c r="M86" i="62"/>
  <c r="J86" i="62"/>
  <c r="G86" i="62"/>
  <c r="D86" i="62"/>
  <c r="AH83" i="62"/>
  <c r="V83" i="62"/>
  <c r="S83" i="62"/>
  <c r="M83" i="62"/>
  <c r="G83" i="62"/>
  <c r="D83" i="62"/>
  <c r="Y82" i="62"/>
  <c r="AK81" i="62"/>
  <c r="AH81" i="62"/>
  <c r="AE81" i="62"/>
  <c r="Y81" i="62"/>
  <c r="V81" i="62"/>
  <c r="S81" i="62"/>
  <c r="M81" i="62"/>
  <c r="J81" i="62"/>
  <c r="G81" i="62"/>
  <c r="D81" i="62"/>
  <c r="AK77" i="62"/>
  <c r="Y77" i="62"/>
  <c r="J77" i="62"/>
  <c r="G77" i="62"/>
  <c r="D77" i="62"/>
  <c r="AK76" i="62"/>
  <c r="AH76" i="62"/>
  <c r="Y76" i="62"/>
  <c r="V76" i="62"/>
  <c r="S76" i="62"/>
  <c r="D76" i="62"/>
  <c r="AK75" i="62"/>
  <c r="AH75" i="62"/>
  <c r="AB75" i="62"/>
  <c r="Y75" i="62"/>
  <c r="V75" i="62"/>
  <c r="S75" i="62"/>
  <c r="M75" i="62"/>
  <c r="G75" i="62"/>
  <c r="D75" i="62"/>
  <c r="AK74" i="62"/>
  <c r="AH74" i="62"/>
  <c r="AB74" i="62"/>
  <c r="Y74" i="62"/>
  <c r="V74" i="62"/>
  <c r="S74" i="62"/>
  <c r="M74" i="62"/>
  <c r="J74" i="62"/>
  <c r="G74" i="62"/>
  <c r="D74" i="62"/>
  <c r="AK73" i="62"/>
  <c r="AH73" i="62"/>
  <c r="AB73" i="62"/>
  <c r="Y73" i="62"/>
  <c r="V73" i="62"/>
  <c r="S73" i="62"/>
  <c r="M73" i="62"/>
  <c r="J73" i="62"/>
  <c r="G73" i="62"/>
  <c r="D73" i="62"/>
  <c r="AK71" i="62"/>
  <c r="AH71" i="62"/>
  <c r="AB71" i="62"/>
  <c r="Y71" i="62"/>
  <c r="S71" i="62"/>
  <c r="G71" i="62"/>
  <c r="AK70" i="62"/>
  <c r="AH70" i="62"/>
  <c r="AB70" i="62"/>
  <c r="Y70" i="62"/>
  <c r="V70" i="62"/>
  <c r="S70" i="62"/>
  <c r="M70" i="62"/>
  <c r="G70" i="62"/>
  <c r="AK69" i="62"/>
  <c r="AH69" i="62"/>
  <c r="AE69" i="62"/>
  <c r="AB69" i="62"/>
  <c r="Y69" i="62"/>
  <c r="V69" i="62"/>
  <c r="S69" i="62"/>
  <c r="P69" i="62"/>
  <c r="M69" i="62"/>
  <c r="J69" i="62"/>
  <c r="G69" i="62"/>
  <c r="D69" i="62"/>
  <c r="AK68" i="62"/>
  <c r="AH68" i="62"/>
  <c r="AE68" i="62"/>
  <c r="AB68" i="62"/>
  <c r="Y68" i="62"/>
  <c r="V68" i="62"/>
  <c r="S68" i="62"/>
  <c r="P68" i="62"/>
  <c r="M68" i="62"/>
  <c r="J68" i="62"/>
  <c r="G68" i="62"/>
  <c r="D68" i="62"/>
  <c r="AH59" i="62"/>
  <c r="Y59" i="62"/>
  <c r="S59" i="62"/>
  <c r="M59" i="62"/>
  <c r="J59" i="62"/>
  <c r="D59" i="62"/>
  <c r="AK58" i="62"/>
  <c r="S58" i="62"/>
  <c r="AK57" i="62"/>
  <c r="V57" i="62"/>
  <c r="S57" i="62"/>
  <c r="M57" i="62"/>
  <c r="G57" i="62"/>
  <c r="AK56" i="62"/>
  <c r="AH56" i="62"/>
  <c r="V56" i="62"/>
  <c r="S56" i="62"/>
  <c r="M56" i="62"/>
  <c r="J56" i="62"/>
  <c r="G56" i="62"/>
  <c r="D56" i="62"/>
  <c r="AK55" i="62"/>
  <c r="AH55" i="62"/>
  <c r="AE55" i="62"/>
  <c r="Y55" i="62"/>
  <c r="V55" i="62"/>
  <c r="S55" i="62"/>
  <c r="M55" i="62"/>
  <c r="J55" i="62"/>
  <c r="G55" i="62"/>
  <c r="D55" i="62"/>
  <c r="S53" i="62"/>
  <c r="S51" i="62"/>
  <c r="AK49" i="62"/>
  <c r="S49" i="62"/>
  <c r="AQ48" i="62"/>
  <c r="AN48" i="62"/>
  <c r="AH46" i="62"/>
  <c r="Y46" i="62"/>
  <c r="J46" i="62"/>
  <c r="D46" i="62"/>
  <c r="AH44" i="62"/>
  <c r="AB44" i="62"/>
  <c r="Y44" i="62"/>
  <c r="S44" i="62"/>
  <c r="M44" i="62"/>
  <c r="J44" i="62"/>
  <c r="G44" i="62"/>
  <c r="D44" i="62"/>
  <c r="AK43" i="62"/>
  <c r="AH43" i="62"/>
  <c r="AB43" i="62"/>
  <c r="Y43" i="62"/>
  <c r="S43" i="62"/>
  <c r="G43" i="62"/>
  <c r="D43" i="62"/>
  <c r="AB42" i="62"/>
  <c r="V42" i="62"/>
  <c r="S42" i="62"/>
  <c r="G42" i="62"/>
  <c r="AK41" i="62"/>
  <c r="AH41" i="62"/>
  <c r="AB41" i="62"/>
  <c r="Y41" i="62"/>
  <c r="V41" i="62"/>
  <c r="S41" i="62"/>
  <c r="M41" i="62"/>
  <c r="J41" i="62"/>
  <c r="G41" i="62"/>
  <c r="D41" i="62"/>
  <c r="AK40" i="62"/>
  <c r="AH40" i="62"/>
  <c r="AB40" i="62"/>
  <c r="Y40" i="62"/>
  <c r="V40" i="62"/>
  <c r="S40" i="62"/>
  <c r="J40" i="62"/>
  <c r="G40" i="62"/>
  <c r="D40" i="62"/>
  <c r="AK38" i="62"/>
  <c r="AH38" i="62"/>
  <c r="AB38" i="62"/>
  <c r="Y38" i="62"/>
  <c r="V38" i="62"/>
  <c r="S38" i="62"/>
  <c r="M38" i="62"/>
  <c r="AK37" i="62"/>
  <c r="AH37" i="62"/>
  <c r="Y37" i="62"/>
  <c r="S37" i="62"/>
  <c r="M37" i="62"/>
  <c r="G37" i="62"/>
  <c r="AK36" i="62"/>
  <c r="AH36" i="62"/>
  <c r="AB36" i="62"/>
  <c r="Y36" i="62"/>
  <c r="V36" i="62"/>
  <c r="S36" i="62"/>
  <c r="M36" i="62"/>
  <c r="G36" i="62"/>
  <c r="G35" i="62"/>
  <c r="AK34" i="62"/>
  <c r="AH34" i="62"/>
  <c r="AB34" i="62"/>
  <c r="Y34" i="62"/>
  <c r="V34" i="62"/>
  <c r="S34" i="62"/>
  <c r="G34" i="62"/>
  <c r="G33" i="62"/>
  <c r="AK28" i="62"/>
  <c r="AH28" i="62"/>
  <c r="AB28" i="62"/>
  <c r="Y28" i="62"/>
  <c r="V28" i="62"/>
  <c r="S28" i="62"/>
  <c r="M28" i="62"/>
  <c r="J28" i="62"/>
  <c r="G28" i="62"/>
  <c r="D28" i="62"/>
  <c r="AQ26" i="62"/>
  <c r="AN26" i="62"/>
  <c r="AH25" i="62"/>
  <c r="S25" i="62"/>
  <c r="J25" i="62"/>
  <c r="G25" i="62"/>
  <c r="AK24" i="62"/>
  <c r="AB24" i="62"/>
  <c r="S24" i="62"/>
  <c r="G24" i="62"/>
  <c r="AH23" i="62"/>
  <c r="Y23" i="62"/>
  <c r="V23" i="62"/>
  <c r="S23" i="62"/>
  <c r="G23" i="62"/>
  <c r="AK22" i="62"/>
  <c r="AH22" i="62"/>
  <c r="AB22" i="62"/>
  <c r="Y22" i="62"/>
  <c r="V22" i="62"/>
  <c r="S22" i="62"/>
  <c r="M22" i="62"/>
  <c r="J22" i="62"/>
  <c r="G22" i="62"/>
  <c r="D22" i="62"/>
  <c r="AK21" i="62"/>
  <c r="AH21" i="62"/>
  <c r="V21" i="62"/>
  <c r="S21" i="62"/>
  <c r="M21" i="62"/>
  <c r="J21" i="62"/>
  <c r="G21" i="62"/>
  <c r="D21" i="62"/>
  <c r="AK20" i="62"/>
  <c r="AH20" i="62"/>
  <c r="AB20" i="62"/>
  <c r="Y20" i="62"/>
  <c r="V20" i="62"/>
  <c r="S20" i="62"/>
  <c r="M20" i="62"/>
  <c r="J20" i="62"/>
  <c r="G20" i="62"/>
  <c r="AK19" i="62"/>
  <c r="AH19" i="62"/>
  <c r="AB19" i="62"/>
  <c r="S19" i="62"/>
  <c r="AH18" i="62"/>
  <c r="S18" i="62"/>
  <c r="AH17" i="62"/>
  <c r="AB17" i="62"/>
  <c r="S17" i="62"/>
  <c r="AK27" i="62"/>
  <c r="AK15" i="62"/>
  <c r="AH15" i="62"/>
  <c r="AB15" i="62"/>
  <c r="S15" i="62"/>
  <c r="G15" i="62"/>
  <c r="AN55" i="65" l="1"/>
  <c r="AN103" i="67"/>
  <c r="AQ113" i="67"/>
  <c r="AN66" i="67"/>
  <c r="AQ103" i="67"/>
  <c r="AN109" i="67"/>
  <c r="AQ66" i="67"/>
  <c r="AN113" i="67"/>
  <c r="AN55" i="66"/>
  <c r="AQ109" i="67"/>
  <c r="AQ55" i="66"/>
  <c r="AQ52" i="67"/>
  <c r="AQ51" i="67"/>
  <c r="AN51" i="67"/>
  <c r="AN52" i="67"/>
  <c r="L7" i="72"/>
  <c r="AQ61" i="62"/>
  <c r="AN61" i="62"/>
  <c r="P38" i="68"/>
  <c r="AQ69" i="67"/>
  <c r="AN63" i="67"/>
  <c r="AN81" i="67"/>
  <c r="AQ81" i="67"/>
  <c r="AQ63" i="67"/>
  <c r="AN69" i="67"/>
  <c r="D11" i="70"/>
  <c r="G11" i="70"/>
  <c r="AB35" i="70"/>
  <c r="J35" i="70"/>
  <c r="AQ30" i="66"/>
  <c r="AQ105" i="66"/>
  <c r="AN30" i="66"/>
  <c r="AN105" i="66"/>
  <c r="D43" i="68"/>
  <c r="AK43" i="68"/>
  <c r="AK43" i="69"/>
  <c r="AQ26" i="68"/>
  <c r="AH42" i="68"/>
  <c r="S44" i="68"/>
  <c r="AN84" i="62"/>
  <c r="AN140" i="67"/>
  <c r="S23" i="69"/>
  <c r="P16" i="70"/>
  <c r="AQ84" i="62"/>
  <c r="AN18" i="62"/>
  <c r="AN19" i="62"/>
  <c r="AN21" i="62"/>
  <c r="AQ22" i="62"/>
  <c r="AN117" i="67"/>
  <c r="AQ125" i="67"/>
  <c r="AN136" i="67"/>
  <c r="AN22" i="68"/>
  <c r="AE40" i="68"/>
  <c r="AH40" i="68"/>
  <c r="AK41" i="68"/>
  <c r="G42" i="68"/>
  <c r="AQ14" i="62"/>
  <c r="AQ37" i="62"/>
  <c r="AQ41" i="62"/>
  <c r="AQ52" i="62"/>
  <c r="AE54" i="62"/>
  <c r="AH54" i="62"/>
  <c r="AN59" i="62"/>
  <c r="AN69" i="62"/>
  <c r="AN70" i="62"/>
  <c r="AQ67" i="66"/>
  <c r="Y94" i="66"/>
  <c r="M43" i="68"/>
  <c r="J53" i="69"/>
  <c r="Y11" i="70"/>
  <c r="AB11" i="70"/>
  <c r="AK45" i="68"/>
  <c r="AK45" i="69"/>
  <c r="AH13" i="70"/>
  <c r="AQ34" i="66"/>
  <c r="AQ77" i="66"/>
  <c r="AN15" i="67"/>
  <c r="AQ45" i="67"/>
  <c r="AN132" i="67"/>
  <c r="AK19" i="69"/>
  <c r="AN86" i="66"/>
  <c r="AQ22" i="67"/>
  <c r="AQ53" i="67"/>
  <c r="AQ64" i="67"/>
  <c r="G48" i="68"/>
  <c r="M48" i="68"/>
  <c r="Y48" i="68"/>
  <c r="J48" i="69"/>
  <c r="AH15" i="70"/>
  <c r="AH12" i="71"/>
  <c r="V27" i="62"/>
  <c r="AQ40" i="62"/>
  <c r="AQ46" i="62"/>
  <c r="J14" i="65"/>
  <c r="AN15" i="65"/>
  <c r="AQ16" i="65"/>
  <c r="AN19" i="65"/>
  <c r="AN28" i="65"/>
  <c r="AQ108" i="66"/>
  <c r="AQ14" i="67"/>
  <c r="AN38" i="67"/>
  <c r="AQ50" i="67"/>
  <c r="AQ86" i="67"/>
  <c r="AQ93" i="67"/>
  <c r="AN94" i="67"/>
  <c r="AQ106" i="67"/>
  <c r="D42" i="68"/>
  <c r="AB42" i="68"/>
  <c r="V45" i="68"/>
  <c r="P48" i="69"/>
  <c r="AB52" i="69"/>
  <c r="M54" i="69"/>
  <c r="Y54" i="69"/>
  <c r="AH18" i="70"/>
  <c r="AH19" i="70"/>
  <c r="AH20" i="70"/>
  <c r="AQ33" i="66"/>
  <c r="AQ64" i="66"/>
  <c r="AQ71" i="66"/>
  <c r="AQ72" i="66"/>
  <c r="AQ74" i="66"/>
  <c r="AN78" i="66"/>
  <c r="AQ86" i="66"/>
  <c r="AN91" i="66"/>
  <c r="AN53" i="67"/>
  <c r="AQ55" i="67"/>
  <c r="AQ124" i="67"/>
  <c r="AQ22" i="68"/>
  <c r="AH39" i="68"/>
  <c r="P40" i="68"/>
  <c r="AB40" i="68"/>
  <c r="Y47" i="68"/>
  <c r="D48" i="68"/>
  <c r="P48" i="68"/>
  <c r="V48" i="68"/>
  <c r="AK22" i="69"/>
  <c r="AK26" i="69"/>
  <c r="Y48" i="69"/>
  <c r="G52" i="69"/>
  <c r="AQ71" i="62"/>
  <c r="AN74" i="62"/>
  <c r="AQ75" i="62"/>
  <c r="AQ81" i="62"/>
  <c r="AN83" i="62"/>
  <c r="AN86" i="62"/>
  <c r="AQ87" i="62"/>
  <c r="AQ89" i="62"/>
  <c r="AN28" i="66"/>
  <c r="AN12" i="67"/>
  <c r="AQ18" i="67"/>
  <c r="AQ42" i="67"/>
  <c r="AQ46" i="67"/>
  <c r="AN86" i="67"/>
  <c r="AQ89" i="67"/>
  <c r="AN90" i="67"/>
  <c r="AQ105" i="67"/>
  <c r="AQ21" i="68"/>
  <c r="AN34" i="68"/>
  <c r="D38" i="68"/>
  <c r="AK48" i="68"/>
  <c r="AK14" i="69"/>
  <c r="AK15" i="69"/>
  <c r="AH51" i="69"/>
  <c r="AK21" i="69"/>
  <c r="AK24" i="69"/>
  <c r="AK37" i="69"/>
  <c r="AK44" i="69"/>
  <c r="AE54" i="69"/>
  <c r="AH17" i="70"/>
  <c r="AH33" i="70"/>
  <c r="AH34" i="70"/>
  <c r="H26" i="9"/>
  <c r="D47" i="72"/>
  <c r="G26" i="9"/>
  <c r="B26" i="9"/>
  <c r="AN14" i="62"/>
  <c r="AN15" i="62"/>
  <c r="Y27" i="62"/>
  <c r="AN37" i="62"/>
  <c r="AN38" i="62"/>
  <c r="AN51" i="62"/>
  <c r="AN52" i="62"/>
  <c r="AQ55" i="62"/>
  <c r="AQ57" i="62"/>
  <c r="AQ68" i="62"/>
  <c r="AN17" i="65"/>
  <c r="AN20" i="65"/>
  <c r="AQ17" i="66"/>
  <c r="AQ28" i="66"/>
  <c r="AN33" i="66"/>
  <c r="AQ41" i="66"/>
  <c r="AN67" i="66"/>
  <c r="AQ91" i="66"/>
  <c r="AN96" i="66"/>
  <c r="AQ98" i="66"/>
  <c r="AQ107" i="66"/>
  <c r="AQ15" i="67"/>
  <c r="AN16" i="67"/>
  <c r="AN46" i="67"/>
  <c r="AQ74" i="67"/>
  <c r="AN84" i="67"/>
  <c r="AN85" i="67"/>
  <c r="AN97" i="67"/>
  <c r="AN99" i="67"/>
  <c r="AN100" i="67"/>
  <c r="AQ108" i="67"/>
  <c r="AN118" i="67"/>
  <c r="AN122" i="67"/>
  <c r="AN128" i="67"/>
  <c r="AN131" i="67"/>
  <c r="P43" i="68"/>
  <c r="AB44" i="68"/>
  <c r="V47" i="68"/>
  <c r="AB48" i="68"/>
  <c r="AK20" i="69"/>
  <c r="AE50" i="69"/>
  <c r="AH14" i="70"/>
  <c r="D40" i="68"/>
  <c r="AK34" i="69"/>
  <c r="AK39" i="69"/>
  <c r="AK40" i="69"/>
  <c r="G50" i="69"/>
  <c r="S50" i="69"/>
  <c r="AI40" i="70"/>
  <c r="S52" i="69"/>
  <c r="G31" i="70"/>
  <c r="S16" i="62"/>
  <c r="AQ28" i="62"/>
  <c r="AN33" i="62"/>
  <c r="AN40" i="62"/>
  <c r="AQ42" i="62"/>
  <c r="AN46" i="62"/>
  <c r="AQ69" i="62"/>
  <c r="AQ76" i="62"/>
  <c r="AN77" i="62"/>
  <c r="AN78" i="62"/>
  <c r="AQ82" i="62"/>
  <c r="AQ12" i="65"/>
  <c r="AN13" i="65"/>
  <c r="AN27" i="65"/>
  <c r="AN33" i="65"/>
  <c r="AN44" i="65"/>
  <c r="AN13" i="66"/>
  <c r="AN22" i="66"/>
  <c r="AN26" i="66"/>
  <c r="AN53" i="66"/>
  <c r="AK70" i="66"/>
  <c r="AN71" i="66"/>
  <c r="AN74" i="66"/>
  <c r="AQ78" i="66"/>
  <c r="AQ80" i="66"/>
  <c r="AQ16" i="67"/>
  <c r="AN17" i="67"/>
  <c r="AQ19" i="67"/>
  <c r="AK20" i="67"/>
  <c r="AN40" i="67"/>
  <c r="AQ60" i="67"/>
  <c r="AQ72" i="67"/>
  <c r="AQ77" i="67"/>
  <c r="AQ82" i="67"/>
  <c r="AQ84" i="67"/>
  <c r="AQ118" i="67"/>
  <c r="AQ140" i="67"/>
  <c r="AN12" i="68"/>
  <c r="AN19" i="68"/>
  <c r="V41" i="68"/>
  <c r="S43" i="68"/>
  <c r="Y43" i="68"/>
  <c r="AH45" i="68"/>
  <c r="M47" i="68"/>
  <c r="AK30" i="69"/>
  <c r="G49" i="69"/>
  <c r="M49" i="69"/>
  <c r="Y49" i="69"/>
  <c r="V51" i="69"/>
  <c r="AE51" i="69"/>
  <c r="AQ15" i="62"/>
  <c r="AQ17" i="62"/>
  <c r="AQ19" i="62"/>
  <c r="AQ21" i="62"/>
  <c r="AQ23" i="62"/>
  <c r="AN25" i="62"/>
  <c r="AQ33" i="62"/>
  <c r="AN41" i="62"/>
  <c r="AN42" i="62"/>
  <c r="AN43" i="62"/>
  <c r="AQ53" i="62"/>
  <c r="AN56" i="62"/>
  <c r="AN68" i="62"/>
  <c r="AQ86" i="62"/>
  <c r="AN87" i="62"/>
  <c r="AN88" i="62"/>
  <c r="AN89" i="62"/>
  <c r="AQ19" i="65"/>
  <c r="AQ14" i="66"/>
  <c r="AQ22" i="66"/>
  <c r="AQ36" i="66"/>
  <c r="AQ38" i="66"/>
  <c r="AN41" i="66"/>
  <c r="AN48" i="66"/>
  <c r="AQ57" i="66"/>
  <c r="AN58" i="66"/>
  <c r="AN107" i="66"/>
  <c r="AN108" i="66"/>
  <c r="AN72" i="67"/>
  <c r="AN127" i="67"/>
  <c r="M11" i="69"/>
  <c r="AE23" i="69"/>
  <c r="S41" i="69"/>
  <c r="S11" i="70"/>
  <c r="AH35" i="62"/>
  <c r="Y39" i="62"/>
  <c r="AN58" i="62"/>
  <c r="AQ50" i="66"/>
  <c r="AQ63" i="66"/>
  <c r="AN84" i="66"/>
  <c r="Y11" i="69"/>
  <c r="V35" i="69"/>
  <c r="V16" i="70"/>
  <c r="S31" i="70"/>
  <c r="AB31" i="70"/>
  <c r="S142" i="67"/>
  <c r="AN23" i="62"/>
  <c r="AN24" i="62"/>
  <c r="AQ38" i="62"/>
  <c r="S39" i="62"/>
  <c r="AQ43" i="62"/>
  <c r="AN44" i="62"/>
  <c r="AQ49" i="62"/>
  <c r="AQ51" i="62"/>
  <c r="AN55" i="62"/>
  <c r="AQ56" i="62"/>
  <c r="AQ58" i="62"/>
  <c r="AQ59" i="62"/>
  <c r="AQ70" i="62"/>
  <c r="AQ74" i="62"/>
  <c r="AN75" i="62"/>
  <c r="AN76" i="62"/>
  <c r="AQ77" i="62"/>
  <c r="AQ78" i="62"/>
  <c r="AN82" i="62"/>
  <c r="AQ15" i="65"/>
  <c r="AQ20" i="65"/>
  <c r="G21" i="65"/>
  <c r="AH21" i="65"/>
  <c r="AN38" i="65"/>
  <c r="AN39" i="65"/>
  <c r="G20" i="66"/>
  <c r="AQ24" i="66"/>
  <c r="AN36" i="66"/>
  <c r="AQ48" i="66"/>
  <c r="AQ53" i="66"/>
  <c r="AQ62" i="66"/>
  <c r="AN63" i="66"/>
  <c r="AN69" i="66"/>
  <c r="AQ75" i="66"/>
  <c r="AN79" i="66"/>
  <c r="AQ84" i="66"/>
  <c r="AN93" i="66"/>
  <c r="AN98" i="66"/>
  <c r="AN22" i="67"/>
  <c r="AN42" i="67"/>
  <c r="AN55" i="67"/>
  <c r="AN64" i="67"/>
  <c r="M40" i="68"/>
  <c r="AN18" i="67"/>
  <c r="AN48" i="67"/>
  <c r="AN60" i="67"/>
  <c r="AN61" i="67"/>
  <c r="AQ65" i="67"/>
  <c r="AN70" i="67"/>
  <c r="AN82" i="67"/>
  <c r="AQ85" i="67"/>
  <c r="AN89" i="67"/>
  <c r="AQ90" i="67"/>
  <c r="AN93" i="67"/>
  <c r="AQ94" i="67"/>
  <c r="AQ96" i="67"/>
  <c r="AN98" i="67"/>
  <c r="AQ99" i="67"/>
  <c r="AN110" i="67"/>
  <c r="AQ117" i="67"/>
  <c r="AQ122" i="67"/>
  <c r="AQ123" i="67"/>
  <c r="AQ131" i="67"/>
  <c r="AQ139" i="67"/>
  <c r="AQ14" i="68"/>
  <c r="AN29" i="68"/>
  <c r="AQ34" i="68"/>
  <c r="G38" i="68"/>
  <c r="G40" i="68"/>
  <c r="S42" i="68"/>
  <c r="AB43" i="68"/>
  <c r="AB47" i="68"/>
  <c r="J48" i="68"/>
  <c r="AE48" i="68"/>
  <c r="AK25" i="69"/>
  <c r="S47" i="69"/>
  <c r="AK38" i="69"/>
  <c r="J49" i="69"/>
  <c r="Y53" i="69"/>
  <c r="G54" i="69"/>
  <c r="AH30" i="70"/>
  <c r="AH11" i="71"/>
  <c r="AN13" i="67"/>
  <c r="AN21" i="67"/>
  <c r="AN39" i="67"/>
  <c r="AQ48" i="67"/>
  <c r="AN50" i="67"/>
  <c r="AQ57" i="67"/>
  <c r="AQ61" i="67"/>
  <c r="AN65" i="67"/>
  <c r="AN74" i="67"/>
  <c r="AN125" i="67"/>
  <c r="AQ128" i="67"/>
  <c r="AQ134" i="67"/>
  <c r="AQ136" i="67"/>
  <c r="AN139" i="67"/>
  <c r="AN143" i="67"/>
  <c r="AN17" i="68"/>
  <c r="AN31" i="68"/>
  <c r="J40" i="68"/>
  <c r="AH43" i="68"/>
  <c r="AK47" i="68"/>
  <c r="AK13" i="69"/>
  <c r="AE53" i="69"/>
  <c r="S54" i="69"/>
  <c r="AQ129" i="67"/>
  <c r="AQ24" i="68"/>
  <c r="AQ29" i="68"/>
  <c r="J38" i="68"/>
  <c r="Y44" i="68"/>
  <c r="AH47" i="68"/>
  <c r="S48" i="68"/>
  <c r="S11" i="69"/>
  <c r="AK31" i="69"/>
  <c r="J51" i="69"/>
  <c r="V54" i="69"/>
  <c r="AB54" i="69"/>
  <c r="AH36" i="70"/>
  <c r="J29" i="65"/>
  <c r="D104" i="67"/>
  <c r="S20" i="68"/>
  <c r="M16" i="70"/>
  <c r="M54" i="62"/>
  <c r="AK79" i="62"/>
  <c r="AB16" i="62"/>
  <c r="G54" i="62"/>
  <c r="AB14" i="65"/>
  <c r="S29" i="65"/>
  <c r="AN40" i="65"/>
  <c r="J94" i="66"/>
  <c r="AK106" i="66"/>
  <c r="AK20" i="68"/>
  <c r="P31" i="70"/>
  <c r="J11" i="70"/>
  <c r="J44" i="66"/>
  <c r="V85" i="62"/>
  <c r="D94" i="66"/>
  <c r="AH16" i="62"/>
  <c r="D14" i="65"/>
  <c r="AH29" i="65"/>
  <c r="D44" i="66"/>
  <c r="Y56" i="66"/>
  <c r="AQ18" i="62"/>
  <c r="AN49" i="62"/>
  <c r="AN71" i="62"/>
  <c r="AQ88" i="62"/>
  <c r="AN12" i="65"/>
  <c r="AN26" i="65"/>
  <c r="AP45" i="68"/>
  <c r="AQ27" i="66"/>
  <c r="AH56" i="66"/>
  <c r="AN77" i="66"/>
  <c r="G82" i="66"/>
  <c r="G56" i="67"/>
  <c r="AN124" i="67"/>
  <c r="M35" i="62"/>
  <c r="AK35" i="62"/>
  <c r="AN36" i="62"/>
  <c r="V39" i="62"/>
  <c r="AB39" i="62"/>
  <c r="AK54" i="62"/>
  <c r="AQ73" i="62"/>
  <c r="AK16" i="62"/>
  <c r="AN17" i="62"/>
  <c r="AN20" i="62"/>
  <c r="AQ24" i="62"/>
  <c r="AN28" i="62"/>
  <c r="AQ34" i="62"/>
  <c r="AQ36" i="62"/>
  <c r="AQ44" i="62"/>
  <c r="AN53" i="62"/>
  <c r="D54" i="62"/>
  <c r="J54" i="62"/>
  <c r="AN73" i="62"/>
  <c r="AH79" i="62"/>
  <c r="AN81" i="62"/>
  <c r="AQ83" i="62"/>
  <c r="S85" i="62"/>
  <c r="Y85" i="62"/>
  <c r="AN11" i="65"/>
  <c r="AQ13" i="65"/>
  <c r="P14" i="65"/>
  <c r="AN16" i="65"/>
  <c r="AQ17" i="65"/>
  <c r="M21" i="65"/>
  <c r="AN23" i="65"/>
  <c r="AN24" i="65"/>
  <c r="AN25" i="65"/>
  <c r="G29" i="65"/>
  <c r="AN32" i="65"/>
  <c r="AL38" i="68"/>
  <c r="AQ26" i="66"/>
  <c r="AN29" i="66"/>
  <c r="AN38" i="66"/>
  <c r="AN46" i="66"/>
  <c r="AN57" i="66"/>
  <c r="AN62" i="66"/>
  <c r="G70" i="66"/>
  <c r="AQ79" i="66"/>
  <c r="AQ83" i="66"/>
  <c r="AN95" i="66"/>
  <c r="AQ96" i="66"/>
  <c r="AQ13" i="67"/>
  <c r="AQ40" i="67"/>
  <c r="AN58" i="67"/>
  <c r="G92" i="67"/>
  <c r="AQ97" i="67"/>
  <c r="AN129" i="67"/>
  <c r="AK130" i="67"/>
  <c r="AQ12" i="68"/>
  <c r="AN26" i="68"/>
  <c r="Y39" i="68"/>
  <c r="G41" i="68"/>
  <c r="V42" i="68"/>
  <c r="M35" i="69"/>
  <c r="P11" i="70"/>
  <c r="P35" i="70"/>
  <c r="D36" i="70"/>
  <c r="V38" i="68"/>
  <c r="AQ25" i="62"/>
  <c r="AN57" i="62"/>
  <c r="AM42" i="68"/>
  <c r="AP47" i="68"/>
  <c r="AQ25" i="66"/>
  <c r="AN22" i="62"/>
  <c r="AQ11" i="65"/>
  <c r="V14" i="65"/>
  <c r="AE34" i="65"/>
  <c r="S21" i="65"/>
  <c r="AK21" i="65"/>
  <c r="D29" i="65"/>
  <c r="M29" i="65"/>
  <c r="AL45" i="68"/>
  <c r="AH44" i="66"/>
  <c r="Y70" i="66"/>
  <c r="AQ76" i="66"/>
  <c r="AQ100" i="66"/>
  <c r="D106" i="66"/>
  <c r="M106" i="66"/>
  <c r="AH20" i="67"/>
  <c r="AH56" i="67"/>
  <c r="AQ101" i="67"/>
  <c r="AQ135" i="67"/>
  <c r="Y40" i="68"/>
  <c r="AN37" i="65"/>
  <c r="AP43" i="68"/>
  <c r="AO44" i="68"/>
  <c r="AN27" i="66"/>
  <c r="AQ29" i="66"/>
  <c r="AN34" i="66"/>
  <c r="AQ46" i="66"/>
  <c r="AN50" i="66"/>
  <c r="AQ58" i="66"/>
  <c r="AN64" i="66"/>
  <c r="AN75" i="66"/>
  <c r="AN76" i="66"/>
  <c r="AN80" i="66"/>
  <c r="AN88" i="66"/>
  <c r="AQ93" i="66"/>
  <c r="AN103" i="66"/>
  <c r="AQ17" i="67"/>
  <c r="D20" i="67"/>
  <c r="V20" i="67"/>
  <c r="AQ21" i="67"/>
  <c r="AK40" i="68"/>
  <c r="AQ38" i="67"/>
  <c r="AQ39" i="67"/>
  <c r="V56" i="67"/>
  <c r="AN57" i="67"/>
  <c r="AQ58" i="67"/>
  <c r="AN62" i="67"/>
  <c r="AH68" i="67"/>
  <c r="AN96" i="67"/>
  <c r="AQ98" i="67"/>
  <c r="AQ100" i="67"/>
  <c r="AN105" i="67"/>
  <c r="AN126" i="67"/>
  <c r="AQ132" i="67"/>
  <c r="AQ143" i="67"/>
  <c r="AQ144" i="67"/>
  <c r="AQ19" i="68"/>
  <c r="G20" i="68"/>
  <c r="AN21" i="68"/>
  <c r="AQ31" i="68"/>
  <c r="S38" i="68"/>
  <c r="Y38" i="68"/>
  <c r="V39" i="68"/>
  <c r="AB39" i="68"/>
  <c r="Y42" i="68"/>
  <c r="G43" i="68"/>
  <c r="Y45" i="68"/>
  <c r="AE11" i="69"/>
  <c r="AK18" i="69"/>
  <c r="AH52" i="69"/>
  <c r="M23" i="69"/>
  <c r="AH48" i="69"/>
  <c r="AH54" i="69"/>
  <c r="D49" i="69"/>
  <c r="AI37" i="70"/>
  <c r="AJ42" i="70"/>
  <c r="J54" i="69"/>
  <c r="V11" i="70"/>
  <c r="V35" i="70"/>
  <c r="D31" i="70"/>
  <c r="AQ41" i="67"/>
  <c r="AN77" i="67"/>
  <c r="AQ91" i="67"/>
  <c r="AQ126" i="67"/>
  <c r="AN134" i="67"/>
  <c r="AN144" i="67"/>
  <c r="J43" i="68"/>
  <c r="AK29" i="69"/>
  <c r="G35" i="69"/>
  <c r="AE11" i="70"/>
  <c r="AH40" i="70"/>
  <c r="V43" i="68"/>
  <c r="AK16" i="69"/>
  <c r="AH23" i="69"/>
  <c r="AK32" i="69"/>
  <c r="AK33" i="69"/>
  <c r="AB35" i="69"/>
  <c r="AE35" i="69"/>
  <c r="G41" i="69"/>
  <c r="AH41" i="69"/>
  <c r="AK42" i="69"/>
  <c r="D48" i="69"/>
  <c r="AE49" i="69"/>
  <c r="D50" i="69"/>
  <c r="J50" i="69"/>
  <c r="P50" i="69"/>
  <c r="Y51" i="69"/>
  <c r="P26" i="70"/>
  <c r="AH48" i="68"/>
  <c r="AK12" i="69"/>
  <c r="AK28" i="69"/>
  <c r="G48" i="69"/>
  <c r="G51" i="69"/>
  <c r="AH37" i="70"/>
  <c r="AH39" i="70"/>
  <c r="AJ38" i="70"/>
  <c r="AK36" i="69"/>
  <c r="D11" i="69"/>
  <c r="AH11" i="69"/>
  <c r="AH49" i="69"/>
  <c r="G23" i="69"/>
  <c r="D35" i="69"/>
  <c r="J35" i="69"/>
  <c r="S35" i="69"/>
  <c r="Y35" i="69"/>
  <c r="AH35" i="69"/>
  <c r="G53" i="69"/>
  <c r="G11" i="69"/>
  <c r="J11" i="69"/>
  <c r="V11" i="69"/>
  <c r="AK17" i="69"/>
  <c r="AK27" i="69"/>
  <c r="V41" i="69"/>
  <c r="Y41" i="69"/>
  <c r="AE41" i="69"/>
  <c r="AE48" i="69"/>
  <c r="AI36" i="70"/>
  <c r="M51" i="69"/>
  <c r="AB11" i="69"/>
  <c r="D23" i="69"/>
  <c r="Y23" i="69"/>
  <c r="P49" i="69"/>
  <c r="D51" i="69"/>
  <c r="AJ41" i="70"/>
  <c r="D54" i="69"/>
  <c r="AH12" i="70"/>
  <c r="AN57" i="65"/>
  <c r="G34" i="65"/>
  <c r="AN56" i="65"/>
  <c r="AO47" i="68"/>
  <c r="AQ21" i="66"/>
  <c r="AK116" i="67"/>
  <c r="S14" i="65"/>
  <c r="J21" i="65"/>
  <c r="V21" i="65"/>
  <c r="AE21" i="65"/>
  <c r="AK29" i="65"/>
  <c r="AB34" i="65"/>
  <c r="AL40" i="68"/>
  <c r="AN14" i="66"/>
  <c r="AM43" i="68"/>
  <c r="AP44" i="68"/>
  <c r="G32" i="66"/>
  <c r="D82" i="66"/>
  <c r="AK38" i="68"/>
  <c r="AP38" i="68"/>
  <c r="AN36" i="67"/>
  <c r="S130" i="67"/>
  <c r="AB29" i="65"/>
  <c r="AN30" i="65"/>
  <c r="AO38" i="68"/>
  <c r="AQ12" i="66"/>
  <c r="AO39" i="68"/>
  <c r="AQ13" i="66"/>
  <c r="AO40" i="68"/>
  <c r="AM41" i="68"/>
  <c r="AP42" i="68"/>
  <c r="AM47" i="68"/>
  <c r="AM48" i="68"/>
  <c r="AN24" i="66"/>
  <c r="AQ43" i="66"/>
  <c r="Y44" i="66"/>
  <c r="G56" i="66"/>
  <c r="AQ69" i="66"/>
  <c r="AN70" i="66"/>
  <c r="G106" i="66"/>
  <c r="AN14" i="67"/>
  <c r="AN19" i="67"/>
  <c r="AN45" i="67"/>
  <c r="Y56" i="67"/>
  <c r="AQ62" i="67"/>
  <c r="AQ70" i="67"/>
  <c r="AH80" i="67"/>
  <c r="AN106" i="67"/>
  <c r="AQ110" i="67"/>
  <c r="AN24" i="68"/>
  <c r="AP39" i="68"/>
  <c r="V29" i="65"/>
  <c r="AH32" i="66"/>
  <c r="AE56" i="66"/>
  <c r="AE106" i="66"/>
  <c r="AN104" i="67"/>
  <c r="G14" i="65"/>
  <c r="M14" i="65"/>
  <c r="AE14" i="65"/>
  <c r="D21" i="65"/>
  <c r="P21" i="65"/>
  <c r="AO41" i="68"/>
  <c r="AM45" i="68"/>
  <c r="AQ19" i="66"/>
  <c r="AK20" i="66"/>
  <c r="M94" i="66"/>
  <c r="D46" i="68"/>
  <c r="AH14" i="65"/>
  <c r="Y21" i="65"/>
  <c r="AN31" i="65"/>
  <c r="AN42" i="65"/>
  <c r="AN12" i="66"/>
  <c r="AO42" i="68"/>
  <c r="AQ16" i="66"/>
  <c r="AN17" i="66"/>
  <c r="AL44" i="68"/>
  <c r="AN18" i="66"/>
  <c r="AQ18" i="66"/>
  <c r="AN19" i="66"/>
  <c r="Y20" i="66"/>
  <c r="AP48" i="68"/>
  <c r="AN25" i="66"/>
  <c r="AK44" i="66"/>
  <c r="AN83" i="66"/>
  <c r="Y106" i="66"/>
  <c r="Y20" i="67"/>
  <c r="AK56" i="67"/>
  <c r="AN108" i="67"/>
  <c r="S47" i="68"/>
  <c r="AM39" i="68"/>
  <c r="AL42" i="68"/>
  <c r="AN16" i="66"/>
  <c r="AO43" i="68"/>
  <c r="AM44" i="68"/>
  <c r="AB46" i="68"/>
  <c r="AL47" i="68"/>
  <c r="AN21" i="66"/>
  <c r="AO48" i="68"/>
  <c r="AN43" i="66"/>
  <c r="P44" i="66"/>
  <c r="AQ56" i="66"/>
  <c r="AQ70" i="66"/>
  <c r="AN72" i="66"/>
  <c r="AQ88" i="66"/>
  <c r="AQ95" i="66"/>
  <c r="AN100" i="66"/>
  <c r="AQ103" i="66"/>
  <c r="AH106" i="66"/>
  <c r="AQ12" i="67"/>
  <c r="AN41" i="67"/>
  <c r="AN91" i="67"/>
  <c r="AH92" i="67"/>
  <c r="AN101" i="67"/>
  <c r="AN123" i="67"/>
  <c r="AB130" i="67"/>
  <c r="J32" i="68"/>
  <c r="G39" i="68"/>
  <c r="AL39" i="68"/>
  <c r="AL41" i="68"/>
  <c r="AP41" i="68"/>
  <c r="AL43" i="68"/>
  <c r="AO45" i="68"/>
  <c r="AL48" i="68"/>
  <c r="AQ20" i="67"/>
  <c r="AQ68" i="67"/>
  <c r="AN92" i="67"/>
  <c r="AQ127" i="67"/>
  <c r="AN130" i="67"/>
  <c r="AQ138" i="67"/>
  <c r="M38" i="68"/>
  <c r="S40" i="68"/>
  <c r="AN138" i="67"/>
  <c r="AN14" i="68"/>
  <c r="AQ17" i="68"/>
  <c r="AK32" i="68"/>
  <c r="AB38" i="68"/>
  <c r="AH38" i="68"/>
  <c r="Y41" i="68"/>
  <c r="AN135" i="67"/>
  <c r="AE47" i="68"/>
  <c r="D20" i="68"/>
  <c r="J20" i="68"/>
  <c r="P20" i="68"/>
  <c r="AH20" i="68"/>
  <c r="D32" i="68"/>
  <c r="S39" i="68"/>
  <c r="AK42" i="68"/>
  <c r="AN20" i="68"/>
  <c r="V40" i="68"/>
  <c r="G47" i="68"/>
  <c r="G32" i="68"/>
  <c r="Y32" i="68"/>
  <c r="S27" i="62"/>
  <c r="P29" i="62"/>
  <c r="G27" i="62"/>
  <c r="J27" i="62"/>
  <c r="D27" i="62"/>
  <c r="M27" i="62"/>
  <c r="AE29" i="62"/>
  <c r="V35" i="62"/>
  <c r="AN16" i="62"/>
  <c r="AN34" i="62"/>
  <c r="S35" i="62"/>
  <c r="M39" i="62"/>
  <c r="AH39" i="62"/>
  <c r="AQ16" i="62"/>
  <c r="D20" i="62"/>
  <c r="AQ20" i="62"/>
  <c r="Y35" i="62"/>
  <c r="G39" i="62"/>
  <c r="AK39" i="62"/>
  <c r="D39" i="62"/>
  <c r="AB35" i="62"/>
  <c r="J39" i="62"/>
  <c r="V54" i="62"/>
  <c r="G79" i="62"/>
  <c r="M79" i="62"/>
  <c r="S79" i="62"/>
  <c r="Y79" i="62"/>
  <c r="G85" i="62"/>
  <c r="M85" i="62"/>
  <c r="AK85" i="62"/>
  <c r="S91" i="62"/>
  <c r="S50" i="62"/>
  <c r="S54" i="62"/>
  <c r="Y54" i="62"/>
  <c r="D79" i="62"/>
  <c r="J79" i="62"/>
  <c r="P79" i="62"/>
  <c r="V79" i="62"/>
  <c r="AB79" i="62"/>
  <c r="D85" i="62"/>
  <c r="J85" i="62"/>
  <c r="AE85" i="62"/>
  <c r="AH85" i="62"/>
  <c r="AQ92" i="67" l="1"/>
  <c r="AH31" i="70"/>
  <c r="AQ116" i="67"/>
  <c r="AN32" i="68"/>
  <c r="AM40" i="68"/>
  <c r="AN40" i="68" s="1"/>
  <c r="AQ44" i="68"/>
  <c r="AQ36" i="67"/>
  <c r="AQ45" i="68"/>
  <c r="AN43" i="68"/>
  <c r="AK49" i="69"/>
  <c r="AQ32" i="67"/>
  <c r="AQ94" i="66"/>
  <c r="C26" i="9"/>
  <c r="C65" i="9" s="1"/>
  <c r="AQ39" i="62"/>
  <c r="B65" i="9"/>
  <c r="M26" i="8"/>
  <c r="AE35" i="70"/>
  <c r="AQ20" i="68"/>
  <c r="AE47" i="69"/>
  <c r="AH27" i="62"/>
  <c r="AN41" i="68"/>
  <c r="AJ36" i="70"/>
  <c r="AK36" i="70" s="1"/>
  <c r="P46" i="68"/>
  <c r="AN27" i="62"/>
  <c r="AQ27" i="62"/>
  <c r="AB27" i="62"/>
  <c r="AN42" i="68"/>
  <c r="AQ106" i="66"/>
  <c r="AH26" i="70"/>
  <c r="AK52" i="69"/>
  <c r="AH16" i="70"/>
  <c r="AQ43" i="68"/>
  <c r="AQ14" i="65"/>
  <c r="AK41" i="69"/>
  <c r="Y47" i="69"/>
  <c r="AQ21" i="65"/>
  <c r="AN45" i="68"/>
  <c r="AN44" i="68"/>
  <c r="AH47" i="69"/>
  <c r="AN35" i="62"/>
  <c r="P91" i="62"/>
  <c r="AQ79" i="62"/>
  <c r="AN47" i="68"/>
  <c r="AP40" i="68"/>
  <c r="AQ40" i="68" s="1"/>
  <c r="AJ37" i="70"/>
  <c r="AK37" i="70" s="1"/>
  <c r="AK50" i="69"/>
  <c r="M35" i="70"/>
  <c r="AJ39" i="70"/>
  <c r="AQ47" i="68"/>
  <c r="AJ40" i="70"/>
  <c r="AK40" i="70" s="1"/>
  <c r="AN79" i="62"/>
  <c r="S35" i="70"/>
  <c r="Y35" i="70"/>
  <c r="AK23" i="69"/>
  <c r="AH11" i="70"/>
  <c r="AK48" i="69"/>
  <c r="G47" i="69"/>
  <c r="M47" i="69"/>
  <c r="D47" i="69"/>
  <c r="AK35" i="69"/>
  <c r="D35" i="70"/>
  <c r="AB47" i="69"/>
  <c r="V47" i="69"/>
  <c r="AK53" i="69"/>
  <c r="AI41" i="70"/>
  <c r="AK41" i="70" s="1"/>
  <c r="J47" i="69"/>
  <c r="G35" i="70"/>
  <c r="AI42" i="70"/>
  <c r="AK42" i="70" s="1"/>
  <c r="AK54" i="69"/>
  <c r="AI38" i="70"/>
  <c r="AK38" i="70" s="1"/>
  <c r="AK51" i="69"/>
  <c r="AI39" i="70"/>
  <c r="P47" i="69"/>
  <c r="AK11" i="69"/>
  <c r="G46" i="68"/>
  <c r="AN44" i="66"/>
  <c r="AQ80" i="67"/>
  <c r="AN20" i="67"/>
  <c r="AQ32" i="66"/>
  <c r="AQ38" i="68"/>
  <c r="P34" i="65"/>
  <c r="J34" i="65"/>
  <c r="G41" i="65"/>
  <c r="AN48" i="68"/>
  <c r="AN39" i="68"/>
  <c r="AN116" i="67"/>
  <c r="J46" i="68"/>
  <c r="AQ42" i="68"/>
  <c r="AN29" i="65"/>
  <c r="AQ20" i="66"/>
  <c r="AN44" i="67"/>
  <c r="AN56" i="66"/>
  <c r="AN14" i="65"/>
  <c r="S46" i="68"/>
  <c r="AM38" i="68"/>
  <c r="AN38" i="68" s="1"/>
  <c r="AQ32" i="68"/>
  <c r="AN68" i="67"/>
  <c r="AN32" i="67"/>
  <c r="AL46" i="68"/>
  <c r="AN94" i="66"/>
  <c r="AN82" i="66"/>
  <c r="M46" i="68"/>
  <c r="AH34" i="65"/>
  <c r="AN21" i="65"/>
  <c r="V46" i="68"/>
  <c r="M34" i="65"/>
  <c r="AE46" i="68"/>
  <c r="AN56" i="67"/>
  <c r="AN32" i="66"/>
  <c r="AQ39" i="68"/>
  <c r="AB41" i="65"/>
  <c r="AK34" i="65"/>
  <c r="AQ142" i="67"/>
  <c r="AQ82" i="66"/>
  <c r="AK46" i="68"/>
  <c r="AH46" i="68"/>
  <c r="AQ130" i="67"/>
  <c r="AQ48" i="68"/>
  <c r="AN80" i="67"/>
  <c r="Y46" i="68"/>
  <c r="AM46" i="68"/>
  <c r="AN20" i="66"/>
  <c r="V34" i="65"/>
  <c r="AQ44" i="66"/>
  <c r="AQ41" i="68"/>
  <c r="D34" i="65"/>
  <c r="AQ104" i="67"/>
  <c r="AQ56" i="67"/>
  <c r="AN106" i="66"/>
  <c r="Y34" i="65"/>
  <c r="AN142" i="67"/>
  <c r="AO46" i="68"/>
  <c r="S34" i="65"/>
  <c r="V60" i="62"/>
  <c r="AH29" i="62"/>
  <c r="AB29" i="62"/>
  <c r="AN85" i="62"/>
  <c r="AK60" i="62"/>
  <c r="V91" i="62"/>
  <c r="AQ85" i="62"/>
  <c r="AQ54" i="62"/>
  <c r="Y91" i="62"/>
  <c r="AQ50" i="62"/>
  <c r="AB45" i="62"/>
  <c r="V45" i="62"/>
  <c r="J29" i="62"/>
  <c r="Y29" i="62"/>
  <c r="J91" i="62"/>
  <c r="D91" i="62"/>
  <c r="D45" i="62"/>
  <c r="AE60" i="62"/>
  <c r="AE91" i="62"/>
  <c r="AK45" i="62"/>
  <c r="AK91" i="62"/>
  <c r="J60" i="62"/>
  <c r="AN50" i="62"/>
  <c r="M45" i="62"/>
  <c r="Y45" i="62"/>
  <c r="AN54" i="62"/>
  <c r="S45" i="62"/>
  <c r="AK29" i="62"/>
  <c r="M29" i="62"/>
  <c r="AN29" i="62"/>
  <c r="D29" i="62"/>
  <c r="AQ29" i="62"/>
  <c r="G29" i="62"/>
  <c r="S29" i="62"/>
  <c r="G60" i="62"/>
  <c r="AB91" i="62"/>
  <c r="S60" i="62"/>
  <c r="M60" i="62"/>
  <c r="M91" i="62"/>
  <c r="Y60" i="62"/>
  <c r="AH45" i="62"/>
  <c r="AH60" i="62"/>
  <c r="D60" i="62"/>
  <c r="AH91" i="62"/>
  <c r="G91" i="62"/>
  <c r="AQ35" i="62"/>
  <c r="G45" i="62"/>
  <c r="AN39" i="62"/>
  <c r="J45" i="62"/>
  <c r="V29" i="62"/>
  <c r="D65" i="9" l="1"/>
  <c r="AK39" i="70"/>
  <c r="AP46" i="68"/>
  <c r="AQ46" i="68" s="1"/>
  <c r="N26" i="8"/>
  <c r="AE41" i="65"/>
  <c r="AQ44" i="67"/>
  <c r="AN91" i="62"/>
  <c r="AN34" i="65"/>
  <c r="AK47" i="69"/>
  <c r="AI35" i="70"/>
  <c r="AJ35" i="70"/>
  <c r="AH35" i="70"/>
  <c r="V41" i="65"/>
  <c r="AB43" i="65"/>
  <c r="M41" i="65"/>
  <c r="G43" i="65"/>
  <c r="J41" i="65"/>
  <c r="S41" i="65"/>
  <c r="Y41" i="65"/>
  <c r="D41" i="65"/>
  <c r="AN41" i="65"/>
  <c r="AH41" i="65"/>
  <c r="AN46" i="68"/>
  <c r="P41" i="65"/>
  <c r="AK41" i="65"/>
  <c r="AE43" i="65"/>
  <c r="AH64" i="62"/>
  <c r="J64" i="62"/>
  <c r="D62" i="62"/>
  <c r="G62" i="62"/>
  <c r="AN60" i="62"/>
  <c r="AK64" i="62"/>
  <c r="M62" i="62"/>
  <c r="AK62" i="62"/>
  <c r="AB62" i="62"/>
  <c r="V64" i="62"/>
  <c r="AE62" i="62"/>
  <c r="AH62" i="62"/>
  <c r="AQ91" i="62"/>
  <c r="AN45" i="62"/>
  <c r="V62" i="62"/>
  <c r="J62" i="62"/>
  <c r="AQ60" i="62"/>
  <c r="S64" i="62"/>
  <c r="M64" i="62"/>
  <c r="S62" i="62"/>
  <c r="Y62" i="62"/>
  <c r="AQ45" i="62"/>
  <c r="G33" i="4"/>
  <c r="I33" i="4" l="1"/>
  <c r="H33" i="4"/>
  <c r="AK35" i="70"/>
  <c r="AK43" i="65"/>
  <c r="P43" i="65"/>
  <c r="AN43" i="65"/>
  <c r="D43" i="65"/>
  <c r="S43" i="65"/>
  <c r="G45" i="65"/>
  <c r="M43" i="65"/>
  <c r="J43" i="65"/>
  <c r="AB45" i="65"/>
  <c r="V43" i="65"/>
  <c r="AE45" i="65"/>
  <c r="AH43" i="65"/>
  <c r="Y43" i="65"/>
  <c r="D64" i="62"/>
  <c r="Y64" i="62"/>
  <c r="AE64" i="62"/>
  <c r="G64" i="62"/>
  <c r="AN62" i="62"/>
  <c r="AB64" i="62"/>
  <c r="P64" i="62"/>
  <c r="AQ62" i="62"/>
  <c r="J33" i="4" l="1"/>
  <c r="Y45" i="65"/>
  <c r="M45" i="65"/>
  <c r="S45" i="65"/>
  <c r="P45" i="65"/>
  <c r="V45" i="65"/>
  <c r="AH45" i="65"/>
  <c r="J45" i="65"/>
  <c r="D45" i="65"/>
  <c r="AK45" i="65"/>
  <c r="AQ64" i="62"/>
  <c r="AN64" i="62"/>
  <c r="K9" i="18"/>
  <c r="K8" i="18"/>
  <c r="AN45" i="65" l="1"/>
  <c r="D22" i="18"/>
  <c r="D29" i="18"/>
  <c r="H124" i="18"/>
  <c r="H10" i="18"/>
  <c r="D7" i="18"/>
  <c r="D10" i="18"/>
  <c r="H117" i="18"/>
  <c r="H121" i="18"/>
  <c r="K7" i="18"/>
  <c r="J88" i="18"/>
  <c r="H109" i="18"/>
  <c r="H113" i="18"/>
  <c r="H125" i="18"/>
  <c r="K113" i="18"/>
  <c r="K99" i="18"/>
  <c r="H7" i="18"/>
  <c r="K11" i="18"/>
  <c r="J67" i="18"/>
  <c r="D99" i="18"/>
  <c r="J109" i="18"/>
  <c r="J112" i="18"/>
  <c r="J121" i="18"/>
  <c r="D28" i="18"/>
  <c r="H34" i="18"/>
  <c r="H35" i="18"/>
  <c r="K78" i="18"/>
  <c r="K108" i="18"/>
  <c r="J113" i="18"/>
  <c r="K120" i="18"/>
  <c r="H108" i="18"/>
  <c r="J35" i="18"/>
  <c r="H11" i="18"/>
  <c r="K109" i="18"/>
  <c r="J117" i="18"/>
  <c r="K12" i="18"/>
  <c r="K112" i="18"/>
  <c r="K117" i="18"/>
  <c r="H12" i="18"/>
  <c r="K35" i="18"/>
  <c r="J124" i="18"/>
  <c r="K10" i="18"/>
  <c r="J34" i="18"/>
  <c r="D67" i="18"/>
  <c r="D88" i="18"/>
  <c r="J99" i="18"/>
  <c r="J120" i="18"/>
  <c r="K121" i="18"/>
  <c r="K124" i="18"/>
  <c r="K28" i="18"/>
  <c r="K34" i="18"/>
  <c r="D124" i="18"/>
  <c r="D48" i="18"/>
  <c r="K67" i="18"/>
  <c r="D120" i="18"/>
  <c r="J11" i="18"/>
  <c r="J108" i="18"/>
  <c r="D112" i="18"/>
  <c r="H22" i="18"/>
  <c r="D78" i="18"/>
  <c r="D108" i="18"/>
  <c r="J125" i="18"/>
  <c r="J9" i="18"/>
  <c r="L9" i="18" s="1"/>
  <c r="D9" i="18"/>
  <c r="J28" i="18"/>
  <c r="J12" i="18"/>
  <c r="J7" i="18"/>
  <c r="J10" i="18"/>
  <c r="J8" i="18"/>
  <c r="L8" i="18" s="1"/>
  <c r="D8" i="18"/>
  <c r="J78" i="18"/>
  <c r="K125" i="18"/>
  <c r="K88" i="18"/>
  <c r="D87" i="18" l="1"/>
  <c r="H29" i="18"/>
  <c r="D66" i="18"/>
  <c r="K29" i="18"/>
  <c r="K22" i="18"/>
  <c r="D47" i="18"/>
  <c r="J29" i="18"/>
  <c r="H119" i="18"/>
  <c r="K100" i="18"/>
  <c r="J22" i="18"/>
  <c r="K119" i="18"/>
  <c r="L113" i="18"/>
  <c r="L12" i="18"/>
  <c r="K98" i="18"/>
  <c r="L28" i="18"/>
  <c r="L88" i="18"/>
  <c r="L121" i="18"/>
  <c r="L109" i="18"/>
  <c r="L120" i="18"/>
  <c r="L99" i="18"/>
  <c r="L35" i="18"/>
  <c r="J111" i="18"/>
  <c r="H111" i="18"/>
  <c r="L117" i="18"/>
  <c r="L78" i="18"/>
  <c r="L7" i="18"/>
  <c r="L108" i="18"/>
  <c r="L11" i="18"/>
  <c r="L67" i="18"/>
  <c r="K111" i="18"/>
  <c r="L112" i="18"/>
  <c r="L124" i="18"/>
  <c r="D98" i="18"/>
  <c r="L10" i="18"/>
  <c r="J119" i="18"/>
  <c r="D119" i="18"/>
  <c r="L34" i="18"/>
  <c r="L125" i="18"/>
  <c r="D111" i="18"/>
  <c r="K97" i="37"/>
  <c r="J97" i="37"/>
  <c r="D97" i="29"/>
  <c r="K97" i="33"/>
  <c r="K97" i="29"/>
  <c r="J97" i="13"/>
  <c r="J97" i="33"/>
  <c r="J97" i="29"/>
  <c r="D97" i="37"/>
  <c r="D97" i="13"/>
  <c r="K97" i="13"/>
  <c r="D97" i="33"/>
  <c r="K76" i="37"/>
  <c r="D76" i="33"/>
  <c r="D76" i="37"/>
  <c r="K76" i="29"/>
  <c r="J76" i="13"/>
  <c r="J76" i="37"/>
  <c r="D76" i="29"/>
  <c r="K76" i="33"/>
  <c r="J76" i="33"/>
  <c r="J76" i="29"/>
  <c r="D76" i="13"/>
  <c r="K76" i="13"/>
  <c r="J8" i="37"/>
  <c r="L8" i="37" s="1"/>
  <c r="K8" i="37"/>
  <c r="J9" i="37"/>
  <c r="K9" i="37"/>
  <c r="J36" i="37"/>
  <c r="J37" i="37"/>
  <c r="L9" i="37" l="1"/>
  <c r="L76" i="33"/>
  <c r="L119" i="18"/>
  <c r="L97" i="33"/>
  <c r="L97" i="29"/>
  <c r="L76" i="29"/>
  <c r="D77" i="18"/>
  <c r="H68" i="18"/>
  <c r="J68" i="18"/>
  <c r="J66" i="18"/>
  <c r="L29" i="18"/>
  <c r="K79" i="18"/>
  <c r="K77" i="18"/>
  <c r="L22" i="18"/>
  <c r="L76" i="13"/>
  <c r="D97" i="4"/>
  <c r="D76" i="4"/>
  <c r="L97" i="37"/>
  <c r="K68" i="18"/>
  <c r="L76" i="37"/>
  <c r="K87" i="18"/>
  <c r="K89" i="18"/>
  <c r="L97" i="13"/>
  <c r="H100" i="18"/>
  <c r="J100" i="18"/>
  <c r="L100" i="18" s="1"/>
  <c r="J89" i="18"/>
  <c r="H89" i="18"/>
  <c r="H79" i="18"/>
  <c r="J79" i="18"/>
  <c r="I97" i="4"/>
  <c r="M97" i="13" s="1"/>
  <c r="I76" i="4"/>
  <c r="L111" i="18"/>
  <c r="H34" i="37"/>
  <c r="H116" i="37"/>
  <c r="D114" i="37"/>
  <c r="D116" i="37"/>
  <c r="J124" i="37"/>
  <c r="H76" i="4"/>
  <c r="H97" i="4"/>
  <c r="K12" i="37"/>
  <c r="K7" i="37"/>
  <c r="H113" i="37"/>
  <c r="H117" i="37"/>
  <c r="J88" i="37"/>
  <c r="K75" i="37"/>
  <c r="K108" i="37"/>
  <c r="K96" i="37"/>
  <c r="K67" i="37"/>
  <c r="J35" i="37"/>
  <c r="J10" i="37"/>
  <c r="D7" i="37"/>
  <c r="K135" i="37"/>
  <c r="K134" i="37"/>
  <c r="K122" i="37"/>
  <c r="D122" i="37"/>
  <c r="H114" i="37"/>
  <c r="H112" i="37"/>
  <c r="J121" i="37"/>
  <c r="H121" i="37"/>
  <c r="K114" i="37"/>
  <c r="K107" i="37"/>
  <c r="K99" i="37"/>
  <c r="J125" i="37"/>
  <c r="K116" i="37"/>
  <c r="K78" i="37"/>
  <c r="D8" i="37"/>
  <c r="H108" i="37"/>
  <c r="D67" i="37"/>
  <c r="K110" i="37"/>
  <c r="J86" i="37"/>
  <c r="K28" i="37"/>
  <c r="H7" i="37"/>
  <c r="D135" i="37"/>
  <c r="H124" i="37"/>
  <c r="J110" i="37"/>
  <c r="D108" i="37"/>
  <c r="D28" i="37"/>
  <c r="D125" i="37"/>
  <c r="K113" i="37"/>
  <c r="J108" i="37"/>
  <c r="D34" i="37"/>
  <c r="K10" i="37"/>
  <c r="K125" i="37"/>
  <c r="J117" i="37"/>
  <c r="J113" i="37"/>
  <c r="D110" i="37"/>
  <c r="J134" i="37"/>
  <c r="H35" i="37"/>
  <c r="J28" i="37"/>
  <c r="K11" i="37"/>
  <c r="J122" i="37"/>
  <c r="J116" i="37"/>
  <c r="K109" i="37"/>
  <c r="D35" i="37"/>
  <c r="J12" i="37"/>
  <c r="J7" i="37"/>
  <c r="H75" i="37"/>
  <c r="D48" i="37"/>
  <c r="K121" i="37"/>
  <c r="J67" i="37"/>
  <c r="H125" i="37"/>
  <c r="D124" i="37"/>
  <c r="H96" i="37"/>
  <c r="K88" i="37"/>
  <c r="J34" i="37"/>
  <c r="D9" i="37"/>
  <c r="J107" i="37"/>
  <c r="D107" i="37"/>
  <c r="K124" i="37"/>
  <c r="D99" i="37"/>
  <c r="D134" i="37"/>
  <c r="D120" i="37"/>
  <c r="J78" i="37"/>
  <c r="D78" i="37"/>
  <c r="J75" i="37"/>
  <c r="D75" i="37"/>
  <c r="J112" i="37"/>
  <c r="D112" i="37"/>
  <c r="J109" i="37"/>
  <c r="J135" i="37"/>
  <c r="K120" i="37"/>
  <c r="J99" i="37"/>
  <c r="J96" i="37"/>
  <c r="D96" i="37"/>
  <c r="K86" i="37"/>
  <c r="J120" i="37"/>
  <c r="J114" i="37"/>
  <c r="H109" i="37"/>
  <c r="D86" i="37"/>
  <c r="K117" i="37"/>
  <c r="K112" i="37"/>
  <c r="D88" i="37"/>
  <c r="H11" i="37"/>
  <c r="D10" i="37"/>
  <c r="K35" i="37"/>
  <c r="D57" i="37"/>
  <c r="D54" i="37"/>
  <c r="K34" i="37"/>
  <c r="H12" i="37"/>
  <c r="K37" i="37"/>
  <c r="L37" i="37" s="1"/>
  <c r="D37" i="37"/>
  <c r="H10" i="37"/>
  <c r="K36" i="37"/>
  <c r="L36" i="37" s="1"/>
  <c r="D36" i="37"/>
  <c r="J11" i="37"/>
  <c r="L122" i="37" l="1"/>
  <c r="J76" i="4"/>
  <c r="L114" i="37"/>
  <c r="L79" i="18"/>
  <c r="D77" i="37"/>
  <c r="H29" i="37"/>
  <c r="J29" i="37"/>
  <c r="D100" i="37"/>
  <c r="L68" i="18"/>
  <c r="L89" i="18"/>
  <c r="K98" i="37"/>
  <c r="H66" i="18"/>
  <c r="K66" i="18"/>
  <c r="L66" i="18" s="1"/>
  <c r="K77" i="37"/>
  <c r="J79" i="37"/>
  <c r="L110" i="37"/>
  <c r="J97" i="4"/>
  <c r="J100" i="37"/>
  <c r="J66" i="37"/>
  <c r="H87" i="18"/>
  <c r="J87" i="18"/>
  <c r="L87" i="18" s="1"/>
  <c r="H77" i="18"/>
  <c r="J77" i="18"/>
  <c r="L77" i="18" s="1"/>
  <c r="J98" i="18"/>
  <c r="L98" i="18" s="1"/>
  <c r="H98" i="18"/>
  <c r="L116" i="37"/>
  <c r="D89" i="37"/>
  <c r="K22" i="37"/>
  <c r="D49" i="37"/>
  <c r="J22" i="37"/>
  <c r="H22" i="37"/>
  <c r="K29" i="37"/>
  <c r="D29" i="37"/>
  <c r="D22" i="37"/>
  <c r="D87" i="37"/>
  <c r="D56" i="37"/>
  <c r="L88" i="37"/>
  <c r="L124" i="37"/>
  <c r="L12" i="37"/>
  <c r="L78" i="37"/>
  <c r="K111" i="37"/>
  <c r="L7" i="37"/>
  <c r="L135" i="37"/>
  <c r="D53" i="37"/>
  <c r="L28" i="37"/>
  <c r="L96" i="37"/>
  <c r="L34" i="37"/>
  <c r="L109" i="37"/>
  <c r="L67" i="37"/>
  <c r="L99" i="37"/>
  <c r="L108" i="37"/>
  <c r="L134" i="37"/>
  <c r="L10" i="37"/>
  <c r="D47" i="37"/>
  <c r="L107" i="37"/>
  <c r="L75" i="37"/>
  <c r="K119" i="37"/>
  <c r="H111" i="37"/>
  <c r="L86" i="37"/>
  <c r="L121" i="37"/>
  <c r="H119" i="37"/>
  <c r="L35" i="37"/>
  <c r="L120" i="37"/>
  <c r="L11" i="37"/>
  <c r="D119" i="37"/>
  <c r="L117" i="37"/>
  <c r="L125" i="37"/>
  <c r="L113" i="37"/>
  <c r="J111" i="37"/>
  <c r="D111" i="37"/>
  <c r="D66" i="37"/>
  <c r="D98" i="37"/>
  <c r="J119" i="37"/>
  <c r="L112" i="37"/>
  <c r="L29" i="37" l="1"/>
  <c r="K79" i="37"/>
  <c r="L79" i="37" s="1"/>
  <c r="K100" i="37"/>
  <c r="L100" i="37" s="1"/>
  <c r="K87" i="37"/>
  <c r="K89" i="37"/>
  <c r="H68" i="37"/>
  <c r="H79" i="37"/>
  <c r="H100" i="37"/>
  <c r="H77" i="37"/>
  <c r="H98" i="37"/>
  <c r="L22" i="37"/>
  <c r="J68" i="37"/>
  <c r="K68" i="37"/>
  <c r="H89" i="37"/>
  <c r="J89" i="37"/>
  <c r="L89" i="37" s="1"/>
  <c r="H87" i="37"/>
  <c r="L111" i="37"/>
  <c r="L119" i="37"/>
  <c r="J98" i="37" l="1"/>
  <c r="L98" i="37" s="1"/>
  <c r="J77" i="37"/>
  <c r="L77" i="37" s="1"/>
  <c r="L68" i="37"/>
  <c r="J87" i="37"/>
  <c r="L87" i="37" s="1"/>
  <c r="H66" i="37"/>
  <c r="K66" i="37"/>
  <c r="L66" i="37" s="1"/>
  <c r="G14" i="58" l="1"/>
  <c r="C14" i="58"/>
  <c r="B13" i="58"/>
  <c r="F13" i="58"/>
  <c r="F22" i="58"/>
  <c r="B22" i="58"/>
  <c r="G21" i="58"/>
  <c r="C21" i="58"/>
  <c r="F17" i="58"/>
  <c r="B17" i="58"/>
  <c r="F28" i="58"/>
  <c r="B28" i="58"/>
  <c r="C26" i="58"/>
  <c r="G26" i="58"/>
  <c r="F29" i="58"/>
  <c r="B29" i="58"/>
  <c r="F11" i="58"/>
  <c r="B11" i="58"/>
  <c r="C13" i="58"/>
  <c r="G13" i="58"/>
  <c r="F20" i="58"/>
  <c r="B20" i="58"/>
  <c r="G22" i="58"/>
  <c r="C22" i="58"/>
  <c r="G17" i="58"/>
  <c r="C17" i="58"/>
  <c r="G28" i="58"/>
  <c r="C28" i="58"/>
  <c r="G29" i="58"/>
  <c r="C29" i="58"/>
  <c r="G11" i="58"/>
  <c r="C11" i="58"/>
  <c r="B12" i="58"/>
  <c r="F12" i="58"/>
  <c r="B10" i="58"/>
  <c r="F10" i="58"/>
  <c r="F9" i="58"/>
  <c r="B9" i="58"/>
  <c r="F19" i="58"/>
  <c r="B19" i="58"/>
  <c r="G20" i="58"/>
  <c r="C20" i="58"/>
  <c r="F18" i="58"/>
  <c r="B18" i="58"/>
  <c r="F27" i="58"/>
  <c r="B27" i="58"/>
  <c r="F30" i="58"/>
  <c r="B30" i="58"/>
  <c r="F25" i="58"/>
  <c r="B25" i="58"/>
  <c r="C12" i="58"/>
  <c r="G12" i="58"/>
  <c r="F14" i="58"/>
  <c r="B14" i="58"/>
  <c r="G10" i="58"/>
  <c r="C10" i="58"/>
  <c r="C9" i="58"/>
  <c r="G9" i="58"/>
  <c r="G19" i="58"/>
  <c r="C19" i="58"/>
  <c r="G18" i="58"/>
  <c r="C18" i="58"/>
  <c r="F21" i="58"/>
  <c r="B21" i="58"/>
  <c r="G27" i="58"/>
  <c r="C27" i="58"/>
  <c r="G30" i="58"/>
  <c r="C30" i="58"/>
  <c r="F26" i="58"/>
  <c r="B26" i="58"/>
  <c r="G25" i="58"/>
  <c r="C25" i="58"/>
  <c r="C8" i="58" l="1"/>
  <c r="D51" i="22" l="1"/>
  <c r="D52" i="22"/>
  <c r="G106" i="4"/>
  <c r="G95" i="4"/>
  <c r="G74" i="4"/>
  <c r="G71" i="4"/>
  <c r="G31" i="4"/>
  <c r="G92" i="4" l="1"/>
  <c r="G70" i="4"/>
  <c r="G85" i="4"/>
  <c r="G91" i="4"/>
  <c r="G73" i="4"/>
  <c r="G94" i="4"/>
  <c r="G105" i="4"/>
  <c r="G115" i="4"/>
  <c r="G84" i="4"/>
  <c r="G23" i="4"/>
  <c r="G24" i="4"/>
  <c r="G30" i="4"/>
  <c r="G25" i="4"/>
  <c r="G32" i="4"/>
  <c r="D32" i="4"/>
  <c r="D24" i="4"/>
  <c r="I23" i="37"/>
  <c r="I25" i="37"/>
  <c r="I25" i="18"/>
  <c r="I30" i="37"/>
  <c r="I30" i="18"/>
  <c r="I31" i="37"/>
  <c r="I31" i="18"/>
  <c r="G26" i="4"/>
  <c r="D25" i="4"/>
  <c r="I24" i="37"/>
  <c r="I32" i="37"/>
  <c r="I32" i="18"/>
  <c r="D30" i="4"/>
  <c r="D31" i="4"/>
  <c r="G69" i="4"/>
  <c r="G90" i="4" l="1"/>
  <c r="D69" i="4"/>
  <c r="D72" i="4"/>
  <c r="D104" i="4"/>
  <c r="D93" i="4"/>
  <c r="D83" i="4"/>
  <c r="G93" i="4"/>
  <c r="G83" i="4"/>
  <c r="G72" i="4"/>
  <c r="G104" i="4"/>
  <c r="E29" i="18"/>
  <c r="E29" i="23"/>
  <c r="E29" i="29"/>
  <c r="E29" i="33"/>
  <c r="E29" i="20"/>
  <c r="E29" i="24"/>
  <c r="E29" i="51"/>
  <c r="E29" i="37"/>
  <c r="E29" i="13"/>
  <c r="I23" i="18"/>
  <c r="D23" i="4"/>
  <c r="I26" i="4"/>
  <c r="M26" i="29" s="1"/>
  <c r="H26" i="4"/>
  <c r="I106" i="37"/>
  <c r="I106" i="18"/>
  <c r="I95" i="37"/>
  <c r="I95" i="18"/>
  <c r="I85" i="37"/>
  <c r="I85" i="18"/>
  <c r="I74" i="37"/>
  <c r="I74" i="18"/>
  <c r="F26" i="10"/>
  <c r="F16" i="10"/>
  <c r="F34" i="10"/>
  <c r="I26" i="29"/>
  <c r="I26" i="20"/>
  <c r="I26" i="23"/>
  <c r="I26" i="33"/>
  <c r="I26" i="37"/>
  <c r="I26" i="35"/>
  <c r="I26" i="18"/>
  <c r="G16" i="10"/>
  <c r="G26" i="10"/>
  <c r="G34" i="10"/>
  <c r="G9" i="4"/>
  <c r="G8" i="4"/>
  <c r="J26" i="4" l="1"/>
  <c r="I72" i="18"/>
  <c r="I83" i="18"/>
  <c r="I93" i="37"/>
  <c r="I104" i="18"/>
  <c r="M26" i="20"/>
  <c r="I104" i="37"/>
  <c r="I72" i="37"/>
  <c r="I83" i="37"/>
  <c r="I93" i="18"/>
  <c r="M26" i="23"/>
  <c r="M26" i="35"/>
  <c r="M26" i="37"/>
  <c r="M26" i="33"/>
  <c r="M26" i="18"/>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D36" i="58" s="1"/>
  <c r="H26" i="58"/>
  <c r="C33" i="58"/>
  <c r="C16" i="58"/>
  <c r="G24" i="58"/>
  <c r="H16" i="58"/>
  <c r="B8" i="58"/>
  <c r="D8" i="58" s="1"/>
  <c r="B33"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F38" i="58"/>
  <c r="F34" i="58"/>
  <c r="H37" i="58" l="1"/>
  <c r="H34" i="58"/>
  <c r="H36" i="58"/>
  <c r="G32" i="58"/>
  <c r="H38" i="58"/>
  <c r="H35" i="58"/>
  <c r="F32" i="58"/>
  <c r="H32" i="58" l="1"/>
  <c r="E50" i="26"/>
  <c r="E50" i="22" l="1"/>
  <c r="D51" i="4"/>
  <c r="E52" i="22"/>
  <c r="D50" i="4"/>
  <c r="D52" i="4"/>
  <c r="E51" i="22"/>
  <c r="E51" i="13"/>
  <c r="G56" i="10" l="1"/>
  <c r="G60" i="10"/>
  <c r="I69" i="29" l="1"/>
  <c r="F60" i="10"/>
  <c r="F56" i="10"/>
  <c r="K28" i="10" l="1"/>
  <c r="J28" i="10"/>
  <c r="K9" i="33" l="1"/>
  <c r="K9" i="29"/>
  <c r="K8" i="51"/>
  <c r="K8" i="29"/>
  <c r="K9" i="41"/>
  <c r="K8" i="33"/>
  <c r="K8" i="41"/>
  <c r="K9" i="51"/>
  <c r="K8" i="25"/>
  <c r="K8" i="24"/>
  <c r="K9" i="25"/>
  <c r="K9" i="24"/>
  <c r="K8" i="22"/>
  <c r="K9" i="22"/>
  <c r="K9" i="20"/>
  <c r="K8" i="20"/>
  <c r="K8" i="19"/>
  <c r="J36" i="13"/>
  <c r="K9" i="19"/>
  <c r="K38" i="13"/>
  <c r="K37" i="13"/>
  <c r="J38" i="13"/>
  <c r="J37" i="13"/>
  <c r="K36" i="13"/>
  <c r="K8" i="13"/>
  <c r="K9" i="13"/>
  <c r="B26" i="10" l="1"/>
  <c r="G15" i="9"/>
  <c r="B16" i="10"/>
  <c r="G96" i="4"/>
  <c r="H40" i="9"/>
  <c r="C37" i="9"/>
  <c r="B15" i="10"/>
  <c r="B33" i="10"/>
  <c r="H38" i="9"/>
  <c r="E48" i="72"/>
  <c r="B41" i="10"/>
  <c r="B20" i="10"/>
  <c r="F42" i="10"/>
  <c r="G75" i="4"/>
  <c r="F25" i="10"/>
  <c r="G100" i="4"/>
  <c r="B44" i="10"/>
  <c r="E28" i="18"/>
  <c r="G20" i="9"/>
  <c r="D28" i="4"/>
  <c r="E7" i="72"/>
  <c r="G113" i="4"/>
  <c r="F20" i="10"/>
  <c r="F31" i="10"/>
  <c r="F30" i="10"/>
  <c r="G37" i="9"/>
  <c r="B25" i="10"/>
  <c r="B13" i="10"/>
  <c r="F9" i="10"/>
  <c r="G114" i="4"/>
  <c r="B30" i="10"/>
  <c r="G109" i="4"/>
  <c r="H18" i="9"/>
  <c r="G16" i="9"/>
  <c r="M65" i="8" s="1"/>
  <c r="H20" i="9"/>
  <c r="F41" i="10"/>
  <c r="G107" i="4"/>
  <c r="F15" i="10"/>
  <c r="G117" i="4"/>
  <c r="B23" i="10"/>
  <c r="G13" i="9"/>
  <c r="G14" i="9"/>
  <c r="H23" i="9"/>
  <c r="C35" i="9"/>
  <c r="G17" i="9"/>
  <c r="M66" i="8" s="1"/>
  <c r="B41" i="9"/>
  <c r="B42" i="9"/>
  <c r="C42" i="9"/>
  <c r="C39" i="9"/>
  <c r="G21" i="9"/>
  <c r="M70" i="8" s="1"/>
  <c r="C40" i="9"/>
  <c r="H41" i="9"/>
  <c r="H30" i="9"/>
  <c r="H13" i="9"/>
  <c r="H36" i="9"/>
  <c r="G12" i="9"/>
  <c r="C36" i="9"/>
  <c r="G19" i="9"/>
  <c r="H19" i="9"/>
  <c r="G24" i="9"/>
  <c r="G30" i="9"/>
  <c r="H35" i="9"/>
  <c r="H11" i="9"/>
  <c r="H37" i="9"/>
  <c r="H39" i="9"/>
  <c r="C41" i="9"/>
  <c r="G11" i="9"/>
  <c r="H12" i="9"/>
  <c r="C38" i="9"/>
  <c r="G22" i="9"/>
  <c r="G18" i="9"/>
  <c r="G25" i="9"/>
  <c r="H42" i="9"/>
  <c r="G27" i="9"/>
  <c r="G29" i="9"/>
  <c r="G35" i="9"/>
  <c r="G23" i="9"/>
  <c r="B35" i="9"/>
  <c r="B40" i="9"/>
  <c r="B36" i="9"/>
  <c r="D50" i="22"/>
  <c r="K135" i="26"/>
  <c r="K7" i="35"/>
  <c r="H29" i="29"/>
  <c r="K121" i="13"/>
  <c r="H121" i="33"/>
  <c r="H29" i="20"/>
  <c r="H125" i="33"/>
  <c r="H68" i="29"/>
  <c r="K113" i="33"/>
  <c r="H68" i="35"/>
  <c r="H29" i="13"/>
  <c r="K68" i="20"/>
  <c r="K12" i="29"/>
  <c r="J86" i="29"/>
  <c r="K108" i="33"/>
  <c r="H22" i="33"/>
  <c r="K68" i="33"/>
  <c r="H35" i="29"/>
  <c r="H34" i="13"/>
  <c r="H121" i="27"/>
  <c r="D55" i="39"/>
  <c r="K89" i="27"/>
  <c r="K108" i="27"/>
  <c r="H121" i="35"/>
  <c r="K22" i="51"/>
  <c r="K135" i="34"/>
  <c r="K134" i="26"/>
  <c r="K113" i="29"/>
  <c r="H100" i="29"/>
  <c r="K137" i="26"/>
  <c r="K116" i="29"/>
  <c r="J79" i="29"/>
  <c r="K28" i="51"/>
  <c r="H89" i="29"/>
  <c r="K12" i="33"/>
  <c r="K116" i="33"/>
  <c r="K29" i="51"/>
  <c r="H34" i="33"/>
  <c r="H12" i="33"/>
  <c r="H79" i="27"/>
  <c r="H125" i="29"/>
  <c r="K109" i="20"/>
  <c r="K108" i="23"/>
  <c r="D55" i="22"/>
  <c r="K22" i="23"/>
  <c r="K100" i="27"/>
  <c r="K107" i="33"/>
  <c r="K100" i="33"/>
  <c r="K75" i="33"/>
  <c r="K122" i="33"/>
  <c r="H86" i="35"/>
  <c r="K114" i="33"/>
  <c r="H29" i="33"/>
  <c r="D58" i="39"/>
  <c r="D58" i="22"/>
  <c r="H75" i="33"/>
  <c r="D37" i="13"/>
  <c r="K89" i="20"/>
  <c r="H100" i="20"/>
  <c r="K89" i="23"/>
  <c r="K68" i="23"/>
  <c r="K28" i="24"/>
  <c r="H135" i="26"/>
  <c r="H22" i="29"/>
  <c r="K113" i="35"/>
  <c r="K12" i="35"/>
  <c r="K109" i="35"/>
  <c r="H12" i="35"/>
  <c r="H96" i="33"/>
  <c r="H117" i="33"/>
  <c r="K100" i="20"/>
  <c r="K28" i="25"/>
  <c r="K136" i="34"/>
  <c r="K96" i="33"/>
  <c r="H35" i="33"/>
  <c r="D49" i="33"/>
  <c r="K117" i="33"/>
  <c r="H100" i="27"/>
  <c r="H109" i="35"/>
  <c r="K28" i="23"/>
  <c r="K124" i="33"/>
  <c r="H114" i="33"/>
  <c r="K113" i="20"/>
  <c r="K109" i="27"/>
  <c r="K89" i="33"/>
  <c r="K11" i="35"/>
  <c r="D58" i="33"/>
  <c r="H113" i="35"/>
  <c r="H100" i="23"/>
  <c r="B21" i="10"/>
  <c r="K109" i="23"/>
  <c r="K10" i="35"/>
  <c r="K34" i="13"/>
  <c r="K107" i="13"/>
  <c r="K121" i="23"/>
  <c r="H109" i="23"/>
  <c r="H22" i="23"/>
  <c r="H89" i="35"/>
  <c r="H100" i="33"/>
  <c r="H68" i="33"/>
  <c r="K125" i="33"/>
  <c r="D49" i="39"/>
  <c r="K7" i="13"/>
  <c r="K7" i="19"/>
  <c r="K10" i="29"/>
  <c r="H7" i="23"/>
  <c r="H7" i="29"/>
  <c r="H7" i="33"/>
  <c r="K10" i="33"/>
  <c r="H10" i="13"/>
  <c r="K7" i="23"/>
  <c r="K11" i="33"/>
  <c r="K7" i="29"/>
  <c r="H10" i="35"/>
  <c r="H11" i="13"/>
  <c r="H89" i="20"/>
  <c r="K22" i="13"/>
  <c r="K29" i="13"/>
  <c r="H79" i="13"/>
  <c r="K100" i="13"/>
  <c r="K116" i="13"/>
  <c r="K10" i="19"/>
  <c r="K10" i="13"/>
  <c r="H121" i="13"/>
  <c r="K7" i="20"/>
  <c r="K10" i="20"/>
  <c r="K22" i="24"/>
  <c r="D49" i="26"/>
  <c r="K11" i="29"/>
  <c r="H22" i="35"/>
  <c r="H113" i="29"/>
  <c r="H7" i="35"/>
  <c r="H11" i="35"/>
  <c r="K7" i="33"/>
  <c r="H89" i="33"/>
  <c r="H107" i="33"/>
  <c r="K121" i="33"/>
  <c r="H89" i="13"/>
  <c r="K109" i="13"/>
  <c r="K67" i="13"/>
  <c r="K11" i="13"/>
  <c r="H22" i="20"/>
  <c r="H113" i="33"/>
  <c r="H107" i="35"/>
  <c r="D38" i="13"/>
  <c r="H12" i="23"/>
  <c r="H136" i="26"/>
  <c r="H89" i="27"/>
  <c r="K28" i="29"/>
  <c r="K34" i="29"/>
  <c r="H134" i="26"/>
  <c r="K117" i="29"/>
  <c r="H109" i="20"/>
  <c r="H35" i="35"/>
  <c r="H79" i="23"/>
  <c r="H89" i="23"/>
  <c r="H117" i="23"/>
  <c r="K35" i="29"/>
  <c r="H117" i="29"/>
  <c r="D49" i="13"/>
  <c r="H43" i="9"/>
  <c r="H22" i="13"/>
  <c r="H113" i="20"/>
  <c r="H7" i="13"/>
  <c r="K35" i="13"/>
  <c r="K108" i="13"/>
  <c r="K12" i="13"/>
  <c r="H107" i="13"/>
  <c r="C43" i="9"/>
  <c r="D48" i="13"/>
  <c r="J10" i="13"/>
  <c r="D10" i="13"/>
  <c r="K28" i="13"/>
  <c r="K68" i="13"/>
  <c r="K112" i="13"/>
  <c r="K117" i="13"/>
  <c r="H35" i="13"/>
  <c r="H109" i="13"/>
  <c r="J89" i="13"/>
  <c r="D89" i="13"/>
  <c r="D11" i="13"/>
  <c r="J11" i="13"/>
  <c r="J9" i="19"/>
  <c r="L9" i="19" s="1"/>
  <c r="D9" i="19"/>
  <c r="B34" i="9"/>
  <c r="K113" i="13"/>
  <c r="J9" i="13"/>
  <c r="L9" i="13" s="1"/>
  <c r="D9" i="13"/>
  <c r="H68" i="13"/>
  <c r="J88" i="13"/>
  <c r="D88" i="13"/>
  <c r="H100" i="13"/>
  <c r="H12" i="13"/>
  <c r="C34" i="9"/>
  <c r="H34" i="9"/>
  <c r="G34" i="9"/>
  <c r="D78" i="13"/>
  <c r="J78" i="13"/>
  <c r="J12" i="13"/>
  <c r="D12" i="13"/>
  <c r="K120" i="13"/>
  <c r="J109" i="20"/>
  <c r="K88" i="13"/>
  <c r="H117" i="13"/>
  <c r="D35" i="13"/>
  <c r="J35" i="13"/>
  <c r="J68" i="13"/>
  <c r="K86" i="13"/>
  <c r="K89" i="13"/>
  <c r="J107" i="13"/>
  <c r="D107" i="13"/>
  <c r="D112" i="13"/>
  <c r="J112" i="13"/>
  <c r="J117" i="13"/>
  <c r="D86" i="13"/>
  <c r="J86" i="13"/>
  <c r="J125" i="13"/>
  <c r="G10" i="9"/>
  <c r="D8" i="20"/>
  <c r="J8" i="20"/>
  <c r="L8" i="20" s="1"/>
  <c r="J79" i="13"/>
  <c r="D99" i="13"/>
  <c r="J99" i="13"/>
  <c r="J124" i="13"/>
  <c r="D124" i="13"/>
  <c r="H108" i="13"/>
  <c r="H113" i="13"/>
  <c r="J68" i="20"/>
  <c r="D68" i="20"/>
  <c r="J100" i="20"/>
  <c r="D100" i="20"/>
  <c r="D36" i="13"/>
  <c r="D54" i="13"/>
  <c r="D108" i="13"/>
  <c r="J108" i="13"/>
  <c r="J113" i="13"/>
  <c r="K124" i="13"/>
  <c r="J7" i="20"/>
  <c r="D7" i="20"/>
  <c r="J7" i="13"/>
  <c r="D7" i="13"/>
  <c r="D22" i="13"/>
  <c r="J22" i="13"/>
  <c r="J29" i="13"/>
  <c r="D29" i="13"/>
  <c r="D57" i="13"/>
  <c r="K78" i="13"/>
  <c r="K99" i="13"/>
  <c r="D109" i="13"/>
  <c r="J109" i="13"/>
  <c r="J120" i="13"/>
  <c r="D120" i="13"/>
  <c r="H125" i="13"/>
  <c r="J10" i="20"/>
  <c r="D10" i="20"/>
  <c r="J7" i="19"/>
  <c r="D7" i="19"/>
  <c r="D10" i="19"/>
  <c r="J10" i="19"/>
  <c r="J28" i="20"/>
  <c r="D28" i="20"/>
  <c r="K79" i="20"/>
  <c r="K121" i="20"/>
  <c r="D54" i="22"/>
  <c r="D22" i="23"/>
  <c r="J22" i="23"/>
  <c r="D28" i="24"/>
  <c r="J28" i="24"/>
  <c r="D28" i="25"/>
  <c r="J28" i="25"/>
  <c r="J100" i="27"/>
  <c r="K12" i="22"/>
  <c r="J112" i="23"/>
  <c r="D112" i="23"/>
  <c r="J22" i="24"/>
  <c r="D22" i="24"/>
  <c r="J88" i="27"/>
  <c r="D88" i="27"/>
  <c r="D8" i="22"/>
  <c r="J8" i="22"/>
  <c r="D11" i="22"/>
  <c r="J11" i="22"/>
  <c r="L11" i="22" s="1"/>
  <c r="D29" i="23"/>
  <c r="J29" i="23"/>
  <c r="K112" i="23"/>
  <c r="D7" i="24"/>
  <c r="J7" i="24"/>
  <c r="J22" i="51"/>
  <c r="D22" i="51"/>
  <c r="K11" i="23"/>
  <c r="K35" i="23"/>
  <c r="J117" i="23"/>
  <c r="K29" i="24"/>
  <c r="D48" i="25"/>
  <c r="D9" i="22"/>
  <c r="J9" i="22"/>
  <c r="K12" i="23"/>
  <c r="K67" i="23"/>
  <c r="D78" i="23"/>
  <c r="K78" i="23"/>
  <c r="J108" i="23"/>
  <c r="D108" i="23"/>
  <c r="H113" i="23"/>
  <c r="J68" i="27"/>
  <c r="K88" i="27"/>
  <c r="D67" i="29"/>
  <c r="K67" i="29"/>
  <c r="J75" i="33"/>
  <c r="D75" i="33"/>
  <c r="D48" i="26"/>
  <c r="K67" i="27"/>
  <c r="J79" i="27"/>
  <c r="J121" i="27"/>
  <c r="D48" i="51"/>
  <c r="D54" i="40"/>
  <c r="J28" i="29"/>
  <c r="D28" i="29"/>
  <c r="D136" i="26"/>
  <c r="J136" i="26"/>
  <c r="H68" i="27"/>
  <c r="H117" i="27"/>
  <c r="K10" i="41"/>
  <c r="D7" i="29"/>
  <c r="J7" i="29"/>
  <c r="J10" i="35"/>
  <c r="D8" i="41"/>
  <c r="J12" i="29"/>
  <c r="D9" i="41"/>
  <c r="H12" i="29"/>
  <c r="J109" i="29"/>
  <c r="D109" i="29"/>
  <c r="K120" i="29"/>
  <c r="D68" i="29"/>
  <c r="J68" i="29"/>
  <c r="D86" i="29"/>
  <c r="K86" i="29"/>
  <c r="K89" i="29"/>
  <c r="K107" i="29"/>
  <c r="J112" i="29"/>
  <c r="D112" i="29"/>
  <c r="D116" i="29"/>
  <c r="J116" i="29"/>
  <c r="H121" i="29"/>
  <c r="J7" i="35"/>
  <c r="K22" i="35"/>
  <c r="K29" i="35"/>
  <c r="J10" i="33"/>
  <c r="D10" i="33"/>
  <c r="J68" i="33"/>
  <c r="D68" i="33"/>
  <c r="J125" i="35"/>
  <c r="J86" i="35"/>
  <c r="J89" i="35"/>
  <c r="J107" i="35"/>
  <c r="D57" i="33"/>
  <c r="K78" i="33"/>
  <c r="K77" i="33"/>
  <c r="K112" i="33"/>
  <c r="K121" i="35"/>
  <c r="J8" i="33"/>
  <c r="L8" i="33" s="1"/>
  <c r="D8" i="33"/>
  <c r="H11" i="33"/>
  <c r="K35" i="33"/>
  <c r="D96" i="33"/>
  <c r="J96" i="33"/>
  <c r="J108" i="33"/>
  <c r="D108" i="33"/>
  <c r="D124" i="33"/>
  <c r="J124" i="33"/>
  <c r="L124" i="33" s="1"/>
  <c r="K110" i="33"/>
  <c r="D116" i="33"/>
  <c r="J116" i="33"/>
  <c r="D54" i="39"/>
  <c r="J8" i="13"/>
  <c r="L8" i="13" s="1"/>
  <c r="D8" i="13"/>
  <c r="J28" i="13"/>
  <c r="D28" i="13"/>
  <c r="J34" i="13"/>
  <c r="D34" i="13"/>
  <c r="D67" i="13"/>
  <c r="J67" i="13"/>
  <c r="K79" i="13"/>
  <c r="D100" i="13"/>
  <c r="J100" i="13"/>
  <c r="J116" i="13"/>
  <c r="D116" i="13"/>
  <c r="J121" i="13"/>
  <c r="D113" i="20"/>
  <c r="J113" i="20"/>
  <c r="K125" i="13"/>
  <c r="J8" i="19"/>
  <c r="L8" i="19" s="1"/>
  <c r="D8" i="19"/>
  <c r="D79" i="20"/>
  <c r="J79" i="20"/>
  <c r="J121" i="20"/>
  <c r="D121" i="20"/>
  <c r="D57" i="22"/>
  <c r="J9" i="20"/>
  <c r="L9" i="20" s="1"/>
  <c r="D9" i="20"/>
  <c r="H68" i="20"/>
  <c r="K22" i="20"/>
  <c r="K29" i="20"/>
  <c r="H79" i="20"/>
  <c r="H121" i="20"/>
  <c r="J113" i="23"/>
  <c r="J125" i="27"/>
  <c r="K7" i="22"/>
  <c r="K11" i="22"/>
  <c r="J12" i="35"/>
  <c r="D12" i="22"/>
  <c r="J12" i="22"/>
  <c r="L12" i="22" s="1"/>
  <c r="D49" i="22"/>
  <c r="J10" i="23"/>
  <c r="J34" i="23"/>
  <c r="K113" i="23"/>
  <c r="J125" i="23"/>
  <c r="J8" i="24"/>
  <c r="D8" i="24"/>
  <c r="J7" i="25"/>
  <c r="D7" i="25"/>
  <c r="J10" i="25"/>
  <c r="D10" i="25"/>
  <c r="D29" i="51"/>
  <c r="J29" i="51"/>
  <c r="L29" i="51" s="1"/>
  <c r="J12" i="23"/>
  <c r="J78" i="23"/>
  <c r="K7" i="24"/>
  <c r="D10" i="24"/>
  <c r="J10" i="24"/>
  <c r="H29" i="23"/>
  <c r="J68" i="23"/>
  <c r="K79" i="23"/>
  <c r="J88" i="23"/>
  <c r="D88" i="23"/>
  <c r="K99" i="23"/>
  <c r="J109" i="23"/>
  <c r="K120" i="23"/>
  <c r="K10" i="24"/>
  <c r="D48" i="40"/>
  <c r="J29" i="29"/>
  <c r="D29" i="29"/>
  <c r="D112" i="27"/>
  <c r="J112" i="27"/>
  <c r="J117" i="27"/>
  <c r="D48" i="41"/>
  <c r="K68" i="27"/>
  <c r="K112" i="27"/>
  <c r="K117" i="27"/>
  <c r="D134" i="26"/>
  <c r="J134" i="26"/>
  <c r="D137" i="26"/>
  <c r="J137" i="26"/>
  <c r="H113" i="27"/>
  <c r="K7" i="51"/>
  <c r="K10" i="51"/>
  <c r="J78" i="29"/>
  <c r="D78" i="29"/>
  <c r="J22" i="29"/>
  <c r="D22" i="29"/>
  <c r="K68" i="29"/>
  <c r="J88" i="29"/>
  <c r="D88" i="29"/>
  <c r="J11" i="33"/>
  <c r="J121" i="29"/>
  <c r="J134" i="34"/>
  <c r="D134" i="34"/>
  <c r="H29" i="35"/>
  <c r="K108" i="29"/>
  <c r="D48" i="34"/>
  <c r="J22" i="35"/>
  <c r="J29" i="35"/>
  <c r="H77" i="29"/>
  <c r="H107" i="29"/>
  <c r="K112" i="29"/>
  <c r="J117" i="29"/>
  <c r="J135" i="34"/>
  <c r="D135" i="34"/>
  <c r="K34" i="35"/>
  <c r="J117" i="35"/>
  <c r="J9" i="33"/>
  <c r="L9" i="33" s="1"/>
  <c r="D9" i="33"/>
  <c r="J78" i="33"/>
  <c r="D78" i="33"/>
  <c r="J22" i="33"/>
  <c r="D22" i="33"/>
  <c r="J29" i="33"/>
  <c r="D29" i="33"/>
  <c r="J67" i="33"/>
  <c r="K79" i="33"/>
  <c r="K86" i="35"/>
  <c r="K89" i="35"/>
  <c r="K107" i="35"/>
  <c r="H117" i="35"/>
  <c r="H77" i="33"/>
  <c r="J99" i="33"/>
  <c r="D99" i="33"/>
  <c r="D109" i="33"/>
  <c r="J109" i="33"/>
  <c r="D48" i="38"/>
  <c r="G43" i="9"/>
  <c r="J112" i="33"/>
  <c r="D112" i="33"/>
  <c r="J117" i="33"/>
  <c r="D48" i="39"/>
  <c r="D47" i="39"/>
  <c r="D56" i="21"/>
  <c r="D57" i="21"/>
  <c r="K28" i="20"/>
  <c r="J89" i="20"/>
  <c r="D89" i="20"/>
  <c r="J28" i="23"/>
  <c r="D28" i="23"/>
  <c r="D48" i="21"/>
  <c r="D57" i="25"/>
  <c r="J11" i="23"/>
  <c r="J35" i="23"/>
  <c r="J8" i="25"/>
  <c r="L8" i="25" s="1"/>
  <c r="D8" i="25"/>
  <c r="J9" i="51"/>
  <c r="L9" i="51" s="1"/>
  <c r="D9" i="51"/>
  <c r="K29" i="23"/>
  <c r="J67" i="23"/>
  <c r="D67" i="23"/>
  <c r="J79" i="23"/>
  <c r="J99" i="23"/>
  <c r="D99" i="23"/>
  <c r="J120" i="23"/>
  <c r="D120" i="23"/>
  <c r="K125" i="23"/>
  <c r="K7" i="25"/>
  <c r="K10" i="25"/>
  <c r="D48" i="22"/>
  <c r="H10" i="23"/>
  <c r="H34" i="23"/>
  <c r="J89" i="23"/>
  <c r="K100" i="23"/>
  <c r="K116" i="23"/>
  <c r="J121" i="23"/>
  <c r="H125" i="23"/>
  <c r="J9" i="24"/>
  <c r="D9" i="24"/>
  <c r="D54" i="25"/>
  <c r="D99" i="27"/>
  <c r="J99" i="27"/>
  <c r="J113" i="27"/>
  <c r="D57" i="41"/>
  <c r="K113" i="27"/>
  <c r="J7" i="51"/>
  <c r="D7" i="51"/>
  <c r="D10" i="51"/>
  <c r="J10" i="51"/>
  <c r="H22" i="9"/>
  <c r="J34" i="29"/>
  <c r="D34" i="29"/>
  <c r="K78" i="27"/>
  <c r="K77" i="27"/>
  <c r="K120" i="27"/>
  <c r="H125" i="27"/>
  <c r="K7" i="41"/>
  <c r="D10" i="29"/>
  <c r="J10" i="29"/>
  <c r="J89" i="29"/>
  <c r="D89" i="29"/>
  <c r="J11" i="35"/>
  <c r="H10" i="29"/>
  <c r="K22" i="29"/>
  <c r="K29" i="29"/>
  <c r="J120" i="29"/>
  <c r="D120" i="29"/>
  <c r="J107" i="29"/>
  <c r="D107" i="29"/>
  <c r="H34" i="35"/>
  <c r="K78" i="29"/>
  <c r="K99" i="29"/>
  <c r="K109" i="29"/>
  <c r="J125" i="29"/>
  <c r="K134" i="34"/>
  <c r="J34" i="35"/>
  <c r="J68" i="35"/>
  <c r="H28" i="9"/>
  <c r="H79" i="29"/>
  <c r="J113" i="29"/>
  <c r="K125" i="29"/>
  <c r="K35" i="35"/>
  <c r="K68" i="35"/>
  <c r="D48" i="33"/>
  <c r="K117" i="35"/>
  <c r="G65" i="9"/>
  <c r="D67" i="33"/>
  <c r="K67" i="33"/>
  <c r="J79" i="33"/>
  <c r="D79" i="33"/>
  <c r="K125" i="35"/>
  <c r="J28" i="33"/>
  <c r="D28" i="33"/>
  <c r="J34" i="33"/>
  <c r="K86" i="33"/>
  <c r="D122" i="33"/>
  <c r="J122" i="33"/>
  <c r="J113" i="35"/>
  <c r="K22" i="33"/>
  <c r="K29" i="33"/>
  <c r="H79" i="33"/>
  <c r="J88" i="33"/>
  <c r="D88" i="33"/>
  <c r="J100" i="33"/>
  <c r="D100" i="33"/>
  <c r="K120" i="33"/>
  <c r="D113" i="33"/>
  <c r="J113" i="33"/>
  <c r="D57" i="39"/>
  <c r="D54" i="21"/>
  <c r="J22" i="20"/>
  <c r="D22" i="20"/>
  <c r="J29" i="20"/>
  <c r="D29" i="20"/>
  <c r="D48" i="20"/>
  <c r="J7" i="23"/>
  <c r="K10" i="22"/>
  <c r="K88" i="23"/>
  <c r="J35" i="29"/>
  <c r="D7" i="22"/>
  <c r="J7" i="22"/>
  <c r="D10" i="22"/>
  <c r="J10" i="22"/>
  <c r="H121" i="23"/>
  <c r="J29" i="24"/>
  <c r="D29" i="24"/>
  <c r="J89" i="27"/>
  <c r="K10" i="23"/>
  <c r="K34" i="23"/>
  <c r="H68" i="23"/>
  <c r="J100" i="23"/>
  <c r="D116" i="23"/>
  <c r="J116" i="23"/>
  <c r="J108" i="27"/>
  <c r="D108" i="27"/>
  <c r="J28" i="51"/>
  <c r="D28" i="51"/>
  <c r="H11" i="23"/>
  <c r="H35" i="23"/>
  <c r="K117" i="23"/>
  <c r="J9" i="25"/>
  <c r="L9" i="25" s="1"/>
  <c r="D9" i="25"/>
  <c r="H77" i="27"/>
  <c r="J109" i="27"/>
  <c r="D67" i="27"/>
  <c r="J67" i="27"/>
  <c r="K99" i="27"/>
  <c r="K125" i="27"/>
  <c r="K136" i="26"/>
  <c r="J78" i="27"/>
  <c r="D78" i="27"/>
  <c r="D120" i="27"/>
  <c r="J120" i="27"/>
  <c r="J8" i="51"/>
  <c r="L8" i="51" s="1"/>
  <c r="D8" i="51"/>
  <c r="D135" i="26"/>
  <c r="J135" i="26"/>
  <c r="K79" i="27"/>
  <c r="K121" i="27"/>
  <c r="D57" i="40"/>
  <c r="D54" i="41"/>
  <c r="L7" i="41"/>
  <c r="D7" i="41"/>
  <c r="L10" i="41"/>
  <c r="D10" i="41"/>
  <c r="J8" i="29"/>
  <c r="L8" i="29" s="1"/>
  <c r="D8" i="29"/>
  <c r="J11" i="29"/>
  <c r="J99" i="29"/>
  <c r="D99" i="29"/>
  <c r="D120" i="33"/>
  <c r="J120" i="33"/>
  <c r="D9" i="29"/>
  <c r="J9" i="29"/>
  <c r="L9" i="29" s="1"/>
  <c r="H11" i="29"/>
  <c r="H34" i="29"/>
  <c r="J100" i="29"/>
  <c r="D100" i="29"/>
  <c r="J136" i="34"/>
  <c r="D136" i="34"/>
  <c r="J108" i="29"/>
  <c r="D108" i="29"/>
  <c r="J12" i="33"/>
  <c r="D125" i="33"/>
  <c r="J125" i="33"/>
  <c r="J67" i="29"/>
  <c r="D79" i="29"/>
  <c r="K79" i="29"/>
  <c r="K88" i="29"/>
  <c r="K100" i="29"/>
  <c r="K121" i="29"/>
  <c r="J35" i="35"/>
  <c r="K99" i="33"/>
  <c r="K98" i="33"/>
  <c r="H86" i="29"/>
  <c r="H109" i="29"/>
  <c r="K88" i="33"/>
  <c r="J86" i="33"/>
  <c r="D121" i="33"/>
  <c r="J121" i="33"/>
  <c r="J121" i="35"/>
  <c r="J35" i="33"/>
  <c r="D35" i="33"/>
  <c r="J109" i="35"/>
  <c r="H125" i="35"/>
  <c r="J7" i="33"/>
  <c r="D7" i="33"/>
  <c r="H10" i="33"/>
  <c r="K28" i="33"/>
  <c r="K34" i="33"/>
  <c r="H86" i="33"/>
  <c r="J89" i="33"/>
  <c r="D89" i="33"/>
  <c r="J107" i="33"/>
  <c r="J110" i="33"/>
  <c r="L110" i="33" s="1"/>
  <c r="D110" i="33"/>
  <c r="K109" i="33"/>
  <c r="H109" i="33"/>
  <c r="J114" i="33"/>
  <c r="D114" i="33"/>
  <c r="G28" i="9"/>
  <c r="B9" i="10"/>
  <c r="B10" i="10"/>
  <c r="F21" i="10"/>
  <c r="F10" i="10"/>
  <c r="L22" i="51" l="1"/>
  <c r="G125" i="4"/>
  <c r="G121" i="4"/>
  <c r="F23" i="10"/>
  <c r="G89" i="4"/>
  <c r="G112" i="4"/>
  <c r="G86" i="4"/>
  <c r="G79" i="4"/>
  <c r="G116" i="4"/>
  <c r="F13" i="10"/>
  <c r="G68" i="4"/>
  <c r="G124" i="4"/>
  <c r="G108" i="4"/>
  <c r="L109" i="20"/>
  <c r="E34" i="13"/>
  <c r="D53" i="41"/>
  <c r="D34" i="4"/>
  <c r="E34" i="37"/>
  <c r="L7" i="35"/>
  <c r="L10" i="22"/>
  <c r="E28" i="25"/>
  <c r="E28" i="33"/>
  <c r="E28" i="51"/>
  <c r="E28" i="29"/>
  <c r="E28" i="24"/>
  <c r="E28" i="23"/>
  <c r="E28" i="20"/>
  <c r="K77" i="20"/>
  <c r="H77" i="20"/>
  <c r="E34" i="29"/>
  <c r="L7" i="51"/>
  <c r="E28" i="37"/>
  <c r="E28" i="13"/>
  <c r="D38" i="4"/>
  <c r="D35" i="4"/>
  <c r="C30" i="9"/>
  <c r="D53" i="40"/>
  <c r="D53" i="21"/>
  <c r="L28" i="51"/>
  <c r="L125" i="35"/>
  <c r="L10" i="51"/>
  <c r="E35" i="13"/>
  <c r="E35" i="37"/>
  <c r="E35" i="33"/>
  <c r="B34" i="10"/>
  <c r="H77" i="13"/>
  <c r="B49" i="10"/>
  <c r="B43" i="10"/>
  <c r="B11" i="10"/>
  <c r="B32" i="10"/>
  <c r="E47" i="72"/>
  <c r="B38" i="10"/>
  <c r="G87" i="4"/>
  <c r="B22" i="10"/>
  <c r="B42" i="10"/>
  <c r="E99" i="18"/>
  <c r="D29" i="4"/>
  <c r="E88" i="18"/>
  <c r="E9" i="18"/>
  <c r="E9" i="72"/>
  <c r="E67" i="18"/>
  <c r="E8" i="18"/>
  <c r="E112" i="18"/>
  <c r="E108" i="18"/>
  <c r="E120" i="18"/>
  <c r="E78" i="18"/>
  <c r="E124" i="18"/>
  <c r="D37" i="4"/>
  <c r="L10" i="19"/>
  <c r="D36" i="4"/>
  <c r="I33" i="18"/>
  <c r="I33" i="37"/>
  <c r="I33" i="33"/>
  <c r="I33" i="35"/>
  <c r="I33" i="29"/>
  <c r="I33" i="23"/>
  <c r="I33" i="20"/>
  <c r="B31" i="10"/>
  <c r="H119" i="20"/>
  <c r="D110" i="4"/>
  <c r="L117" i="35"/>
  <c r="L10" i="25"/>
  <c r="L122" i="33"/>
  <c r="L135" i="26"/>
  <c r="E38" i="13"/>
  <c r="H111" i="35"/>
  <c r="L113" i="35"/>
  <c r="D122" i="4"/>
  <c r="H119" i="35"/>
  <c r="D47" i="34"/>
  <c r="L121" i="13"/>
  <c r="L108" i="33"/>
  <c r="L121" i="35"/>
  <c r="E48" i="37"/>
  <c r="E48" i="18"/>
  <c r="I11" i="37"/>
  <c r="I11" i="18"/>
  <c r="E54" i="37"/>
  <c r="I34" i="37"/>
  <c r="I34" i="18"/>
  <c r="I117" i="37"/>
  <c r="I117" i="18"/>
  <c r="E22" i="37"/>
  <c r="E22" i="18"/>
  <c r="I109" i="37"/>
  <c r="I109" i="18"/>
  <c r="E7" i="37"/>
  <c r="E7" i="18"/>
  <c r="E134" i="37"/>
  <c r="I89" i="37"/>
  <c r="I89" i="18"/>
  <c r="I10" i="37"/>
  <c r="I10" i="18"/>
  <c r="I125" i="37"/>
  <c r="I125" i="18"/>
  <c r="I124" i="37"/>
  <c r="I124" i="18"/>
  <c r="I113" i="37"/>
  <c r="I113" i="18"/>
  <c r="I68" i="37"/>
  <c r="I68" i="18"/>
  <c r="I114" i="37"/>
  <c r="I96" i="37"/>
  <c r="E75" i="37"/>
  <c r="E36" i="37"/>
  <c r="E49" i="37"/>
  <c r="I100" i="37"/>
  <c r="I100" i="18"/>
  <c r="E89" i="37"/>
  <c r="D114" i="4"/>
  <c r="I12" i="37"/>
  <c r="I12" i="18"/>
  <c r="E37" i="37"/>
  <c r="I22" i="37"/>
  <c r="I22" i="18"/>
  <c r="I121" i="37"/>
  <c r="I121" i="18"/>
  <c r="I29" i="37"/>
  <c r="I29" i="18"/>
  <c r="I79" i="37"/>
  <c r="I79" i="18"/>
  <c r="I116" i="37"/>
  <c r="I35" i="37"/>
  <c r="I35" i="18"/>
  <c r="I75" i="37"/>
  <c r="E135" i="37"/>
  <c r="I112" i="37"/>
  <c r="I108" i="37"/>
  <c r="I108" i="18"/>
  <c r="E10" i="37"/>
  <c r="E10" i="18"/>
  <c r="E57" i="37"/>
  <c r="I7" i="37"/>
  <c r="I7" i="18"/>
  <c r="E96" i="37"/>
  <c r="L114" i="33"/>
  <c r="H77" i="23"/>
  <c r="K77" i="23"/>
  <c r="D47" i="21"/>
  <c r="D47" i="20"/>
  <c r="L107" i="29"/>
  <c r="L134" i="26"/>
  <c r="L109" i="23"/>
  <c r="L113" i="33"/>
  <c r="L12" i="33"/>
  <c r="D56" i="22"/>
  <c r="H111" i="20"/>
  <c r="D56" i="41"/>
  <c r="E100" i="37"/>
  <c r="E122" i="37"/>
  <c r="E78" i="37"/>
  <c r="E114" i="37"/>
  <c r="E9" i="37"/>
  <c r="E124" i="37"/>
  <c r="E8" i="37"/>
  <c r="E67" i="37"/>
  <c r="E116" i="37"/>
  <c r="E125" i="37"/>
  <c r="E99" i="37"/>
  <c r="E112" i="37"/>
  <c r="E110" i="37"/>
  <c r="E107" i="37"/>
  <c r="E88" i="37"/>
  <c r="E86" i="37"/>
  <c r="E108" i="37"/>
  <c r="E120" i="37"/>
  <c r="H66" i="27"/>
  <c r="D47" i="38"/>
  <c r="L96" i="33"/>
  <c r="L113" i="29"/>
  <c r="L89" i="23"/>
  <c r="L75" i="33"/>
  <c r="L68" i="20"/>
  <c r="L136" i="34"/>
  <c r="H98" i="20"/>
  <c r="L68" i="33"/>
  <c r="L68" i="23"/>
  <c r="L28" i="24"/>
  <c r="H98" i="29"/>
  <c r="K98" i="29"/>
  <c r="L89" i="20"/>
  <c r="L22" i="23"/>
  <c r="K98" i="20"/>
  <c r="L120" i="33"/>
  <c r="K87" i="29"/>
  <c r="L137" i="26"/>
  <c r="D47" i="40"/>
  <c r="L89" i="27"/>
  <c r="K66" i="27"/>
  <c r="L113" i="20"/>
  <c r="L28" i="23"/>
  <c r="L12" i="29"/>
  <c r="D53" i="13"/>
  <c r="K87" i="33"/>
  <c r="K87" i="23"/>
  <c r="L89" i="33"/>
  <c r="H87" i="29"/>
  <c r="L135" i="34"/>
  <c r="L109" i="27"/>
  <c r="L10" i="29"/>
  <c r="L7" i="33"/>
  <c r="H98" i="27"/>
  <c r="H66" i="23"/>
  <c r="L35" i="29"/>
  <c r="D56" i="39"/>
  <c r="L11" i="35"/>
  <c r="H87" i="35"/>
  <c r="L116" i="29"/>
  <c r="L11" i="29"/>
  <c r="D47" i="41"/>
  <c r="H111" i="13"/>
  <c r="L108" i="27"/>
  <c r="L35" i="23"/>
  <c r="N139" i="8"/>
  <c r="C12" i="9"/>
  <c r="N114" i="8"/>
  <c r="C24" i="9"/>
  <c r="C13" i="9"/>
  <c r="C22" i="9"/>
  <c r="C27" i="9"/>
  <c r="K119" i="20"/>
  <c r="K111" i="13"/>
  <c r="L107" i="33"/>
  <c r="L100" i="33"/>
  <c r="L100" i="20"/>
  <c r="N142" i="8"/>
  <c r="M114" i="8"/>
  <c r="L108" i="13"/>
  <c r="D56" i="40"/>
  <c r="N143" i="8"/>
  <c r="L109" i="35"/>
  <c r="H119" i="23"/>
  <c r="L116" i="33"/>
  <c r="L100" i="27"/>
  <c r="C19" i="9"/>
  <c r="D53" i="22"/>
  <c r="L35" i="33"/>
  <c r="L67" i="29"/>
  <c r="L29" i="20"/>
  <c r="L116" i="23"/>
  <c r="L12" i="35"/>
  <c r="H87" i="27"/>
  <c r="L108" i="23"/>
  <c r="L28" i="25"/>
  <c r="H98" i="13"/>
  <c r="K111" i="29"/>
  <c r="D47" i="33"/>
  <c r="D56" i="25"/>
  <c r="L117" i="33"/>
  <c r="L10" i="35"/>
  <c r="L12" i="13"/>
  <c r="K66" i="35"/>
  <c r="N137" i="8"/>
  <c r="L99" i="23"/>
  <c r="L7" i="20"/>
  <c r="K119" i="13"/>
  <c r="M116" i="8"/>
  <c r="K66" i="23"/>
  <c r="K87" i="35"/>
  <c r="M111" i="8"/>
  <c r="L11" i="33"/>
  <c r="H119" i="13"/>
  <c r="C14" i="9"/>
  <c r="N141" i="8"/>
  <c r="L7" i="13"/>
  <c r="M140" i="8"/>
  <c r="N136" i="8"/>
  <c r="B28" i="9"/>
  <c r="M117" i="8"/>
  <c r="M141" i="8"/>
  <c r="N113" i="8"/>
  <c r="N138" i="8"/>
  <c r="N144" i="8"/>
  <c r="C28" i="9"/>
  <c r="C21" i="9"/>
  <c r="C17" i="9"/>
  <c r="M113" i="8"/>
  <c r="B11" i="9"/>
  <c r="B15" i="9"/>
  <c r="M118" i="8"/>
  <c r="H119" i="33"/>
  <c r="L125" i="33"/>
  <c r="L121" i="23"/>
  <c r="M115" i="8"/>
  <c r="M139" i="8"/>
  <c r="L116" i="13"/>
  <c r="N117" i="8"/>
  <c r="L10" i="33"/>
  <c r="C18" i="9"/>
  <c r="B18" i="9"/>
  <c r="L22" i="13"/>
  <c r="L107" i="13"/>
  <c r="B10" i="9"/>
  <c r="L10" i="13"/>
  <c r="L121" i="33"/>
  <c r="C25" i="9"/>
  <c r="K98" i="27"/>
  <c r="H87" i="23"/>
  <c r="L29" i="24"/>
  <c r="L7" i="23"/>
  <c r="H87" i="33"/>
  <c r="L120" i="29"/>
  <c r="D47" i="22"/>
  <c r="L11" i="23"/>
  <c r="L117" i="29"/>
  <c r="B23" i="9"/>
  <c r="N115" i="8"/>
  <c r="K119" i="23"/>
  <c r="L34" i="13"/>
  <c r="M143" i="8"/>
  <c r="B21" i="9"/>
  <c r="B19" i="9"/>
  <c r="N140" i="8"/>
  <c r="L22" i="24"/>
  <c r="L7" i="19"/>
  <c r="N111" i="8"/>
  <c r="M112" i="8"/>
  <c r="C10" i="9"/>
  <c r="L11" i="13"/>
  <c r="C11" i="9"/>
  <c r="M136" i="8"/>
  <c r="C29" i="9"/>
  <c r="F14" i="10"/>
  <c r="E48" i="39"/>
  <c r="I73" i="29"/>
  <c r="I73" i="35"/>
  <c r="I89" i="20"/>
  <c r="I89" i="13"/>
  <c r="I89" i="29"/>
  <c r="I89" i="35"/>
  <c r="I89" i="33"/>
  <c r="I89" i="27"/>
  <c r="I89" i="23"/>
  <c r="G23" i="10"/>
  <c r="I35" i="23"/>
  <c r="I35" i="29"/>
  <c r="I35" i="35"/>
  <c r="I35" i="33"/>
  <c r="I35" i="13"/>
  <c r="G42" i="10"/>
  <c r="I134" i="26"/>
  <c r="G15" i="10"/>
  <c r="I10" i="23"/>
  <c r="I10" i="35"/>
  <c r="I10" i="29"/>
  <c r="I10" i="33"/>
  <c r="I10" i="13"/>
  <c r="G20" i="10"/>
  <c r="E49" i="39"/>
  <c r="I23" i="33"/>
  <c r="I23" i="13"/>
  <c r="I23" i="23"/>
  <c r="I23" i="29"/>
  <c r="I23" i="35"/>
  <c r="E54" i="39"/>
  <c r="I114" i="33"/>
  <c r="C25" i="10"/>
  <c r="C31" i="10"/>
  <c r="C9" i="10"/>
  <c r="C23" i="10"/>
  <c r="G44" i="10"/>
  <c r="C41" i="10"/>
  <c r="I86" i="29"/>
  <c r="I86" i="33"/>
  <c r="I86" i="35"/>
  <c r="C21" i="10"/>
  <c r="C33" i="10"/>
  <c r="C16" i="10"/>
  <c r="H16" i="9"/>
  <c r="N65" i="8" s="1"/>
  <c r="B14" i="9"/>
  <c r="M144" i="8"/>
  <c r="B12" i="9"/>
  <c r="H65" i="9"/>
  <c r="H17" i="9"/>
  <c r="N66" i="8" s="1"/>
  <c r="M138" i="8"/>
  <c r="N112" i="8"/>
  <c r="G39" i="9"/>
  <c r="I29" i="33"/>
  <c r="I29" i="20"/>
  <c r="I29" i="23"/>
  <c r="I29" i="29"/>
  <c r="I29" i="13"/>
  <c r="I29" i="35"/>
  <c r="G21" i="10"/>
  <c r="I25" i="20"/>
  <c r="I25" i="23"/>
  <c r="I25" i="29"/>
  <c r="I25" i="33"/>
  <c r="I25" i="13"/>
  <c r="I30" i="23"/>
  <c r="I30" i="29"/>
  <c r="I30" i="35"/>
  <c r="I30" i="33"/>
  <c r="I30" i="13"/>
  <c r="C30" i="10"/>
  <c r="I107" i="13"/>
  <c r="I107" i="29"/>
  <c r="I107" i="35"/>
  <c r="I107" i="33"/>
  <c r="C44" i="10"/>
  <c r="I75" i="33"/>
  <c r="G14" i="10"/>
  <c r="I32" i="13"/>
  <c r="I32" i="20"/>
  <c r="I32" i="23"/>
  <c r="I32" i="29"/>
  <c r="I32" i="33"/>
  <c r="I100" i="13"/>
  <c r="I100" i="20"/>
  <c r="I100" i="23"/>
  <c r="I100" i="27"/>
  <c r="I100" i="29"/>
  <c r="I100" i="33"/>
  <c r="I22" i="23"/>
  <c r="I22" i="29"/>
  <c r="I22" i="35"/>
  <c r="I22" i="33"/>
  <c r="I22" i="20"/>
  <c r="I22" i="13"/>
  <c r="G10" i="10"/>
  <c r="C34" i="10"/>
  <c r="I121" i="20"/>
  <c r="I121" i="13"/>
  <c r="I121" i="23"/>
  <c r="I121" i="35"/>
  <c r="I121" i="27"/>
  <c r="I121" i="33"/>
  <c r="I121" i="29"/>
  <c r="I113" i="20"/>
  <c r="I113" i="23"/>
  <c r="I113" i="13"/>
  <c r="I113" i="27"/>
  <c r="I113" i="35"/>
  <c r="I113" i="33"/>
  <c r="I113" i="29"/>
  <c r="I108" i="13"/>
  <c r="M142" i="8"/>
  <c r="N116" i="8"/>
  <c r="B38" i="9"/>
  <c r="B13" i="9"/>
  <c r="B30" i="9"/>
  <c r="G42" i="9"/>
  <c r="B39" i="9"/>
  <c r="H21" i="9"/>
  <c r="N70" i="8" s="1"/>
  <c r="C15" i="9"/>
  <c r="B29" i="9"/>
  <c r="H27" i="9"/>
  <c r="B37" i="9"/>
  <c r="B17" i="9"/>
  <c r="I71" i="29"/>
  <c r="I106" i="20"/>
  <c r="I106" i="23"/>
  <c r="I106" i="29"/>
  <c r="I106" i="33"/>
  <c r="I106" i="27"/>
  <c r="I136" i="26"/>
  <c r="G33" i="10"/>
  <c r="I7" i="29"/>
  <c r="I7" i="33"/>
  <c r="I7" i="23"/>
  <c r="I7" i="35"/>
  <c r="I7" i="13"/>
  <c r="G9" i="10"/>
  <c r="I92" i="29"/>
  <c r="B45" i="10"/>
  <c r="I91" i="13"/>
  <c r="I91" i="29"/>
  <c r="I31" i="35"/>
  <c r="I31" i="13"/>
  <c r="I31" i="33"/>
  <c r="I31" i="23"/>
  <c r="I31" i="29"/>
  <c r="C45" i="10"/>
  <c r="I105" i="29"/>
  <c r="C42" i="10"/>
  <c r="I24" i="13"/>
  <c r="I24" i="33"/>
  <c r="I24" i="23"/>
  <c r="I94" i="29"/>
  <c r="I94" i="35"/>
  <c r="C15" i="10"/>
  <c r="B27" i="9"/>
  <c r="B20" i="9"/>
  <c r="H15" i="9"/>
  <c r="M137" i="8"/>
  <c r="B43" i="9"/>
  <c r="G41" i="9"/>
  <c r="C23" i="9"/>
  <c r="H10" i="9"/>
  <c r="N118" i="8"/>
  <c r="C16" i="9"/>
  <c r="H29" i="9"/>
  <c r="I70" i="29"/>
  <c r="I74" i="13"/>
  <c r="I74" i="20"/>
  <c r="I74" i="23"/>
  <c r="I74" i="27"/>
  <c r="I74" i="29"/>
  <c r="I74" i="33"/>
  <c r="C13" i="10"/>
  <c r="I85" i="20"/>
  <c r="I85" i="13"/>
  <c r="I85" i="27"/>
  <c r="I85" i="29"/>
  <c r="I85" i="23"/>
  <c r="I85" i="33"/>
  <c r="F44" i="10"/>
  <c r="I135" i="26"/>
  <c r="G25" i="10"/>
  <c r="E58" i="39"/>
  <c r="I96" i="33"/>
  <c r="G24" i="10"/>
  <c r="E55" i="39"/>
  <c r="C14" i="10"/>
  <c r="I68" i="20"/>
  <c r="I68" i="23"/>
  <c r="I68" i="27"/>
  <c r="I68" i="29"/>
  <c r="I68" i="35"/>
  <c r="I68" i="33"/>
  <c r="I68" i="13"/>
  <c r="G13" i="10"/>
  <c r="I95" i="13"/>
  <c r="I95" i="20"/>
  <c r="I95" i="23"/>
  <c r="I95" i="27"/>
  <c r="I95" i="29"/>
  <c r="I95" i="33"/>
  <c r="G136" i="4"/>
  <c r="F33" i="10"/>
  <c r="I79" i="13"/>
  <c r="I79" i="20"/>
  <c r="I79" i="23"/>
  <c r="I79" i="33"/>
  <c r="I79" i="27"/>
  <c r="I79" i="29"/>
  <c r="I115" i="27"/>
  <c r="I109" i="20"/>
  <c r="I109" i="13"/>
  <c r="I109" i="27"/>
  <c r="I109" i="35"/>
  <c r="I109" i="29"/>
  <c r="I109" i="23"/>
  <c r="I109" i="33"/>
  <c r="I12" i="29"/>
  <c r="I12" i="33"/>
  <c r="I12" i="35"/>
  <c r="I12" i="23"/>
  <c r="I12" i="13"/>
  <c r="G41" i="10"/>
  <c r="I11" i="13"/>
  <c r="I11" i="23"/>
  <c r="I11" i="35"/>
  <c r="I11" i="33"/>
  <c r="G30" i="10"/>
  <c r="I11" i="29"/>
  <c r="I84" i="29"/>
  <c r="F24" i="10"/>
  <c r="I125" i="13"/>
  <c r="I125" i="27"/>
  <c r="I125" i="23"/>
  <c r="I125" i="35"/>
  <c r="I125" i="29"/>
  <c r="I125" i="33"/>
  <c r="C26" i="10"/>
  <c r="I34" i="13"/>
  <c r="I34" i="35"/>
  <c r="I34" i="23"/>
  <c r="I34" i="29"/>
  <c r="I34" i="33"/>
  <c r="G31" i="10"/>
  <c r="D96" i="4"/>
  <c r="B24" i="10"/>
  <c r="C24" i="10"/>
  <c r="I117" i="13"/>
  <c r="I117" i="23"/>
  <c r="I117" i="35"/>
  <c r="I117" i="29"/>
  <c r="I117" i="33"/>
  <c r="I117" i="27"/>
  <c r="C10" i="10"/>
  <c r="C20" i="10"/>
  <c r="D75" i="4"/>
  <c r="B14" i="10"/>
  <c r="E57" i="39"/>
  <c r="L120" i="27"/>
  <c r="K119" i="27"/>
  <c r="L120" i="23"/>
  <c r="L67" i="23"/>
  <c r="H98" i="33"/>
  <c r="L22" i="35"/>
  <c r="H87" i="20"/>
  <c r="L100" i="13"/>
  <c r="D53" i="39"/>
  <c r="D56" i="33"/>
  <c r="L109" i="29"/>
  <c r="L7" i="29"/>
  <c r="L28" i="29"/>
  <c r="L117" i="23"/>
  <c r="H98" i="23"/>
  <c r="L10" i="20"/>
  <c r="K98" i="13"/>
  <c r="L29" i="13"/>
  <c r="G38" i="9"/>
  <c r="B16" i="9"/>
  <c r="G40" i="9"/>
  <c r="B22" i="9"/>
  <c r="H14" i="9"/>
  <c r="B25" i="9"/>
  <c r="C20" i="9"/>
  <c r="G36" i="9"/>
  <c r="H25" i="9"/>
  <c r="B24" i="9"/>
  <c r="H24" i="9"/>
  <c r="L22" i="20"/>
  <c r="L109" i="33"/>
  <c r="L99" i="33"/>
  <c r="H111" i="29"/>
  <c r="L10" i="23"/>
  <c r="L28" i="13"/>
  <c r="L89" i="35"/>
  <c r="D56" i="13"/>
  <c r="L35" i="35"/>
  <c r="L99" i="29"/>
  <c r="K119" i="33"/>
  <c r="L88" i="33"/>
  <c r="L28" i="33"/>
  <c r="L79" i="33"/>
  <c r="L34" i="29"/>
  <c r="H66" i="33"/>
  <c r="L78" i="33"/>
  <c r="L67" i="13"/>
  <c r="H66" i="35"/>
  <c r="K87" i="27"/>
  <c r="L109" i="13"/>
  <c r="L112" i="13"/>
  <c r="L35" i="13"/>
  <c r="L79" i="29"/>
  <c r="L86" i="29"/>
  <c r="L7" i="22"/>
  <c r="L78" i="27"/>
  <c r="K66" i="33"/>
  <c r="L89" i="29"/>
  <c r="L112" i="27"/>
  <c r="L12" i="23"/>
  <c r="H87" i="13"/>
  <c r="L120" i="13"/>
  <c r="L68" i="13"/>
  <c r="L7" i="25"/>
  <c r="K66" i="20"/>
  <c r="L134" i="34"/>
  <c r="L125" i="27"/>
  <c r="L108" i="29"/>
  <c r="L67" i="27"/>
  <c r="L34" i="35"/>
  <c r="D53" i="25"/>
  <c r="L112" i="33"/>
  <c r="L29" i="33"/>
  <c r="L121" i="29"/>
  <c r="L29" i="29"/>
  <c r="H111" i="23"/>
  <c r="L86" i="35"/>
  <c r="L112" i="29"/>
  <c r="L68" i="29"/>
  <c r="L136" i="26"/>
  <c r="L79" i="27"/>
  <c r="D47" i="25"/>
  <c r="L88" i="27"/>
  <c r="L112" i="23"/>
  <c r="H66" i="20"/>
  <c r="L113" i="13"/>
  <c r="L117" i="13"/>
  <c r="K87" i="20"/>
  <c r="L68" i="35"/>
  <c r="L86" i="33"/>
  <c r="H119" i="29"/>
  <c r="L100" i="29"/>
  <c r="L34" i="33"/>
  <c r="L125" i="29"/>
  <c r="L99" i="27"/>
  <c r="L29" i="35"/>
  <c r="L88" i="29"/>
  <c r="L78" i="29"/>
  <c r="K111" i="27"/>
  <c r="L88" i="23"/>
  <c r="L125" i="23"/>
  <c r="L113" i="23"/>
  <c r="L79" i="20"/>
  <c r="H111" i="33"/>
  <c r="L107" i="35"/>
  <c r="D47" i="51"/>
  <c r="D47" i="26"/>
  <c r="L7" i="24"/>
  <c r="L29" i="23"/>
  <c r="L28" i="20"/>
  <c r="L121" i="27"/>
  <c r="K119" i="35"/>
  <c r="L100" i="23"/>
  <c r="L113" i="27"/>
  <c r="L79" i="23"/>
  <c r="L67" i="33"/>
  <c r="L22" i="33"/>
  <c r="L22" i="29"/>
  <c r="J77" i="29"/>
  <c r="L117" i="27"/>
  <c r="K98" i="23"/>
  <c r="L10" i="24"/>
  <c r="L78" i="23"/>
  <c r="L34" i="23"/>
  <c r="L121" i="20"/>
  <c r="H111" i="27"/>
  <c r="L68" i="27"/>
  <c r="K111" i="20"/>
  <c r="L124" i="13"/>
  <c r="L79" i="13"/>
  <c r="L89" i="13"/>
  <c r="L99" i="13"/>
  <c r="L125" i="13"/>
  <c r="L78" i="13"/>
  <c r="K66" i="13"/>
  <c r="L86" i="13"/>
  <c r="K87" i="13"/>
  <c r="J77" i="13"/>
  <c r="L88" i="13"/>
  <c r="H66" i="13"/>
  <c r="D47" i="13"/>
  <c r="J87" i="35"/>
  <c r="D66" i="33"/>
  <c r="J66" i="33"/>
  <c r="D77" i="27"/>
  <c r="J77" i="27"/>
  <c r="L77" i="27" s="1"/>
  <c r="J98" i="23"/>
  <c r="D98" i="23"/>
  <c r="D111" i="33"/>
  <c r="J111" i="33"/>
  <c r="J111" i="35"/>
  <c r="D87" i="20"/>
  <c r="J87" i="20"/>
  <c r="D66" i="13"/>
  <c r="J66" i="13"/>
  <c r="K111" i="33"/>
  <c r="K111" i="35"/>
  <c r="J111" i="29"/>
  <c r="D111" i="29"/>
  <c r="J111" i="23"/>
  <c r="D111" i="23"/>
  <c r="J77" i="20"/>
  <c r="L77" i="20" s="1"/>
  <c r="D77" i="20"/>
  <c r="J87" i="13"/>
  <c r="D87" i="13"/>
  <c r="J119" i="33"/>
  <c r="D119" i="33"/>
  <c r="J119" i="27"/>
  <c r="D119" i="27"/>
  <c r="J66" i="27"/>
  <c r="D66" i="27"/>
  <c r="D77" i="29"/>
  <c r="K77" i="29"/>
  <c r="D98" i="27"/>
  <c r="J98" i="27"/>
  <c r="J66" i="35"/>
  <c r="D77" i="13"/>
  <c r="K77" i="13"/>
  <c r="D98" i="20"/>
  <c r="J98" i="20"/>
  <c r="J66" i="29"/>
  <c r="J87" i="33"/>
  <c r="D87" i="33"/>
  <c r="D119" i="29"/>
  <c r="J119" i="29"/>
  <c r="D98" i="33"/>
  <c r="J98" i="33"/>
  <c r="L98" i="33" s="1"/>
  <c r="J87" i="29"/>
  <c r="D87" i="29"/>
  <c r="J111" i="27"/>
  <c r="D111" i="27"/>
  <c r="J87" i="23"/>
  <c r="D87" i="23"/>
  <c r="K119" i="29"/>
  <c r="H119" i="27"/>
  <c r="K111" i="23"/>
  <c r="D119" i="13"/>
  <c r="J119" i="13"/>
  <c r="D98" i="13"/>
  <c r="J98" i="13"/>
  <c r="D111" i="13"/>
  <c r="J111" i="13"/>
  <c r="J98" i="29"/>
  <c r="D98" i="29"/>
  <c r="J119" i="35"/>
  <c r="H66" i="29"/>
  <c r="D119" i="23"/>
  <c r="J119" i="23"/>
  <c r="J66" i="23"/>
  <c r="D66" i="23"/>
  <c r="D77" i="33"/>
  <c r="J77" i="33"/>
  <c r="L77" i="33" s="1"/>
  <c r="J77" i="23"/>
  <c r="D77" i="23"/>
  <c r="D66" i="29"/>
  <c r="K66" i="29"/>
  <c r="D87" i="27"/>
  <c r="J87" i="27"/>
  <c r="D119" i="20"/>
  <c r="J119" i="20"/>
  <c r="J111" i="20"/>
  <c r="D111" i="20"/>
  <c r="D66" i="20"/>
  <c r="J66" i="20"/>
  <c r="E48" i="38"/>
  <c r="E88" i="33"/>
  <c r="E108" i="33"/>
  <c r="E22" i="33"/>
  <c r="E57" i="33"/>
  <c r="E99" i="33"/>
  <c r="E9" i="33"/>
  <c r="E48" i="33"/>
  <c r="E110" i="33"/>
  <c r="E122" i="33"/>
  <c r="E75" i="33"/>
  <c r="E116" i="33"/>
  <c r="E10" i="33"/>
  <c r="E79" i="33"/>
  <c r="E58" i="33"/>
  <c r="E49" i="33"/>
  <c r="E54" i="33"/>
  <c r="E7" i="33"/>
  <c r="E89" i="33"/>
  <c r="E100" i="33"/>
  <c r="E125" i="33"/>
  <c r="E68" i="33"/>
  <c r="E124" i="33"/>
  <c r="E96" i="33"/>
  <c r="E8" i="33"/>
  <c r="E78" i="33"/>
  <c r="E67" i="33"/>
  <c r="E112" i="33"/>
  <c r="E109" i="33"/>
  <c r="E114" i="33"/>
  <c r="E121" i="33"/>
  <c r="E120" i="33"/>
  <c r="E113" i="33"/>
  <c r="E99" i="29"/>
  <c r="E9" i="29"/>
  <c r="E48" i="34"/>
  <c r="E86" i="29"/>
  <c r="E134" i="34"/>
  <c r="E68" i="29"/>
  <c r="E88" i="29"/>
  <c r="E108" i="29"/>
  <c r="E116" i="29"/>
  <c r="E22" i="29"/>
  <c r="E10" i="29"/>
  <c r="E79" i="29"/>
  <c r="E135" i="34"/>
  <c r="E7" i="29"/>
  <c r="E89" i="29"/>
  <c r="E100" i="29"/>
  <c r="E107" i="29"/>
  <c r="E136" i="34"/>
  <c r="E8" i="29"/>
  <c r="E78" i="29"/>
  <c r="E67" i="29"/>
  <c r="E112" i="29"/>
  <c r="E109" i="29"/>
  <c r="E120" i="29"/>
  <c r="E9" i="41"/>
  <c r="E48" i="40"/>
  <c r="E48" i="41"/>
  <c r="E10" i="41"/>
  <c r="E57" i="40"/>
  <c r="E57" i="41"/>
  <c r="E54" i="40"/>
  <c r="E54" i="41"/>
  <c r="E7" i="41"/>
  <c r="E8" i="41"/>
  <c r="E99" i="27"/>
  <c r="E9" i="51"/>
  <c r="E48" i="51"/>
  <c r="E88" i="27"/>
  <c r="E108" i="27"/>
  <c r="E22" i="51"/>
  <c r="E10" i="51"/>
  <c r="E7" i="51"/>
  <c r="E8" i="51"/>
  <c r="E78" i="27"/>
  <c r="E67" i="27"/>
  <c r="E112" i="27"/>
  <c r="E120" i="27"/>
  <c r="E9" i="25"/>
  <c r="E10" i="25"/>
  <c r="E57" i="25"/>
  <c r="E48" i="25"/>
  <c r="E48" i="26"/>
  <c r="E137" i="26"/>
  <c r="E49" i="26"/>
  <c r="E54" i="25"/>
  <c r="E135" i="26"/>
  <c r="E7" i="25"/>
  <c r="E136" i="26"/>
  <c r="E134" i="26"/>
  <c r="E8" i="25"/>
  <c r="E99" i="23"/>
  <c r="E9" i="24"/>
  <c r="E88" i="23"/>
  <c r="E108" i="23"/>
  <c r="E116" i="23"/>
  <c r="E22" i="23"/>
  <c r="E22" i="24"/>
  <c r="E10" i="24"/>
  <c r="E7" i="24"/>
  <c r="E8" i="24"/>
  <c r="E78" i="23"/>
  <c r="E67" i="23"/>
  <c r="E112" i="23"/>
  <c r="E120" i="23"/>
  <c r="E9" i="22"/>
  <c r="E48" i="21"/>
  <c r="E48" i="22"/>
  <c r="E55" i="22"/>
  <c r="E10" i="22"/>
  <c r="E57" i="21"/>
  <c r="E57" i="22"/>
  <c r="E58" i="22"/>
  <c r="E11" i="22"/>
  <c r="E49" i="22"/>
  <c r="E54" i="21"/>
  <c r="E54" i="22"/>
  <c r="E7" i="22"/>
  <c r="E12" i="22"/>
  <c r="E8" i="22"/>
  <c r="E68" i="20"/>
  <c r="E22" i="20"/>
  <c r="E10" i="19"/>
  <c r="E10" i="20"/>
  <c r="E79" i="20"/>
  <c r="E7" i="19"/>
  <c r="E7" i="20"/>
  <c r="E89" i="20"/>
  <c r="E9" i="19"/>
  <c r="E9" i="20"/>
  <c r="E48" i="20"/>
  <c r="E8" i="19"/>
  <c r="E8" i="20"/>
  <c r="E121" i="20"/>
  <c r="E113" i="20"/>
  <c r="E99" i="13"/>
  <c r="E9" i="13"/>
  <c r="E48" i="13"/>
  <c r="E86" i="13"/>
  <c r="E88" i="13"/>
  <c r="E124" i="13"/>
  <c r="E37" i="13"/>
  <c r="E108" i="13"/>
  <c r="E116" i="13"/>
  <c r="E22" i="13"/>
  <c r="E10" i="13"/>
  <c r="E57" i="13"/>
  <c r="E11" i="13"/>
  <c r="E49" i="13"/>
  <c r="E54" i="13"/>
  <c r="E7" i="13"/>
  <c r="E89" i="13"/>
  <c r="E100" i="13"/>
  <c r="E107" i="13"/>
  <c r="E12" i="13"/>
  <c r="E36" i="13"/>
  <c r="E8" i="13"/>
  <c r="E78" i="13"/>
  <c r="E67" i="13"/>
  <c r="E112" i="13"/>
  <c r="E109" i="13"/>
  <c r="E120" i="13"/>
  <c r="D116" i="4"/>
  <c r="D108" i="4"/>
  <c r="D124" i="4"/>
  <c r="D125" i="4"/>
  <c r="D109" i="4"/>
  <c r="D22" i="4"/>
  <c r="D136" i="4"/>
  <c r="D57" i="4"/>
  <c r="G22" i="4"/>
  <c r="D113" i="4"/>
  <c r="D137" i="4"/>
  <c r="D10" i="4"/>
  <c r="D112" i="4"/>
  <c r="D55" i="4"/>
  <c r="D120" i="4"/>
  <c r="D7" i="4"/>
  <c r="D68" i="4"/>
  <c r="D8" i="4"/>
  <c r="D134" i="4"/>
  <c r="G7" i="4"/>
  <c r="D48" i="4"/>
  <c r="D54" i="4"/>
  <c r="D49" i="4"/>
  <c r="D12" i="4"/>
  <c r="D11" i="4"/>
  <c r="G12" i="4"/>
  <c r="G34" i="4"/>
  <c r="D121" i="4"/>
  <c r="G11" i="4"/>
  <c r="H22" i="4"/>
  <c r="G29" i="4"/>
  <c r="D67" i="4"/>
  <c r="D100" i="4"/>
  <c r="D58" i="4"/>
  <c r="G10" i="4"/>
  <c r="D89" i="4"/>
  <c r="G35" i="4"/>
  <c r="D99" i="4"/>
  <c r="D86" i="4"/>
  <c r="D107" i="4"/>
  <c r="D135" i="4"/>
  <c r="G135" i="4"/>
  <c r="G134" i="4"/>
  <c r="D78" i="4"/>
  <c r="D88" i="4"/>
  <c r="D79" i="4"/>
  <c r="D9" i="4"/>
  <c r="F43" i="10" l="1"/>
  <c r="G119" i="4"/>
  <c r="G77" i="4"/>
  <c r="F32" i="10"/>
  <c r="G111" i="4"/>
  <c r="G98" i="4"/>
  <c r="L119" i="35"/>
  <c r="E87" i="18"/>
  <c r="E66" i="18"/>
  <c r="L77" i="23"/>
  <c r="I77" i="27"/>
  <c r="I77" i="29"/>
  <c r="I77" i="20"/>
  <c r="I77" i="23"/>
  <c r="I77" i="13"/>
  <c r="I77" i="33"/>
  <c r="L111" i="35"/>
  <c r="E56" i="37"/>
  <c r="I111" i="37"/>
  <c r="I111" i="18"/>
  <c r="I98" i="18"/>
  <c r="E77" i="18"/>
  <c r="I77" i="18"/>
  <c r="E119" i="37"/>
  <c r="E119" i="18"/>
  <c r="I119" i="37"/>
  <c r="I119" i="18"/>
  <c r="E47" i="37"/>
  <c r="E47" i="18"/>
  <c r="E98" i="18"/>
  <c r="I87" i="37"/>
  <c r="I87" i="18"/>
  <c r="E111" i="37"/>
  <c r="E111" i="18"/>
  <c r="E53" i="37"/>
  <c r="I66" i="37"/>
  <c r="I66" i="18"/>
  <c r="I77" i="37"/>
  <c r="L98" i="27"/>
  <c r="L87" i="29"/>
  <c r="E97" i="33"/>
  <c r="E97" i="29"/>
  <c r="E97" i="37"/>
  <c r="I98" i="37"/>
  <c r="L119" i="13"/>
  <c r="E76" i="33"/>
  <c r="E76" i="29"/>
  <c r="E76" i="37"/>
  <c r="E76" i="13"/>
  <c r="E66" i="37"/>
  <c r="E87" i="33"/>
  <c r="E87" i="37"/>
  <c r="E98" i="37"/>
  <c r="E77" i="37"/>
  <c r="L98" i="20"/>
  <c r="L111" i="29"/>
  <c r="L66" i="27"/>
  <c r="L111" i="13"/>
  <c r="L87" i="33"/>
  <c r="L98" i="29"/>
  <c r="L87" i="20"/>
  <c r="L119" i="23"/>
  <c r="L87" i="23"/>
  <c r="L98" i="23"/>
  <c r="L119" i="20"/>
  <c r="L111" i="27"/>
  <c r="E66" i="20"/>
  <c r="E87" i="13"/>
  <c r="E87" i="23"/>
  <c r="D98" i="4"/>
  <c r="L66" i="35"/>
  <c r="E98" i="29"/>
  <c r="E98" i="33"/>
  <c r="L87" i="27"/>
  <c r="L119" i="33"/>
  <c r="L98" i="13"/>
  <c r="L66" i="33"/>
  <c r="L87" i="35"/>
  <c r="L66" i="23"/>
  <c r="L66" i="13"/>
  <c r="E66" i="23"/>
  <c r="E66" i="13"/>
  <c r="E66" i="27"/>
  <c r="E66" i="29"/>
  <c r="E66" i="33"/>
  <c r="L111" i="33"/>
  <c r="D87" i="4"/>
  <c r="E98" i="20"/>
  <c r="E98" i="23"/>
  <c r="E87" i="27"/>
  <c r="E98" i="27"/>
  <c r="E87" i="29"/>
  <c r="L119" i="27"/>
  <c r="I90" i="13"/>
  <c r="I90" i="29"/>
  <c r="C43" i="10"/>
  <c r="I119" i="13"/>
  <c r="I119" i="20"/>
  <c r="I119" i="23"/>
  <c r="I119" i="27"/>
  <c r="I119" i="29"/>
  <c r="I119" i="35"/>
  <c r="I119" i="33"/>
  <c r="G43" i="10"/>
  <c r="F22" i="10"/>
  <c r="I98" i="20"/>
  <c r="I98" i="13"/>
  <c r="I98" i="23"/>
  <c r="I98" i="29"/>
  <c r="I98" i="27"/>
  <c r="I98" i="33"/>
  <c r="D66" i="4"/>
  <c r="B12" i="10"/>
  <c r="I66" i="13"/>
  <c r="I66" i="20"/>
  <c r="I66" i="27"/>
  <c r="I66" i="29"/>
  <c r="I66" i="35"/>
  <c r="I66" i="33"/>
  <c r="G12" i="10"/>
  <c r="I66" i="23"/>
  <c r="G66" i="4"/>
  <c r="F12" i="10"/>
  <c r="E53" i="39"/>
  <c r="C38" i="10"/>
  <c r="I72" i="13"/>
  <c r="I72" i="23"/>
  <c r="I72" i="27"/>
  <c r="I72" i="29"/>
  <c r="I72" i="33"/>
  <c r="I72" i="35"/>
  <c r="I83" i="13"/>
  <c r="I83" i="20"/>
  <c r="I83" i="23"/>
  <c r="I83" i="27"/>
  <c r="I83" i="29"/>
  <c r="I83" i="33"/>
  <c r="I93" i="20"/>
  <c r="I93" i="13"/>
  <c r="I93" i="23"/>
  <c r="I93" i="35"/>
  <c r="I93" i="27"/>
  <c r="I93" i="33"/>
  <c r="I93" i="29"/>
  <c r="I104" i="20"/>
  <c r="I104" i="27"/>
  <c r="I104" i="23"/>
  <c r="I104" i="29"/>
  <c r="I104" i="33"/>
  <c r="I111" i="13"/>
  <c r="I111" i="20"/>
  <c r="I111" i="23"/>
  <c r="I111" i="27"/>
  <c r="I111" i="29"/>
  <c r="I111" i="35"/>
  <c r="I111" i="33"/>
  <c r="G32" i="10"/>
  <c r="E56" i="39"/>
  <c r="C49" i="10"/>
  <c r="C32" i="10"/>
  <c r="C22" i="10"/>
  <c r="E47" i="39"/>
  <c r="C11" i="10"/>
  <c r="C12" i="10"/>
  <c r="I87" i="13"/>
  <c r="I87" i="20"/>
  <c r="I87" i="27"/>
  <c r="I87" i="29"/>
  <c r="I87" i="23"/>
  <c r="I87" i="33"/>
  <c r="I87" i="35"/>
  <c r="G22" i="10"/>
  <c r="L66" i="20"/>
  <c r="L111" i="20"/>
  <c r="L87" i="13"/>
  <c r="L119" i="29"/>
  <c r="L66" i="29"/>
  <c r="L77" i="29"/>
  <c r="L111" i="23"/>
  <c r="E98" i="13"/>
  <c r="E87" i="20"/>
  <c r="L77" i="13"/>
  <c r="E47" i="38"/>
  <c r="E77" i="33"/>
  <c r="E111" i="33"/>
  <c r="E47" i="33"/>
  <c r="E119" i="33"/>
  <c r="E53" i="33"/>
  <c r="E56" i="33"/>
  <c r="E47" i="34"/>
  <c r="E119" i="29"/>
  <c r="E77" i="29"/>
  <c r="E111" i="29"/>
  <c r="E53" i="40"/>
  <c r="E53" i="41"/>
  <c r="E56" i="40"/>
  <c r="E56" i="41"/>
  <c r="E47" i="40"/>
  <c r="E47" i="41"/>
  <c r="E77" i="27"/>
  <c r="E111" i="27"/>
  <c r="E47" i="51"/>
  <c r="E119" i="27"/>
  <c r="E53" i="25"/>
  <c r="E47" i="25"/>
  <c r="E47" i="26"/>
  <c r="E56" i="25"/>
  <c r="E119" i="23"/>
  <c r="E77" i="23"/>
  <c r="E111" i="23"/>
  <c r="E56" i="21"/>
  <c r="E56" i="22"/>
  <c r="E47" i="21"/>
  <c r="E47" i="22"/>
  <c r="E53" i="21"/>
  <c r="E53" i="22"/>
  <c r="E119" i="20"/>
  <c r="E47" i="20"/>
  <c r="E77" i="20"/>
  <c r="E111" i="20"/>
  <c r="E53" i="13"/>
  <c r="E77" i="13"/>
  <c r="E56" i="13"/>
  <c r="E111" i="13"/>
  <c r="E47" i="13"/>
  <c r="E119" i="13"/>
  <c r="D111" i="4"/>
  <c r="D77" i="4"/>
  <c r="D119" i="4"/>
  <c r="D53" i="4"/>
  <c r="D56" i="4"/>
  <c r="D47" i="4"/>
  <c r="I73" i="4"/>
  <c r="I84" i="4"/>
  <c r="M73" i="35" l="1"/>
  <c r="M73" i="29"/>
  <c r="M84" i="29"/>
  <c r="C60" i="10"/>
  <c r="H84" i="4"/>
  <c r="J84" i="4" s="1"/>
  <c r="H71" i="4"/>
  <c r="H92" i="4"/>
  <c r="H107" i="4"/>
  <c r="H106" i="4"/>
  <c r="H85" i="4"/>
  <c r="H73" i="4"/>
  <c r="J73" i="4" s="1"/>
  <c r="H114" i="4"/>
  <c r="H116" i="4"/>
  <c r="H95" i="4"/>
  <c r="H74" i="4"/>
  <c r="H94" i="4"/>
  <c r="H91" i="4"/>
  <c r="H104" i="4"/>
  <c r="H105" i="4"/>
  <c r="H93" i="4"/>
  <c r="H123" i="4"/>
  <c r="H28" i="4"/>
  <c r="H70" i="4"/>
  <c r="H115" i="4"/>
  <c r="H98" i="4" l="1"/>
  <c r="H117" i="4"/>
  <c r="H99" i="4"/>
  <c r="H24" i="4"/>
  <c r="H90" i="4"/>
  <c r="H72" i="4"/>
  <c r="H118" i="4"/>
  <c r="H27" i="4"/>
  <c r="H78" i="4"/>
  <c r="D9" i="10"/>
  <c r="H124" i="4"/>
  <c r="H112" i="4"/>
  <c r="H88" i="4"/>
  <c r="H9" i="4"/>
  <c r="H8" i="4"/>
  <c r="H79" i="4"/>
  <c r="H83" i="4"/>
  <c r="H122" i="4"/>
  <c r="H14" i="10"/>
  <c r="H37" i="4"/>
  <c r="H121" i="4"/>
  <c r="I121" i="4"/>
  <c r="I112" i="4"/>
  <c r="I9" i="4"/>
  <c r="M9" i="72" s="1"/>
  <c r="I109" i="4"/>
  <c r="K49" i="10"/>
  <c r="H113" i="4"/>
  <c r="I105" i="4"/>
  <c r="I93" i="4"/>
  <c r="I108" i="4"/>
  <c r="H11" i="4"/>
  <c r="I85" i="4"/>
  <c r="M85" i="20" s="1"/>
  <c r="I122" i="4"/>
  <c r="I79" i="4"/>
  <c r="I100" i="4"/>
  <c r="I104" i="4"/>
  <c r="M104" i="13" s="1"/>
  <c r="H110" i="4"/>
  <c r="H25" i="4"/>
  <c r="H125" i="4"/>
  <c r="H86" i="4"/>
  <c r="H42" i="10"/>
  <c r="H21" i="10"/>
  <c r="I120" i="4"/>
  <c r="I28" i="4"/>
  <c r="H109" i="4"/>
  <c r="I32" i="4"/>
  <c r="K11" i="10"/>
  <c r="I23" i="4"/>
  <c r="H22" i="10"/>
  <c r="H108" i="4"/>
  <c r="I95" i="4"/>
  <c r="H10" i="4"/>
  <c r="H38" i="4"/>
  <c r="I77" i="4"/>
  <c r="I88" i="4"/>
  <c r="I91" i="4"/>
  <c r="I117" i="4"/>
  <c r="H67" i="4"/>
  <c r="H12" i="10"/>
  <c r="I116" i="4"/>
  <c r="I118" i="4"/>
  <c r="H120" i="4"/>
  <c r="I110" i="4"/>
  <c r="I113" i="4"/>
  <c r="I69" i="4"/>
  <c r="I90" i="4"/>
  <c r="I78" i="4"/>
  <c r="I115" i="4"/>
  <c r="K26" i="10"/>
  <c r="I98" i="4"/>
  <c r="I99" i="4"/>
  <c r="K9" i="10"/>
  <c r="H77" i="4"/>
  <c r="I92" i="4"/>
  <c r="H24" i="10"/>
  <c r="I31" i="4"/>
  <c r="I24" i="4"/>
  <c r="H69" i="4"/>
  <c r="K16" i="10"/>
  <c r="I72" i="4"/>
  <c r="I30" i="4"/>
  <c r="M30" i="20" s="1"/>
  <c r="H36" i="4"/>
  <c r="I123" i="4"/>
  <c r="K45" i="10"/>
  <c r="H39" i="4"/>
  <c r="I94" i="4"/>
  <c r="I107" i="4"/>
  <c r="I74" i="4"/>
  <c r="I8" i="4"/>
  <c r="I114" i="4"/>
  <c r="I83" i="4"/>
  <c r="M83" i="20" s="1"/>
  <c r="I86" i="4"/>
  <c r="I106" i="4"/>
  <c r="M106" i="13" s="1"/>
  <c r="H10" i="10"/>
  <c r="I124" i="4"/>
  <c r="I70" i="4"/>
  <c r="H100" i="4"/>
  <c r="H7" i="4"/>
  <c r="H23" i="4"/>
  <c r="H15" i="10"/>
  <c r="I71" i="4"/>
  <c r="I125" i="4"/>
  <c r="J91" i="4" l="1"/>
  <c r="J106" i="4"/>
  <c r="J95" i="4"/>
  <c r="J71" i="4"/>
  <c r="J70" i="4"/>
  <c r="J74" i="4"/>
  <c r="J94" i="4"/>
  <c r="J115" i="4"/>
  <c r="J92" i="4"/>
  <c r="J93" i="4"/>
  <c r="J104" i="4"/>
  <c r="J85" i="4"/>
  <c r="J105" i="4"/>
  <c r="J69" i="4"/>
  <c r="J83" i="4"/>
  <c r="J23" i="4"/>
  <c r="J72" i="4"/>
  <c r="J90" i="4"/>
  <c r="J24" i="4"/>
  <c r="J110" i="4"/>
  <c r="M67" i="37"/>
  <c r="M67" i="18"/>
  <c r="M106" i="37"/>
  <c r="M106" i="18"/>
  <c r="M107" i="37"/>
  <c r="M32" i="37"/>
  <c r="M32" i="18"/>
  <c r="M79" i="37"/>
  <c r="M79" i="18"/>
  <c r="M124" i="37"/>
  <c r="M124" i="18"/>
  <c r="M88" i="37"/>
  <c r="M88" i="18"/>
  <c r="M78" i="37"/>
  <c r="M78" i="18"/>
  <c r="M100" i="37"/>
  <c r="M100" i="18"/>
  <c r="M86" i="37"/>
  <c r="M122" i="37"/>
  <c r="M109" i="37"/>
  <c r="M109" i="18"/>
  <c r="M74" i="37"/>
  <c r="M74" i="18"/>
  <c r="M83" i="37"/>
  <c r="M83" i="18"/>
  <c r="M99" i="37"/>
  <c r="M99" i="18"/>
  <c r="M113" i="37"/>
  <c r="M113" i="18"/>
  <c r="M117" i="37"/>
  <c r="M117" i="18"/>
  <c r="M95" i="37"/>
  <c r="M95" i="18"/>
  <c r="M28" i="37"/>
  <c r="M28" i="18"/>
  <c r="M85" i="37"/>
  <c r="M85" i="18"/>
  <c r="M72" i="37"/>
  <c r="M72" i="18"/>
  <c r="M114" i="37"/>
  <c r="M98" i="18"/>
  <c r="M110" i="37"/>
  <c r="M9" i="37"/>
  <c r="M9" i="18"/>
  <c r="M31" i="37"/>
  <c r="M31" i="18"/>
  <c r="M8" i="37"/>
  <c r="M8" i="18"/>
  <c r="M24" i="37"/>
  <c r="M108" i="37"/>
  <c r="M108" i="18"/>
  <c r="M112" i="37"/>
  <c r="M112" i="18"/>
  <c r="J122" i="4"/>
  <c r="M23" i="37"/>
  <c r="M23" i="18"/>
  <c r="M93" i="37"/>
  <c r="M93" i="18"/>
  <c r="M121" i="37"/>
  <c r="M121" i="18"/>
  <c r="M125" i="37"/>
  <c r="M125" i="18"/>
  <c r="M30" i="37"/>
  <c r="M30" i="18"/>
  <c r="M116" i="37"/>
  <c r="M77" i="18"/>
  <c r="M120" i="37"/>
  <c r="M120" i="18"/>
  <c r="M104" i="37"/>
  <c r="M104" i="18"/>
  <c r="J114" i="4"/>
  <c r="M98" i="37"/>
  <c r="M97" i="37"/>
  <c r="M97" i="29"/>
  <c r="M97" i="33"/>
  <c r="M77" i="37"/>
  <c r="M76" i="37"/>
  <c r="M76" i="33"/>
  <c r="M76" i="29"/>
  <c r="M76" i="13"/>
  <c r="M70" i="29"/>
  <c r="M106" i="20"/>
  <c r="M106" i="23"/>
  <c r="M106" i="27"/>
  <c r="M106" i="29"/>
  <c r="M106" i="33"/>
  <c r="M83" i="13"/>
  <c r="M83" i="27"/>
  <c r="M83" i="33"/>
  <c r="M83" i="23"/>
  <c r="M83" i="29"/>
  <c r="M74" i="13"/>
  <c r="M74" i="20"/>
  <c r="M74" i="27"/>
  <c r="M74" i="33"/>
  <c r="M74" i="23"/>
  <c r="M74" i="29"/>
  <c r="M94" i="35"/>
  <c r="M94" i="29"/>
  <c r="M24" i="13"/>
  <c r="M24" i="24"/>
  <c r="M24" i="23"/>
  <c r="M24" i="33"/>
  <c r="M24" i="29"/>
  <c r="M69" i="29"/>
  <c r="M88" i="13"/>
  <c r="M88" i="27"/>
  <c r="M88" i="29"/>
  <c r="M88" i="23"/>
  <c r="M88" i="33"/>
  <c r="J28" i="4"/>
  <c r="M28" i="20"/>
  <c r="M28" i="25"/>
  <c r="M28" i="23"/>
  <c r="M28" i="24"/>
  <c r="M28" i="51"/>
  <c r="M28" i="29"/>
  <c r="M28" i="13"/>
  <c r="M28" i="33"/>
  <c r="M85" i="13"/>
  <c r="M85" i="27"/>
  <c r="M85" i="23"/>
  <c r="M85" i="29"/>
  <c r="M85" i="33"/>
  <c r="M105" i="29"/>
  <c r="M121" i="23"/>
  <c r="M121" i="13"/>
  <c r="M121" i="27"/>
  <c r="M121" i="29"/>
  <c r="M121" i="33"/>
  <c r="M121" i="20"/>
  <c r="M121" i="35"/>
  <c r="M71" i="29"/>
  <c r="M125" i="23"/>
  <c r="M125" i="27"/>
  <c r="M125" i="13"/>
  <c r="M125" i="29"/>
  <c r="M125" i="33"/>
  <c r="M125" i="35"/>
  <c r="M124" i="13"/>
  <c r="M124" i="33"/>
  <c r="M114" i="33"/>
  <c r="M72" i="20"/>
  <c r="M72" i="13"/>
  <c r="M72" i="23"/>
  <c r="M72" i="27"/>
  <c r="M72" i="33"/>
  <c r="M72" i="29"/>
  <c r="M72" i="35"/>
  <c r="M31" i="23"/>
  <c r="M31" i="13"/>
  <c r="M31" i="24"/>
  <c r="M31" i="35"/>
  <c r="M31" i="29"/>
  <c r="M31" i="33"/>
  <c r="M78" i="23"/>
  <c r="M78" i="27"/>
  <c r="M78" i="13"/>
  <c r="M78" i="29"/>
  <c r="M78" i="33"/>
  <c r="M113" i="23"/>
  <c r="M113" i="13"/>
  <c r="M113" i="27"/>
  <c r="M113" i="20"/>
  <c r="M113" i="29"/>
  <c r="M113" i="33"/>
  <c r="M113" i="35"/>
  <c r="J116" i="4"/>
  <c r="M116" i="13"/>
  <c r="M116" i="23"/>
  <c r="M116" i="29"/>
  <c r="M116" i="33"/>
  <c r="M117" i="23"/>
  <c r="M117" i="27"/>
  <c r="M117" i="13"/>
  <c r="M117" i="29"/>
  <c r="M117" i="33"/>
  <c r="M117" i="35"/>
  <c r="M23" i="20"/>
  <c r="M23" i="23"/>
  <c r="M23" i="13"/>
  <c r="M23" i="35"/>
  <c r="M23" i="29"/>
  <c r="M23" i="33"/>
  <c r="M32" i="13"/>
  <c r="M32" i="20"/>
  <c r="M32" i="33"/>
  <c r="M32" i="23"/>
  <c r="M32" i="29"/>
  <c r="M104" i="20"/>
  <c r="M104" i="23"/>
  <c r="M104" i="27"/>
  <c r="M104" i="33"/>
  <c r="M104" i="29"/>
  <c r="M79" i="13"/>
  <c r="M79" i="20"/>
  <c r="M79" i="23"/>
  <c r="M79" i="33"/>
  <c r="M79" i="29"/>
  <c r="M79" i="27"/>
  <c r="M8" i="20"/>
  <c r="M8" i="13"/>
  <c r="M8" i="22"/>
  <c r="M8" i="24"/>
  <c r="M8" i="51"/>
  <c r="M8" i="25"/>
  <c r="M8" i="41"/>
  <c r="M8" i="29"/>
  <c r="M8" i="33"/>
  <c r="M8" i="19"/>
  <c r="M30" i="13"/>
  <c r="M30" i="23"/>
  <c r="M30" i="33"/>
  <c r="M30" i="29"/>
  <c r="M30" i="35"/>
  <c r="M99" i="23"/>
  <c r="M99" i="27"/>
  <c r="M99" i="29"/>
  <c r="M99" i="13"/>
  <c r="M99" i="33"/>
  <c r="M110" i="33"/>
  <c r="M95" i="13"/>
  <c r="M95" i="20"/>
  <c r="M95" i="23"/>
  <c r="M95" i="27"/>
  <c r="M95" i="33"/>
  <c r="M95" i="29"/>
  <c r="M120" i="13"/>
  <c r="M120" i="23"/>
  <c r="M120" i="27"/>
  <c r="M120" i="29"/>
  <c r="M120" i="33"/>
  <c r="M100" i="13"/>
  <c r="M100" i="20"/>
  <c r="M100" i="29"/>
  <c r="M100" i="33"/>
  <c r="M100" i="27"/>
  <c r="M100" i="23"/>
  <c r="M122" i="33"/>
  <c r="M108" i="13"/>
  <c r="M108" i="23"/>
  <c r="M108" i="33"/>
  <c r="M108" i="29"/>
  <c r="M108" i="27"/>
  <c r="M9" i="19"/>
  <c r="M9" i="25"/>
  <c r="M9" i="20"/>
  <c r="M9" i="22"/>
  <c r="M9" i="51"/>
  <c r="M9" i="13"/>
  <c r="M9" i="29"/>
  <c r="M9" i="24"/>
  <c r="M9" i="41"/>
  <c r="M9" i="33"/>
  <c r="M86" i="35"/>
  <c r="M86" i="29"/>
  <c r="M86" i="13"/>
  <c r="M86" i="33"/>
  <c r="J107" i="4"/>
  <c r="M107" i="13"/>
  <c r="M107" i="35"/>
  <c r="M107" i="29"/>
  <c r="M107" i="33"/>
  <c r="M92" i="29"/>
  <c r="M98" i="20"/>
  <c r="M98" i="13"/>
  <c r="M98" i="23"/>
  <c r="M98" i="27"/>
  <c r="M98" i="29"/>
  <c r="M98" i="33"/>
  <c r="M115" i="27"/>
  <c r="M115" i="29"/>
  <c r="M90" i="13"/>
  <c r="M90" i="29"/>
  <c r="M91" i="13"/>
  <c r="M91" i="29"/>
  <c r="M77" i="20"/>
  <c r="M77" i="13"/>
  <c r="M77" i="27"/>
  <c r="M77" i="23"/>
  <c r="M77" i="29"/>
  <c r="M77" i="33"/>
  <c r="M67" i="13"/>
  <c r="M67" i="23"/>
  <c r="M67" i="27"/>
  <c r="M67" i="29"/>
  <c r="M67" i="33"/>
  <c r="M93" i="20"/>
  <c r="M93" i="13"/>
  <c r="M93" i="23"/>
  <c r="M93" i="29"/>
  <c r="M93" i="35"/>
  <c r="M93" i="27"/>
  <c r="M93" i="33"/>
  <c r="M109" i="27"/>
  <c r="M109" i="13"/>
  <c r="M109" i="23"/>
  <c r="M109" i="20"/>
  <c r="M109" i="29"/>
  <c r="M109" i="35"/>
  <c r="M109" i="33"/>
  <c r="M112" i="13"/>
  <c r="M112" i="23"/>
  <c r="M112" i="27"/>
  <c r="M112" i="33"/>
  <c r="M112" i="29"/>
  <c r="J108" i="4"/>
  <c r="M43" i="8"/>
  <c r="D40" i="9"/>
  <c r="N72" i="8"/>
  <c r="H64" i="9"/>
  <c r="B66" i="9"/>
  <c r="M44" i="8"/>
  <c r="D41" i="9"/>
  <c r="M39" i="8"/>
  <c r="D36" i="9"/>
  <c r="C52" i="9"/>
  <c r="N13" i="8"/>
  <c r="H51" i="9"/>
  <c r="N62" i="8"/>
  <c r="N46" i="8"/>
  <c r="G54" i="9"/>
  <c r="I15" i="9"/>
  <c r="G31" i="9"/>
  <c r="M30" i="8"/>
  <c r="B70" i="9"/>
  <c r="D30" i="9"/>
  <c r="D14" i="9"/>
  <c r="B53" i="9"/>
  <c r="M14" i="8"/>
  <c r="M22" i="8"/>
  <c r="D22" i="9"/>
  <c r="B61" i="9"/>
  <c r="M37" i="8"/>
  <c r="B44" i="9"/>
  <c r="D34" i="9"/>
  <c r="G51" i="9"/>
  <c r="I12" i="9"/>
  <c r="M62" i="8"/>
  <c r="G49" i="9"/>
  <c r="M60" i="8"/>
  <c r="I10" i="9"/>
  <c r="M71" i="8"/>
  <c r="G63" i="9"/>
  <c r="I24" i="9"/>
  <c r="H53" i="9"/>
  <c r="N64" i="8"/>
  <c r="G62" i="9"/>
  <c r="I23" i="9"/>
  <c r="N10" i="8"/>
  <c r="C49" i="9"/>
  <c r="B69" i="9"/>
  <c r="D29" i="9"/>
  <c r="M29" i="8"/>
  <c r="M87" i="8"/>
  <c r="I36" i="9"/>
  <c r="M69" i="8"/>
  <c r="G59" i="9"/>
  <c r="I20" i="9"/>
  <c r="N43" i="8"/>
  <c r="N12" i="8"/>
  <c r="C51" i="9"/>
  <c r="N22" i="8"/>
  <c r="C61" i="9"/>
  <c r="M19" i="8"/>
  <c r="B58" i="9"/>
  <c r="D19" i="9"/>
  <c r="H54" i="9"/>
  <c r="N41" i="8"/>
  <c r="D39" i="9"/>
  <c r="M42" i="8"/>
  <c r="N40" i="8"/>
  <c r="N28" i="8"/>
  <c r="C68" i="9"/>
  <c r="N63" i="8"/>
  <c r="H52" i="9"/>
  <c r="N45" i="8"/>
  <c r="M46" i="8"/>
  <c r="D43" i="9"/>
  <c r="B68" i="9"/>
  <c r="H31" i="9"/>
  <c r="J24" i="9" s="1"/>
  <c r="I19" i="9"/>
  <c r="M68" i="8"/>
  <c r="G58" i="9"/>
  <c r="N11" i="8"/>
  <c r="C50" i="9"/>
  <c r="M86" i="8"/>
  <c r="I35" i="9"/>
  <c r="G53" i="9"/>
  <c r="M64" i="8"/>
  <c r="H57" i="9"/>
  <c r="N67" i="8"/>
  <c r="D42" i="9"/>
  <c r="M45" i="8"/>
  <c r="H61" i="9"/>
  <c r="I21" i="9"/>
  <c r="G60" i="9"/>
  <c r="D13" i="9"/>
  <c r="M13" i="8"/>
  <c r="B52" i="9"/>
  <c r="N87" i="8"/>
  <c r="B64" i="9"/>
  <c r="M25" i="8"/>
  <c r="D25" i="9"/>
  <c r="N19" i="8"/>
  <c r="C58" i="9"/>
  <c r="H58" i="9"/>
  <c r="N68" i="8"/>
  <c r="M20" i="8"/>
  <c r="D20" i="9"/>
  <c r="B59" i="9"/>
  <c r="N20" i="8"/>
  <c r="C59" i="9"/>
  <c r="D11" i="9"/>
  <c r="M11" i="8"/>
  <c r="B50" i="9"/>
  <c r="M88" i="8"/>
  <c r="I37" i="9"/>
  <c r="H56" i="9"/>
  <c r="G61" i="9"/>
  <c r="I27" i="9"/>
  <c r="M73" i="8"/>
  <c r="G67" i="9"/>
  <c r="G70" i="9"/>
  <c r="N73" i="8"/>
  <c r="H67" i="9"/>
  <c r="N74" i="8"/>
  <c r="H68" i="9"/>
  <c r="N94" i="8"/>
  <c r="B49" i="9"/>
  <c r="D10" i="9"/>
  <c r="M10" i="8"/>
  <c r="N44" i="8"/>
  <c r="C66" i="9"/>
  <c r="H63" i="9"/>
  <c r="N71" i="8"/>
  <c r="N88" i="8"/>
  <c r="H50" i="9"/>
  <c r="N61" i="8"/>
  <c r="C54" i="9"/>
  <c r="N15" i="8"/>
  <c r="I40" i="9"/>
  <c r="M91" i="8"/>
  <c r="B56" i="9"/>
  <c r="M17" i="8"/>
  <c r="D17" i="9"/>
  <c r="C31" i="9"/>
  <c r="E16" i="9" s="1"/>
  <c r="N9" i="8"/>
  <c r="N91" i="8"/>
  <c r="C70" i="9"/>
  <c r="N30" i="8"/>
  <c r="G66" i="9"/>
  <c r="I41" i="9"/>
  <c r="M92" i="8"/>
  <c r="C67" i="9"/>
  <c r="N27" i="8"/>
  <c r="N90" i="8"/>
  <c r="D21" i="9"/>
  <c r="B60" i="9"/>
  <c r="M21" i="8"/>
  <c r="N16" i="8"/>
  <c r="C55" i="9"/>
  <c r="N93" i="8"/>
  <c r="C44" i="9"/>
  <c r="E34" i="9" s="1"/>
  <c r="N37" i="8"/>
  <c r="M41" i="8"/>
  <c r="D38" i="9"/>
  <c r="M72" i="8"/>
  <c r="I25" i="9"/>
  <c r="G64" i="9"/>
  <c r="N39" i="8"/>
  <c r="B63" i="9"/>
  <c r="D24" i="9"/>
  <c r="M24" i="8"/>
  <c r="H59" i="9"/>
  <c r="N69" i="8"/>
  <c r="D35" i="9"/>
  <c r="M38" i="8"/>
  <c r="N89" i="8"/>
  <c r="D28" i="9"/>
  <c r="M28" i="8"/>
  <c r="M61" i="8"/>
  <c r="I11" i="9"/>
  <c r="G50" i="9"/>
  <c r="H44" i="9"/>
  <c r="J38" i="9" s="1"/>
  <c r="N85" i="8"/>
  <c r="C64" i="9"/>
  <c r="N25" i="8"/>
  <c r="N38" i="8"/>
  <c r="B55" i="9"/>
  <c r="D16" i="9"/>
  <c r="M16" i="8"/>
  <c r="N21" i="8"/>
  <c r="C60" i="9"/>
  <c r="H70" i="9"/>
  <c r="N86" i="8"/>
  <c r="N23" i="8"/>
  <c r="C62" i="9"/>
  <c r="N29" i="8"/>
  <c r="C69" i="9"/>
  <c r="H49" i="9"/>
  <c r="N60" i="8"/>
  <c r="I38" i="9"/>
  <c r="M89" i="8"/>
  <c r="D12" i="9"/>
  <c r="M12" i="8"/>
  <c r="B51" i="9"/>
  <c r="C53" i="9"/>
  <c r="N14" i="8"/>
  <c r="I34" i="9"/>
  <c r="G44" i="9"/>
  <c r="F27" i="10" s="1"/>
  <c r="M85" i="8"/>
  <c r="N17" i="8"/>
  <c r="C56" i="9"/>
  <c r="H66" i="9"/>
  <c r="N92" i="8"/>
  <c r="M27" i="8"/>
  <c r="D27" i="9"/>
  <c r="B67" i="9"/>
  <c r="H55" i="9"/>
  <c r="M93" i="8"/>
  <c r="I42" i="9"/>
  <c r="H60" i="9"/>
  <c r="D18" i="9"/>
  <c r="M18" i="8"/>
  <c r="B57" i="9"/>
  <c r="H69" i="9"/>
  <c r="N18" i="8"/>
  <c r="C57" i="9"/>
  <c r="M94" i="8"/>
  <c r="I43" i="9"/>
  <c r="B31" i="9"/>
  <c r="B17" i="10" s="1"/>
  <c r="M9" i="8"/>
  <c r="N42" i="8"/>
  <c r="M67" i="8"/>
  <c r="G57" i="9"/>
  <c r="I18" i="9"/>
  <c r="M40" i="8"/>
  <c r="D37" i="9"/>
  <c r="D26" i="9"/>
  <c r="B54" i="9"/>
  <c r="M15" i="8"/>
  <c r="D15" i="9"/>
  <c r="D23" i="9"/>
  <c r="M23" i="8"/>
  <c r="B62" i="9"/>
  <c r="G69" i="9"/>
  <c r="H62" i="9"/>
  <c r="I13" i="9"/>
  <c r="G52" i="9"/>
  <c r="M63" i="8"/>
  <c r="I28" i="9"/>
  <c r="M74" i="8"/>
  <c r="G68" i="9"/>
  <c r="G55" i="9"/>
  <c r="I16" i="9"/>
  <c r="N24" i="8"/>
  <c r="C63" i="9"/>
  <c r="G56" i="9"/>
  <c r="I17" i="9"/>
  <c r="M90" i="8"/>
  <c r="I39" i="9"/>
  <c r="J109" i="4"/>
  <c r="J117" i="4"/>
  <c r="J125" i="4"/>
  <c r="J124" i="4"/>
  <c r="J120" i="4"/>
  <c r="J8" i="4"/>
  <c r="J112" i="4"/>
  <c r="J78" i="4"/>
  <c r="J9" i="4"/>
  <c r="J67" i="4"/>
  <c r="J86" i="4"/>
  <c r="J113" i="4"/>
  <c r="J88" i="4"/>
  <c r="J99" i="4"/>
  <c r="J100" i="4"/>
  <c r="J121" i="4"/>
  <c r="J77" i="4"/>
  <c r="J79" i="4"/>
  <c r="J98" i="4"/>
  <c r="K21" i="10"/>
  <c r="H75" i="4"/>
  <c r="H25" i="10"/>
  <c r="G55" i="10"/>
  <c r="H136" i="4"/>
  <c r="H96" i="4"/>
  <c r="K42" i="10"/>
  <c r="G53" i="10"/>
  <c r="H29" i="4"/>
  <c r="H89" i="4"/>
  <c r="K12" i="10"/>
  <c r="K14" i="10"/>
  <c r="K23" i="10"/>
  <c r="H87" i="4"/>
  <c r="H111" i="4"/>
  <c r="K44" i="10"/>
  <c r="K24" i="10"/>
  <c r="G46" i="10"/>
  <c r="H43" i="10"/>
  <c r="H31" i="4"/>
  <c r="J31" i="4" s="1"/>
  <c r="H32" i="4"/>
  <c r="J32" i="4" s="1"/>
  <c r="J10" i="10"/>
  <c r="D10" i="10"/>
  <c r="J24" i="10"/>
  <c r="D24" i="10"/>
  <c r="I25" i="4"/>
  <c r="B60" i="10"/>
  <c r="D38" i="10"/>
  <c r="J38" i="10"/>
  <c r="I37" i="4"/>
  <c r="F55" i="10"/>
  <c r="H33" i="10"/>
  <c r="D23" i="10"/>
  <c r="J23" i="10"/>
  <c r="H34" i="4"/>
  <c r="H134" i="4"/>
  <c r="J14" i="10"/>
  <c r="D14" i="10"/>
  <c r="I87" i="4"/>
  <c r="J11" i="10"/>
  <c r="L11" i="10" s="1"/>
  <c r="D11" i="10"/>
  <c r="K32" i="10"/>
  <c r="C54" i="10"/>
  <c r="K15" i="10"/>
  <c r="H41" i="10"/>
  <c r="F46" i="10"/>
  <c r="D42" i="10"/>
  <c r="J42" i="10"/>
  <c r="C52" i="10"/>
  <c r="C35" i="10"/>
  <c r="K30" i="10"/>
  <c r="H23" i="10"/>
  <c r="K25" i="10"/>
  <c r="D33" i="10"/>
  <c r="B55" i="10"/>
  <c r="J33" i="10"/>
  <c r="J45" i="10"/>
  <c r="J16" i="10"/>
  <c r="L16" i="10" s="1"/>
  <c r="D16" i="10"/>
  <c r="I75" i="4"/>
  <c r="I137" i="4"/>
  <c r="D22" i="10"/>
  <c r="J22" i="10"/>
  <c r="G54" i="10"/>
  <c r="J31" i="10"/>
  <c r="B53" i="10"/>
  <c r="D31" i="10"/>
  <c r="J15" i="10"/>
  <c r="D15" i="10"/>
  <c r="I96" i="4"/>
  <c r="H20" i="10"/>
  <c r="K22" i="10"/>
  <c r="K10" i="10"/>
  <c r="D44" i="10"/>
  <c r="J44" i="10"/>
  <c r="I111" i="4"/>
  <c r="C55" i="10"/>
  <c r="K33" i="10"/>
  <c r="J13" i="10"/>
  <c r="D13" i="10"/>
  <c r="K13" i="10"/>
  <c r="H35" i="4"/>
  <c r="C56" i="10"/>
  <c r="K56" i="10" s="1"/>
  <c r="K34" i="10"/>
  <c r="I119" i="4"/>
  <c r="F35" i="10"/>
  <c r="F52" i="10"/>
  <c r="H30" i="10"/>
  <c r="I135" i="4"/>
  <c r="I29" i="4"/>
  <c r="H31" i="10"/>
  <c r="F53" i="10"/>
  <c r="I89" i="4"/>
  <c r="J32" i="10"/>
  <c r="D32" i="10"/>
  <c r="B54" i="10"/>
  <c r="I66" i="4"/>
  <c r="J20" i="10"/>
  <c r="D20" i="10"/>
  <c r="B56" i="10"/>
  <c r="D34" i="10"/>
  <c r="J34" i="10"/>
  <c r="H66" i="4"/>
  <c r="H32" i="10"/>
  <c r="F54" i="10"/>
  <c r="I22" i="4"/>
  <c r="K41" i="10"/>
  <c r="C46" i="10"/>
  <c r="H119" i="4"/>
  <c r="H137" i="4"/>
  <c r="I136" i="4"/>
  <c r="H68" i="4"/>
  <c r="I68" i="4"/>
  <c r="I38" i="4"/>
  <c r="K43" i="10"/>
  <c r="I10" i="4"/>
  <c r="H135" i="4"/>
  <c r="H12" i="4"/>
  <c r="J26" i="10"/>
  <c r="L26" i="10" s="1"/>
  <c r="D26" i="10"/>
  <c r="I34" i="4"/>
  <c r="H9" i="10"/>
  <c r="J9" i="10"/>
  <c r="L9" i="10" s="1"/>
  <c r="J49" i="10"/>
  <c r="L49" i="10" s="1"/>
  <c r="D49" i="10"/>
  <c r="D21" i="10"/>
  <c r="J21" i="10"/>
  <c r="I39" i="4"/>
  <c r="I27" i="4"/>
  <c r="I36" i="4"/>
  <c r="B35" i="10"/>
  <c r="J30" i="10"/>
  <c r="B52" i="10"/>
  <c r="D30" i="10"/>
  <c r="I7" i="4"/>
  <c r="M7" i="72" s="1"/>
  <c r="K60" i="10"/>
  <c r="K38" i="10"/>
  <c r="H13" i="10"/>
  <c r="G35" i="10"/>
  <c r="G52" i="10"/>
  <c r="I35" i="4"/>
  <c r="D12" i="10"/>
  <c r="J12" i="10"/>
  <c r="I12" i="4"/>
  <c r="D43" i="10"/>
  <c r="J43" i="10"/>
  <c r="I134" i="4"/>
  <c r="I11" i="4"/>
  <c r="K20" i="10"/>
  <c r="D25" i="10"/>
  <c r="J25" i="10"/>
  <c r="D41" i="10"/>
  <c r="J41" i="10"/>
  <c r="B46" i="10"/>
  <c r="K31" i="10"/>
  <c r="C53" i="10"/>
  <c r="M30" i="9"/>
  <c r="M35" i="9"/>
  <c r="O37" i="9"/>
  <c r="O14" i="9"/>
  <c r="N13" i="9"/>
  <c r="M10" i="9"/>
  <c r="O24" i="9"/>
  <c r="M21" i="9"/>
  <c r="L35" i="9"/>
  <c r="O9" i="9"/>
  <c r="O27" i="9"/>
  <c r="O39" i="9"/>
  <c r="O10" i="9"/>
  <c r="N26" i="9"/>
  <c r="M37" i="9"/>
  <c r="L29" i="9"/>
  <c r="L15" i="9"/>
  <c r="N37" i="9"/>
  <c r="O21" i="9"/>
  <c r="O38" i="9"/>
  <c r="L14" i="9"/>
  <c r="N23" i="9"/>
  <c r="M41" i="9"/>
  <c r="M25" i="9"/>
  <c r="L27" i="9"/>
  <c r="L28" i="9"/>
  <c r="O23" i="9"/>
  <c r="N29" i="9"/>
  <c r="O42" i="9"/>
  <c r="M24" i="9"/>
  <c r="M9" i="9"/>
  <c r="L34" i="9"/>
  <c r="L24" i="9"/>
  <c r="N15" i="9"/>
  <c r="M26" i="9"/>
  <c r="L39" i="9"/>
  <c r="M39" i="9"/>
  <c r="N22" i="9"/>
  <c r="L42" i="9"/>
  <c r="N16" i="9"/>
  <c r="M15" i="9"/>
  <c r="N10" i="9"/>
  <c r="O12" i="9"/>
  <c r="L17" i="9"/>
  <c r="O30" i="9"/>
  <c r="N42" i="9"/>
  <c r="O25" i="9"/>
  <c r="N9" i="9"/>
  <c r="M13" i="9"/>
  <c r="N21" i="9"/>
  <c r="L20" i="9"/>
  <c r="O34" i="9"/>
  <c r="N14" i="9"/>
  <c r="N17" i="9"/>
  <c r="O22" i="9"/>
  <c r="L43" i="9"/>
  <c r="O15" i="9"/>
  <c r="L19" i="9"/>
  <c r="L12" i="9"/>
  <c r="N18" i="9"/>
  <c r="M29" i="9"/>
  <c r="N41" i="9"/>
  <c r="M14" i="9"/>
  <c r="N12" i="9"/>
  <c r="M36" i="9"/>
  <c r="O26" i="9"/>
  <c r="N30" i="9"/>
  <c r="L41" i="9"/>
  <c r="O19" i="9"/>
  <c r="M42" i="9"/>
  <c r="O36" i="9"/>
  <c r="L26" i="9"/>
  <c r="L11" i="9"/>
  <c r="O29" i="9"/>
  <c r="L21" i="9"/>
  <c r="N11" i="9"/>
  <c r="L18" i="9"/>
  <c r="O18" i="9"/>
  <c r="M20" i="9"/>
  <c r="O41" i="9"/>
  <c r="N35" i="9"/>
  <c r="O13" i="9"/>
  <c r="L16" i="9"/>
  <c r="O28" i="9"/>
  <c r="M27" i="9"/>
  <c r="L23" i="9"/>
  <c r="L40" i="9"/>
  <c r="L37" i="9"/>
  <c r="M28" i="9"/>
  <c r="N40" i="9"/>
  <c r="L10" i="9"/>
  <c r="L38" i="9"/>
  <c r="O16" i="9"/>
  <c r="O11" i="9"/>
  <c r="M19" i="9"/>
  <c r="M22" i="9"/>
  <c r="N24" i="9"/>
  <c r="N39" i="9"/>
  <c r="N34" i="9"/>
  <c r="L30" i="9"/>
  <c r="N20" i="9"/>
  <c r="M16" i="9"/>
  <c r="N36" i="9"/>
  <c r="O40" i="9"/>
  <c r="O35" i="9"/>
  <c r="M17" i="9"/>
  <c r="M11" i="9"/>
  <c r="M43" i="9"/>
  <c r="N27" i="9"/>
  <c r="M34" i="9"/>
  <c r="L13" i="9"/>
  <c r="O17" i="9"/>
  <c r="L25" i="9"/>
  <c r="L22" i="9"/>
  <c r="O20" i="9"/>
  <c r="M12" i="9"/>
  <c r="N25" i="9"/>
  <c r="M40" i="9"/>
  <c r="O43" i="9"/>
  <c r="M18" i="9"/>
  <c r="M23" i="9"/>
  <c r="N38" i="9"/>
  <c r="N43" i="9"/>
  <c r="L9" i="9"/>
  <c r="N28" i="9"/>
  <c r="N19" i="9"/>
  <c r="L36" i="9"/>
  <c r="M38" i="9"/>
  <c r="J25" i="4" l="1"/>
  <c r="M33" i="18"/>
  <c r="M33" i="35"/>
  <c r="M33" i="23"/>
  <c r="M33" i="33"/>
  <c r="M33" i="20"/>
  <c r="M33" i="37"/>
  <c r="M33" i="29"/>
  <c r="M35" i="37"/>
  <c r="M35" i="18"/>
  <c r="M22" i="37"/>
  <c r="M22" i="18"/>
  <c r="M29" i="37"/>
  <c r="M29" i="18"/>
  <c r="M135" i="37"/>
  <c r="M37" i="37"/>
  <c r="M66" i="37"/>
  <c r="M66" i="18"/>
  <c r="M111" i="37"/>
  <c r="M111" i="18"/>
  <c r="M10" i="37"/>
  <c r="M10" i="18"/>
  <c r="M75" i="37"/>
  <c r="M134" i="37"/>
  <c r="M36" i="37"/>
  <c r="M12" i="37"/>
  <c r="M12" i="18"/>
  <c r="M89" i="37"/>
  <c r="M89" i="18"/>
  <c r="M87" i="37"/>
  <c r="M87" i="18"/>
  <c r="M25" i="37"/>
  <c r="M25" i="18"/>
  <c r="M11" i="37"/>
  <c r="M11" i="18"/>
  <c r="M7" i="37"/>
  <c r="M7" i="18"/>
  <c r="M34" i="37"/>
  <c r="M34" i="18"/>
  <c r="M119" i="37"/>
  <c r="M119" i="18"/>
  <c r="M68" i="37"/>
  <c r="M68" i="18"/>
  <c r="M96" i="37"/>
  <c r="L24" i="10"/>
  <c r="L14" i="10"/>
  <c r="J75" i="4"/>
  <c r="J96" i="4"/>
  <c r="L15" i="10"/>
  <c r="L50" i="9"/>
  <c r="L70" i="9"/>
  <c r="N57" i="9"/>
  <c r="M44" i="9"/>
  <c r="M68" i="9"/>
  <c r="O67" i="9"/>
  <c r="L53" i="9"/>
  <c r="M50" i="9"/>
  <c r="M55" i="9"/>
  <c r="O55" i="9"/>
  <c r="N60" i="9"/>
  <c r="O70" i="9"/>
  <c r="O54" i="9"/>
  <c r="M60" i="9"/>
  <c r="N55" i="9"/>
  <c r="N52" i="9"/>
  <c r="O69" i="9"/>
  <c r="M67" i="9"/>
  <c r="L55" i="9"/>
  <c r="L64" i="9"/>
  <c r="L57" i="9"/>
  <c r="L63" i="9"/>
  <c r="M59" i="9"/>
  <c r="L69" i="9"/>
  <c r="M48" i="9"/>
  <c r="M31" i="9"/>
  <c r="O53" i="9"/>
  <c r="L44" i="9"/>
  <c r="L52" i="9"/>
  <c r="O66" i="9"/>
  <c r="L49" i="9"/>
  <c r="N62" i="9"/>
  <c r="M70" i="9"/>
  <c r="N48" i="9"/>
  <c r="N31" i="9"/>
  <c r="M61" i="9"/>
  <c r="O44" i="9"/>
  <c r="N54" i="9"/>
  <c r="O50" i="9"/>
  <c r="O49" i="9"/>
  <c r="L60" i="9"/>
  <c r="M62" i="9"/>
  <c r="N66" i="9"/>
  <c r="N70" i="9"/>
  <c r="M63" i="9"/>
  <c r="O63" i="9"/>
  <c r="N68" i="9"/>
  <c r="O58" i="9"/>
  <c r="L61" i="9"/>
  <c r="L68" i="9"/>
  <c r="L56" i="9"/>
  <c r="N64" i="9"/>
  <c r="N53" i="9"/>
  <c r="L66" i="9"/>
  <c r="O60" i="9"/>
  <c r="O59" i="9"/>
  <c r="O68" i="9"/>
  <c r="L58" i="9"/>
  <c r="O64" i="9"/>
  <c r="N50" i="9"/>
  <c r="L59" i="9"/>
  <c r="N49" i="9"/>
  <c r="M69" i="9"/>
  <c r="N63" i="9"/>
  <c r="M53" i="9"/>
  <c r="M66" i="9"/>
  <c r="O48" i="9"/>
  <c r="O31" i="9"/>
  <c r="M57" i="9"/>
  <c r="M58" i="9"/>
  <c r="L62" i="9"/>
  <c r="M49" i="9"/>
  <c r="N69" i="9"/>
  <c r="O62" i="9"/>
  <c r="N51" i="9"/>
  <c r="O56" i="9"/>
  <c r="M56" i="9"/>
  <c r="L67" i="9"/>
  <c r="M52" i="9"/>
  <c r="M54" i="9"/>
  <c r="N44" i="9"/>
  <c r="N61" i="9"/>
  <c r="N56" i="9"/>
  <c r="M51" i="9"/>
  <c r="N59" i="9"/>
  <c r="N58" i="9"/>
  <c r="L31" i="9"/>
  <c r="L48" i="9"/>
  <c r="M64" i="9"/>
  <c r="L54" i="9"/>
  <c r="O57" i="9"/>
  <c r="O52" i="9"/>
  <c r="O51" i="9"/>
  <c r="N67" i="9"/>
  <c r="O61" i="9"/>
  <c r="L51" i="9"/>
  <c r="L42" i="10"/>
  <c r="J11" i="4"/>
  <c r="M11" i="13"/>
  <c r="M11" i="22"/>
  <c r="M11" i="33"/>
  <c r="M11" i="23"/>
  <c r="M11" i="29"/>
  <c r="M11" i="35"/>
  <c r="J10" i="4"/>
  <c r="M10" i="19"/>
  <c r="M10" i="20"/>
  <c r="M10" i="25"/>
  <c r="M10" i="23"/>
  <c r="M10" i="22"/>
  <c r="M10" i="13"/>
  <c r="M10" i="24"/>
  <c r="M10" i="35"/>
  <c r="M10" i="51"/>
  <c r="M10" i="41"/>
  <c r="M10" i="29"/>
  <c r="M10" i="33"/>
  <c r="M68" i="20"/>
  <c r="M68" i="13"/>
  <c r="M68" i="27"/>
  <c r="M68" i="23"/>
  <c r="M68" i="29"/>
  <c r="M68" i="35"/>
  <c r="M68" i="33"/>
  <c r="M136" i="26"/>
  <c r="M136" i="34"/>
  <c r="M119" i="23"/>
  <c r="M119" i="20"/>
  <c r="M119" i="27"/>
  <c r="M119" i="13"/>
  <c r="M119" i="35"/>
  <c r="M119" i="29"/>
  <c r="M119" i="33"/>
  <c r="M111" i="23"/>
  <c r="M111" i="20"/>
  <c r="M111" i="27"/>
  <c r="M111" i="35"/>
  <c r="M111" i="29"/>
  <c r="M111" i="13"/>
  <c r="M111" i="33"/>
  <c r="J7" i="4"/>
  <c r="M7" i="19"/>
  <c r="M7" i="13"/>
  <c r="M7" i="23"/>
  <c r="M7" i="22"/>
  <c r="M7" i="25"/>
  <c r="M7" i="20"/>
  <c r="M7" i="24"/>
  <c r="M7" i="29"/>
  <c r="M7" i="41"/>
  <c r="M7" i="51"/>
  <c r="M7" i="35"/>
  <c r="M7" i="33"/>
  <c r="J22" i="4"/>
  <c r="M22" i="20"/>
  <c r="M22" i="13"/>
  <c r="M22" i="24"/>
  <c r="M22" i="51"/>
  <c r="M22" i="23"/>
  <c r="M22" i="29"/>
  <c r="M22" i="35"/>
  <c r="M22" i="33"/>
  <c r="M29" i="23"/>
  <c r="M29" i="13"/>
  <c r="M29" i="29"/>
  <c r="M29" i="51"/>
  <c r="M29" i="35"/>
  <c r="M29" i="24"/>
  <c r="M29" i="20"/>
  <c r="M29" i="33"/>
  <c r="M137" i="26"/>
  <c r="M87" i="13"/>
  <c r="M87" i="20"/>
  <c r="M87" i="23"/>
  <c r="M87" i="27"/>
  <c r="M87" i="33"/>
  <c r="M87" i="29"/>
  <c r="M87" i="35"/>
  <c r="M35" i="13"/>
  <c r="M35" i="23"/>
  <c r="M35" i="29"/>
  <c r="M35" i="35"/>
  <c r="M35" i="33"/>
  <c r="M34" i="13"/>
  <c r="M34" i="23"/>
  <c r="M34" i="29"/>
  <c r="M34" i="35"/>
  <c r="M34" i="33"/>
  <c r="J38" i="4"/>
  <c r="M38" i="13"/>
  <c r="M66" i="13"/>
  <c r="M66" i="20"/>
  <c r="M66" i="27"/>
  <c r="M66" i="35"/>
  <c r="M66" i="33"/>
  <c r="M66" i="23"/>
  <c r="M66" i="29"/>
  <c r="M89" i="20"/>
  <c r="M89" i="13"/>
  <c r="M89" i="23"/>
  <c r="M89" i="27"/>
  <c r="M89" i="29"/>
  <c r="M89" i="35"/>
  <c r="M89" i="33"/>
  <c r="M96" i="33"/>
  <c r="M75" i="33"/>
  <c r="J37" i="4"/>
  <c r="M37" i="13"/>
  <c r="I68" i="9"/>
  <c r="M134" i="26"/>
  <c r="M134" i="34"/>
  <c r="M12" i="13"/>
  <c r="M12" i="23"/>
  <c r="M12" i="22"/>
  <c r="M12" i="29"/>
  <c r="M12" i="35"/>
  <c r="M12" i="33"/>
  <c r="J36" i="4"/>
  <c r="M36" i="13"/>
  <c r="L21" i="10"/>
  <c r="H53" i="10"/>
  <c r="M135" i="26"/>
  <c r="M135" i="34"/>
  <c r="M25" i="23"/>
  <c r="M25" i="13"/>
  <c r="M25" i="20"/>
  <c r="M25" i="29"/>
  <c r="M25" i="33"/>
  <c r="L31" i="10"/>
  <c r="L22" i="10"/>
  <c r="L12" i="10"/>
  <c r="L10" i="10"/>
  <c r="I66" i="9"/>
  <c r="I63" i="9"/>
  <c r="I59" i="9"/>
  <c r="I55" i="9"/>
  <c r="I52" i="9"/>
  <c r="I31" i="9"/>
  <c r="I49" i="9"/>
  <c r="D66" i="9"/>
  <c r="D44" i="9"/>
  <c r="D49" i="9"/>
  <c r="G17" i="10"/>
  <c r="E37" i="9"/>
  <c r="E41" i="9"/>
  <c r="E35" i="9"/>
  <c r="E36" i="9"/>
  <c r="E43" i="9"/>
  <c r="D31" i="9"/>
  <c r="E42" i="9"/>
  <c r="E40" i="9"/>
  <c r="F17" i="10"/>
  <c r="J17" i="10" s="1"/>
  <c r="E39" i="9"/>
  <c r="E38" i="9"/>
  <c r="B27" i="10"/>
  <c r="J27" i="10" s="1"/>
  <c r="J34" i="9"/>
  <c r="E20" i="9"/>
  <c r="C71" i="9"/>
  <c r="E11" i="9"/>
  <c r="J40" i="9"/>
  <c r="E23" i="9"/>
  <c r="J12" i="9"/>
  <c r="E15" i="9"/>
  <c r="G27" i="10"/>
  <c r="H27" i="10" s="1"/>
  <c r="J26" i="9"/>
  <c r="E19" i="9"/>
  <c r="E13" i="9"/>
  <c r="J20" i="9"/>
  <c r="J14" i="9"/>
  <c r="H71" i="9"/>
  <c r="E29" i="9"/>
  <c r="E22" i="9"/>
  <c r="E17" i="9"/>
  <c r="E18" i="9"/>
  <c r="J10" i="9"/>
  <c r="J18" i="9"/>
  <c r="J30" i="9"/>
  <c r="J13" i="9"/>
  <c r="J11" i="9"/>
  <c r="J15" i="9"/>
  <c r="B71" i="9"/>
  <c r="E25" i="9"/>
  <c r="E14" i="9"/>
  <c r="E10" i="9"/>
  <c r="C17" i="10"/>
  <c r="D17" i="10" s="1"/>
  <c r="J27" i="9"/>
  <c r="C27" i="10"/>
  <c r="J22" i="9"/>
  <c r="J16" i="9"/>
  <c r="J19" i="9"/>
  <c r="J17" i="9"/>
  <c r="J25" i="9"/>
  <c r="E30" i="9"/>
  <c r="E12" i="9"/>
  <c r="E21" i="9"/>
  <c r="E24" i="9"/>
  <c r="E26" i="9"/>
  <c r="E27" i="9"/>
  <c r="E28" i="9"/>
  <c r="J23" i="9"/>
  <c r="J28" i="9"/>
  <c r="J29" i="9"/>
  <c r="J21" i="9"/>
  <c r="J41" i="9"/>
  <c r="J42" i="9"/>
  <c r="G71" i="9"/>
  <c r="J35" i="9"/>
  <c r="J36" i="9"/>
  <c r="J39" i="9"/>
  <c r="I44" i="9"/>
  <c r="J37" i="9"/>
  <c r="J43" i="9"/>
  <c r="J119" i="4"/>
  <c r="J137" i="4"/>
  <c r="J135" i="4"/>
  <c r="J111" i="4"/>
  <c r="J12" i="4"/>
  <c r="J66" i="4"/>
  <c r="J35" i="4"/>
  <c r="J134" i="4"/>
  <c r="J34" i="4"/>
  <c r="J136" i="4"/>
  <c r="J68" i="4"/>
  <c r="J89" i="4"/>
  <c r="J87" i="4"/>
  <c r="J29" i="4"/>
  <c r="K53" i="10"/>
  <c r="K55" i="10"/>
  <c r="L44" i="10"/>
  <c r="L23" i="10"/>
  <c r="H55" i="10"/>
  <c r="L30" i="10"/>
  <c r="G57" i="10"/>
  <c r="L32" i="10"/>
  <c r="H54" i="10"/>
  <c r="L34" i="10"/>
  <c r="L43" i="10"/>
  <c r="K46" i="10"/>
  <c r="H46" i="10"/>
  <c r="L41" i="10"/>
  <c r="L13" i="10"/>
  <c r="L25" i="10"/>
  <c r="H30" i="4"/>
  <c r="J30" i="4" s="1"/>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J70" i="9" l="1"/>
  <c r="J65" i="9"/>
  <c r="E69" i="9"/>
  <c r="D69" i="9" s="1"/>
  <c r="E65" i="9"/>
  <c r="L55" i="10"/>
  <c r="M71" i="9"/>
  <c r="O71" i="9"/>
  <c r="L71" i="9"/>
  <c r="N71" i="9"/>
  <c r="L53" i="10"/>
  <c r="J44" i="9"/>
  <c r="J31" i="9"/>
  <c r="I71" i="9"/>
  <c r="E44" i="9"/>
  <c r="D71" i="9"/>
  <c r="H17" i="10"/>
  <c r="E54" i="9"/>
  <c r="D54" i="9" s="1"/>
  <c r="E60" i="9"/>
  <c r="D60" i="9" s="1"/>
  <c r="E53" i="9"/>
  <c r="D53" i="9" s="1"/>
  <c r="E52" i="9"/>
  <c r="D52" i="9" s="1"/>
  <c r="J55" i="9"/>
  <c r="J54" i="9"/>
  <c r="I54" i="9" s="1"/>
  <c r="D27" i="10"/>
  <c r="E56" i="9"/>
  <c r="D56" i="9" s="1"/>
  <c r="E62" i="9"/>
  <c r="D62" i="9" s="1"/>
  <c r="E57" i="9"/>
  <c r="D57" i="9" s="1"/>
  <c r="E63" i="9"/>
  <c r="D63" i="9" s="1"/>
  <c r="K27" i="10"/>
  <c r="L27" i="10" s="1"/>
  <c r="J66" i="9"/>
  <c r="J62" i="9"/>
  <c r="I62" i="9" s="1"/>
  <c r="J51" i="9"/>
  <c r="I51" i="9" s="1"/>
  <c r="J58" i="9"/>
  <c r="I58" i="9" s="1"/>
  <c r="E58" i="9"/>
  <c r="D58" i="9" s="1"/>
  <c r="E50" i="9"/>
  <c r="D50" i="9" s="1"/>
  <c r="E49" i="9"/>
  <c r="E66" i="9"/>
  <c r="E70" i="9"/>
  <c r="D70" i="9" s="1"/>
  <c r="E67" i="9"/>
  <c r="D67" i="9" s="1"/>
  <c r="E61" i="9"/>
  <c r="D61" i="9" s="1"/>
  <c r="K17" i="10"/>
  <c r="L17" i="10" s="1"/>
  <c r="J61" i="9"/>
  <c r="J50" i="9"/>
  <c r="I50" i="9" s="1"/>
  <c r="J56" i="9"/>
  <c r="I56" i="9" s="1"/>
  <c r="J63" i="9"/>
  <c r="J57" i="9"/>
  <c r="I57" i="9" s="1"/>
  <c r="J64" i="9"/>
  <c r="I64" i="9" s="1"/>
  <c r="J52" i="9"/>
  <c r="J59" i="9"/>
  <c r="J69" i="9"/>
  <c r="J49" i="9"/>
  <c r="J60" i="9"/>
  <c r="I60" i="9" s="1"/>
  <c r="J53" i="9"/>
  <c r="J67" i="9"/>
  <c r="I67" i="9" s="1"/>
  <c r="J68" i="9"/>
  <c r="E59" i="9"/>
  <c r="D59" i="9" s="1"/>
  <c r="E64" i="9"/>
  <c r="D64" i="9" s="1"/>
  <c r="E51" i="9"/>
  <c r="D51" i="9" s="1"/>
  <c r="E55" i="9"/>
  <c r="D55" i="9" s="1"/>
  <c r="E68" i="9"/>
  <c r="D68" i="9" s="1"/>
  <c r="E31" i="9"/>
  <c r="K57" i="10"/>
  <c r="H57" i="10"/>
  <c r="L46" i="10"/>
  <c r="L35" i="10"/>
  <c r="L54" i="10"/>
  <c r="J57" i="10"/>
  <c r="D57" i="10"/>
  <c r="L52" i="10"/>
  <c r="J71" i="9" l="1"/>
  <c r="E71" i="9"/>
  <c r="L57" i="1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pørring - Data" description="Tilkobling til spørringen Data i arbeidsboken." type="5" refreshedVersion="6"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<sst xmlns="http://schemas.openxmlformats.org/spreadsheetml/2006/main" count="5907" uniqueCount="500">
  <si>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</si>
  <si>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</si>
  <si>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</si>
  <si>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</si>
  <si>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</si>
  <si>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</si>
  <si>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</si>
  <si>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</si>
  <si>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</si>
  <si>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</si>
  <si>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</si>
  <si>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</si>
  <si>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</si>
  <si>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</si>
  <si>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</si>
  <si>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</si>
  <si>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</si>
  <si>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</si>
  <si>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</si>
  <si>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</si>
  <si>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</si>
  <si>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</si>
  <si>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</si>
  <si>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</si>
  <si>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</si>
  <si>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</si>
  <si>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</si>
  <si>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</si>
  <si>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</si>
  <si>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</si>
  <si>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</si>
  <si>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</si>
  <si>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</si>
  <si>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</si>
  <si>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</si>
  <si>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</si>
  <si>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</si>
  <si>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</si>
  <si>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</si>
  <si>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</si>
  <si>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</si>
  <si>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</si>
  <si>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</si>
  <si>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</si>
  <si>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</si>
  <si>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</si>
  <si>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</si>
  <si>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</si>
  <si>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</si>
  <si>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</si>
  <si>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</si>
  <si>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</si>
  <si>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</si>
  <si>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</si>
  <si>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Danica Pensjon</t>
  </si>
  <si>
    <t>DNB Liv</t>
  </si>
  <si>
    <t>Eika Forsikring</t>
  </si>
  <si>
    <t>Frende Livsfors</t>
  </si>
  <si>
    <t>Frende Skade</t>
  </si>
  <si>
    <t>Gjensidige Fors</t>
  </si>
  <si>
    <t>Gjensidige Pensj</t>
  </si>
  <si>
    <t>Handelsb Liv</t>
  </si>
  <si>
    <t>If Skadefors</t>
  </si>
  <si>
    <t>KLP</t>
  </si>
  <si>
    <t>KLP Bedriftsp</t>
  </si>
  <si>
    <t>KLP Skadef</t>
  </si>
  <si>
    <t>Landbruksfors.</t>
  </si>
  <si>
    <t>NEMI</t>
  </si>
  <si>
    <t>Nordea Liv</t>
  </si>
  <si>
    <t>OPF</t>
  </si>
  <si>
    <t>SpareBank 1</t>
  </si>
  <si>
    <t xml:space="preserve">Storebrand </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</si>
  <si>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</si>
  <si>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</si>
  <si>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</si>
  <si>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</si>
  <si>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</si>
  <si>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</si>
  <si>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</si>
  <si>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</si>
  <si>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</si>
  <si>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</si>
  <si>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</si>
  <si>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</si>
  <si>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</si>
  <si>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</si>
  <si>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Danica Pensjonsforsikring</t>
  </si>
  <si>
    <t>DNB Livsforsikring</t>
  </si>
  <si>
    <t>Eika Forsikring AS</t>
  </si>
  <si>
    <t>Frende Livsforsikring</t>
  </si>
  <si>
    <t>Frende Skadeforsikring</t>
  </si>
  <si>
    <t>Gjensidige Forsikring</t>
  </si>
  <si>
    <t>Gjensidige Pensjon</t>
  </si>
  <si>
    <t>Handelsbanken Liv</t>
  </si>
  <si>
    <t>If Skadeforsikring NUF</t>
  </si>
  <si>
    <t>KLP Bedriftspensjon AS</t>
  </si>
  <si>
    <t>KLP Skadeforsikring AS</t>
  </si>
  <si>
    <t xml:space="preserve">Nordea Liv </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</si>
  <si>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</si>
  <si>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</si>
  <si>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</si>
  <si>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</si>
  <si>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</si>
  <si>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</si>
  <si>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</si>
  <si>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</si>
  <si>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</si>
  <si>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</si>
  <si>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</si>
  <si>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</si>
  <si>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</si>
  <si>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</si>
  <si>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</si>
  <si>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</si>
  <si>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</si>
  <si>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</si>
  <si>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</si>
  <si>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</si>
  <si>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</si>
  <si>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</si>
  <si>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</si>
  <si>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</si>
  <si>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</si>
  <si>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</si>
  <si>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</si>
  <si>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</si>
  <si>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</si>
  <si>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DNB Livsforsikring ASA</t>
  </si>
  <si>
    <t>Eika Gruppen AS</t>
  </si>
  <si>
    <t>Frende Livsforsikring AS</t>
  </si>
  <si>
    <t>Frende Skadeforsikring AS</t>
  </si>
  <si>
    <t>Gjensidige Forsikring ASA</t>
  </si>
  <si>
    <t>Gjensidige Pensjon og Sparing</t>
  </si>
  <si>
    <t>If Skadeforsikring nuf</t>
  </si>
  <si>
    <t>Livsforsikringsselskapet Nordea Liv Norge AS</t>
  </si>
  <si>
    <t>Telenor Forsikring AS</t>
  </si>
  <si>
    <t>SpareBank 1 Forsikring AS</t>
  </si>
  <si>
    <t>Storebrand ASA</t>
  </si>
  <si>
    <t>KLP Skadeforsikring</t>
  </si>
  <si>
    <t>Selskap</t>
  </si>
  <si>
    <t>Flytting fra andre</t>
  </si>
  <si>
    <t>Flytting til andre</t>
  </si>
  <si>
    <t>Q8</t>
  </si>
  <si>
    <t>Q9</t>
  </si>
  <si>
    <t>Q10</t>
  </si>
  <si>
    <t>Q14</t>
  </si>
  <si>
    <t>Q15</t>
  </si>
  <si>
    <t>Q16</t>
  </si>
  <si>
    <t>Q7</t>
  </si>
  <si>
    <t>R7</t>
  </si>
  <si>
    <t>R8</t>
  </si>
  <si>
    <t>R9</t>
  </si>
  <si>
    <t>R10</t>
  </si>
  <si>
    <t>R14</t>
  </si>
  <si>
    <t>R15</t>
  </si>
  <si>
    <t>R16</t>
  </si>
  <si>
    <t>Q11</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</si>
  <si>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</si>
  <si>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</si>
  <si>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</si>
  <si>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</si>
  <si>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</si>
  <si>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</si>
  <si>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</si>
  <si>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</si>
  <si>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</si>
  <si>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</si>
  <si>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</si>
  <si>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</si>
  <si>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</si>
  <si>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</si>
  <si>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</si>
  <si>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</si>
  <si>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</si>
  <si>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</si>
  <si>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</si>
  <si>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</si>
  <si>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</si>
  <si>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</si>
  <si>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</si>
  <si>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</si>
  <si>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</si>
  <si>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</si>
  <si>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</si>
  <si>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</si>
  <si>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</si>
  <si>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</si>
  <si>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</si>
  <si>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t>Bedriftspensjon AS</t>
  </si>
  <si>
    <r>
      <t>norske livselskaper</t>
    </r>
    <r>
      <rPr>
        <b/>
        <vertAlign val="superscript"/>
        <sz val="14"/>
        <rFont val="Times New Roman"/>
        <family val="1"/>
      </rPr>
      <t xml:space="preserve"> </t>
    </r>
  </si>
  <si>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</si>
  <si>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</si>
  <si>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</si>
  <si>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</si>
  <si>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</si>
  <si>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</si>
  <si>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</si>
  <si>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</si>
  <si>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</si>
  <si>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</si>
  <si>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</si>
  <si>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</si>
  <si>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</si>
  <si>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</si>
  <si>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</si>
  <si>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</si>
  <si>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</si>
  <si>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</si>
  <si>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</si>
  <si>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</si>
  <si>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</si>
  <si>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</si>
  <si>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</si>
  <si>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</si>
  <si>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</si>
  <si>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</si>
  <si>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</si>
  <si>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</si>
  <si>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</si>
  <si>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</si>
  <si>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</si>
  <si>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</si>
  <si>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</si>
  <si>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</si>
  <si>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</si>
  <si>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</si>
  <si>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</si>
  <si>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</si>
  <si>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</si>
  <si>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</si>
  <si>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</si>
  <si>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</si>
  <si>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</si>
  <si>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</si>
  <si>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</si>
  <si>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</si>
  <si>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</si>
  <si>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</si>
  <si>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</si>
  <si>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</si>
  <si>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</si>
  <si>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</si>
  <si>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</si>
  <si>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</si>
  <si>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</si>
  <si>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</si>
  <si>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</si>
  <si>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</si>
  <si>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</si>
  <si>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</si>
  <si>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</si>
  <si>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</si>
  <si>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</si>
  <si>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</si>
  <si>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</si>
  <si>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</si>
  <si>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</si>
  <si>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</si>
  <si>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</si>
  <si>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</si>
  <si>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</si>
  <si>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</si>
  <si>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</si>
  <si>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</si>
  <si>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</si>
  <si>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</si>
  <si>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</si>
  <si>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</si>
  <si>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</si>
  <si>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</si>
  <si>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</si>
  <si>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Tabell 7b</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</si>
  <si>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</si>
  <si>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</si>
  <si>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</si>
  <si>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</si>
  <si>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</si>
  <si>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</si>
  <si>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</si>
  <si>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</si>
  <si>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</si>
  <si>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</si>
  <si>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</si>
  <si>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</si>
  <si>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</si>
  <si>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</si>
  <si>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</si>
  <si>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</si>
  <si>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</si>
  <si>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</si>
  <si>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</si>
  <si>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</si>
  <si>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</si>
  <si>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</si>
  <si>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</si>
  <si>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</si>
  <si>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</si>
  <si>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</si>
  <si>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</si>
  <si>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</si>
  <si>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</si>
  <si>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</si>
  <si>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</si>
  <si>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</si>
  <si>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</si>
  <si>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</si>
  <si>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</si>
  <si>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</si>
  <si>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</si>
  <si>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</si>
  <si>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</si>
  <si>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</si>
  <si>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</si>
  <si>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</si>
  <si>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</si>
  <si>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</si>
  <si>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</si>
  <si>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</si>
  <si>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</si>
  <si>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</si>
  <si>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</si>
  <si>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</si>
  <si>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</si>
  <si>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</si>
  <si>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</si>
  <si>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</si>
  <si>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</si>
  <si>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</si>
  <si>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</si>
  <si>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</si>
  <si>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</si>
  <si>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</si>
  <si>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</si>
  <si>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</si>
  <si>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</si>
  <si>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</si>
  <si>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</si>
  <si>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</si>
  <si>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</si>
  <si>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</si>
  <si>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</si>
  <si>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</si>
  <si>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</si>
  <si>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</si>
  <si>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</si>
  <si>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</si>
  <si>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</si>
  <si>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</si>
  <si>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</si>
  <si>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</si>
  <si>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</si>
  <si>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</si>
  <si>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</si>
  <si>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</si>
  <si>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</si>
  <si>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</si>
  <si>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</si>
  <si>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</si>
  <si>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</si>
  <si>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</si>
  <si>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</si>
  <si>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</si>
  <si>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</si>
  <si>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</si>
  <si>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</si>
  <si>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Figur 1  Brutto forfalt premie livprodukter  -  produkter uten investeringsvalg pr. 31.12.</t>
  </si>
  <si>
    <t>Figur 2  Brutto forfalt premie livprodukter  -  produkter med investeringsvalg pr. 31.12.</t>
  </si>
  <si>
    <t>31.12.</t>
  </si>
  <si>
    <t xml:space="preserve">    13.5 Andre tekniske avsetninger for skadeforsikringsvirksomheten</t>
  </si>
  <si>
    <t xml:space="preserve">    5.2 Overføring av premieres., tilleggsavsetn. til andre selskap/kasser</t>
  </si>
  <si>
    <t xml:space="preserve">Resultatanalyse - Individuell kapital og </t>
  </si>
  <si>
    <t>individuell pensjon</t>
  </si>
  <si>
    <t>Individuell kapital - gml. overskuddsmodell</t>
  </si>
  <si>
    <t>Avkastningresultat før fra/til tilleggsreserver</t>
  </si>
  <si>
    <t>Fra/til tilleggsreserver</t>
  </si>
  <si>
    <t>Administrasjonsresultat</t>
  </si>
  <si>
    <t>Fortjenesteelement for risiko</t>
  </si>
  <si>
    <t>Vederlag for rentegaranti</t>
  </si>
  <si>
    <t>Risikoresultat</t>
  </si>
  <si>
    <t xml:space="preserve">   -Herav til risikoutjevningsfond</t>
  </si>
  <si>
    <t>Annet</t>
  </si>
  <si>
    <t>Resultat til fordeling</t>
  </si>
  <si>
    <t>Herav kundetildeling</t>
  </si>
  <si>
    <t>Herav til selskap</t>
  </si>
  <si>
    <t>Individuell kapital - ny overskuddsmodell</t>
  </si>
  <si>
    <t>Individuell kapital - u. rett til andel overskudd</t>
  </si>
  <si>
    <t>Individuell kapital - med investeringsvalg</t>
  </si>
  <si>
    <t>Individuell pensjon - gml. overskuddsmodell</t>
  </si>
  <si>
    <t>Individuell pensjon - ny overskuddsmodell</t>
  </si>
  <si>
    <t>Individuell pensjon - u. rett til andel overskudd</t>
  </si>
  <si>
    <t>Individuell pensjon - med investeringsvalg</t>
  </si>
  <si>
    <t xml:space="preserve">Resultatanalyse - Kollektiv pensjon, </t>
  </si>
  <si>
    <t>privat og kommunal</t>
  </si>
  <si>
    <t>Privat - ytelsesbasert uten investeringsvalg</t>
  </si>
  <si>
    <t>Privat - ytelsesbasert med investeringsvalg</t>
  </si>
  <si>
    <t>Privat - innskuddsbasert uten investeringsvalg</t>
  </si>
  <si>
    <t>Privat - innskuddsbasert med investeringsvalg</t>
  </si>
  <si>
    <t>Privat - etter tjenestepensjonsloven uten investeringsvalg</t>
  </si>
  <si>
    <t>Privat - etter tjenestepensjonsloven med investeringsvalg</t>
  </si>
  <si>
    <t>Fripoliser (modifisert overskuddsdeling)</t>
  </si>
  <si>
    <t>Privat - u. rett til andel overskudd</t>
  </si>
  <si>
    <t>Pensjonsbevis med garanti</t>
  </si>
  <si>
    <t>Kommunal - ytelsesbaserte uten investeringsvalg</t>
  </si>
  <si>
    <t>Kommunal - ytelsesbaserte med investeringsvalg</t>
  </si>
  <si>
    <t xml:space="preserve">Resultatanalyse - Gruppeliv, ulykke o.a. </t>
  </si>
  <si>
    <t>skadebransjer og total</t>
  </si>
  <si>
    <t>Gruppeliv</t>
  </si>
  <si>
    <t>Ulykkesforsikring og andre skadebransjer</t>
  </si>
  <si>
    <t>Total</t>
  </si>
  <si>
    <t>Tabell 7.a</t>
  </si>
  <si>
    <t>Spesifikasjon av post 13. Forsikringsforpliktelser - KF</t>
  </si>
  <si>
    <t>Produkter uten</t>
  </si>
  <si>
    <t>Totalt produkter</t>
  </si>
  <si>
    <t>investeringsvalg</t>
  </si>
  <si>
    <t>uten investeringsvalg</t>
  </si>
  <si>
    <t>13. Forsikringsmessige avsetninger</t>
  </si>
  <si>
    <t>13.1 Premiereserve brutto</t>
  </si>
  <si>
    <t xml:space="preserve">         Individuell kapital</t>
  </si>
  <si>
    <t xml:space="preserve">         - Herav med gammel overskuddsmodell</t>
  </si>
  <si>
    <t xml:space="preserve">         - Herav med modifisert/ny overskuddsmodell</t>
  </si>
  <si>
    <t xml:space="preserve">         Individuell pensjon</t>
  </si>
  <si>
    <t xml:space="preserve">         Gruppeliv</t>
  </si>
  <si>
    <r>
      <t xml:space="preserve">         Privat kollektiv pensjon </t>
    </r>
    <r>
      <rPr>
        <vertAlign val="superscript"/>
        <sz val="14"/>
        <rFont val="Times New Roman"/>
        <family val="1"/>
      </rPr>
      <t>24)</t>
    </r>
  </si>
  <si>
    <t xml:space="preserve">         - Herav fripoliser med modifisert/ny overskuddsmodell</t>
  </si>
  <si>
    <r>
      <t xml:space="preserve">         Kommunal kollektiv pensjon </t>
    </r>
    <r>
      <rPr>
        <vertAlign val="superscript"/>
        <sz val="14"/>
        <rFont val="Times New Roman"/>
        <family val="1"/>
      </rPr>
      <t>25)</t>
    </r>
    <r>
      <rPr>
        <sz val="14"/>
        <rFont val="Times New Roman"/>
        <family val="1"/>
      </rPr>
      <t xml:space="preserve">            </t>
    </r>
  </si>
  <si>
    <t xml:space="preserve">         Ulykke/andre</t>
  </si>
  <si>
    <t xml:space="preserve">        Premiereserve for egen regning</t>
  </si>
  <si>
    <t xml:space="preserve">13.2 Tilleggsavsetninger </t>
  </si>
  <si>
    <t>13.3 Kursreguleringsfond</t>
  </si>
  <si>
    <t>13.4 Premie-, innskudds- og pensjonistenes overskuddsfond</t>
  </si>
  <si>
    <t>13.5 Andre tekniske avsetninger for skadeforsikringsvirksomheten</t>
  </si>
  <si>
    <t>Sum avsetning til forsikringsforpliktelser - KF</t>
  </si>
  <si>
    <t xml:space="preserve">         Annet (post 13.3 og 13.5)</t>
  </si>
  <si>
    <t>Tabell 7.b</t>
  </si>
  <si>
    <t>Produkter med</t>
  </si>
  <si>
    <t>med investeringsvalg</t>
  </si>
  <si>
    <t>alle produkter KF + SI</t>
  </si>
  <si>
    <t>14. Forsikringsmessige avsetninger</t>
  </si>
  <si>
    <t>14.1 Premiereserve brutto</t>
  </si>
  <si>
    <t>14.2 Supplerende avsetninger</t>
  </si>
  <si>
    <t>14.3 Tilleggsavsetninger</t>
  </si>
  <si>
    <t>14.4 Premie-, innskudds- og pensjonistenes overskuddsfond</t>
  </si>
  <si>
    <t>Sum avsetning til forsikringsforpliktelser - SI</t>
  </si>
  <si>
    <r>
      <t>Soliditetskapital</t>
    </r>
    <r>
      <rPr>
        <sz val="14"/>
        <rFont val="Times New Roman"/>
        <family val="1"/>
      </rPr>
      <t xml:space="preserve"> (%)</t>
    </r>
  </si>
  <si>
    <r>
      <t xml:space="preserve">Mer/mindre-verdier </t>
    </r>
    <r>
      <rPr>
        <vertAlign val="superscript"/>
        <sz val="14"/>
        <rFont val="Times New Roman"/>
        <family val="1"/>
      </rPr>
      <t>20)</t>
    </r>
  </si>
  <si>
    <t>Avkastningstall</t>
  </si>
  <si>
    <r>
      <t xml:space="preserve">Kapitalavkastning I </t>
    </r>
    <r>
      <rPr>
        <b/>
        <sz val="14"/>
        <rFont val="Times New Roman"/>
        <family val="1"/>
      </rPr>
      <t>(%)</t>
    </r>
  </si>
  <si>
    <t>Gammel overskuddsmodell</t>
  </si>
  <si>
    <t>Modifisert/ny overskuddsmodell</t>
  </si>
  <si>
    <r>
      <t xml:space="preserve">Kapitalavkastning II </t>
    </r>
    <r>
      <rPr>
        <b/>
        <sz val="14"/>
        <rFont val="Times New Roman"/>
        <family val="1"/>
      </rPr>
      <t xml:space="preserve"> (%)</t>
    </r>
  </si>
  <si>
    <t>Protector Forsikring</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</si>
  <si>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</si>
  <si>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</si>
  <si>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</si>
  <si>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</si>
  <si>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</si>
  <si>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</si>
  <si>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</si>
  <si>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Forsikringsforpliktelser </t>
    </r>
    <r>
      <rPr>
        <b/>
        <vertAlign val="superscript"/>
        <sz val="10"/>
        <rFont val="Times New Roman"/>
        <family val="1"/>
      </rPr>
      <t>6</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</si>
  <si>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</si>
  <si>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</si>
  <si>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</si>
  <si>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</si>
  <si>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</si>
  <si>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</si>
  <si>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</si>
  <si>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</si>
  <si>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</si>
  <si>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</si>
  <si>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</si>
  <si>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</si>
  <si>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</si>
  <si>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  Herav pensjonsbevis</t>
    </r>
    <r>
      <rPr>
        <vertAlign val="superscript"/>
        <sz val="10"/>
        <rFont val="Times New Roman"/>
        <family val="1"/>
      </rPr>
      <t>14</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</si>
  <si>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</si>
  <si>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</si>
  <si>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Brutto forfalt premie </t>
    </r>
    <r>
      <rPr>
        <b/>
        <vertAlign val="superscript"/>
        <sz val="10"/>
        <rFont val="Times New Roman"/>
        <family val="1"/>
      </rPr>
      <t>1, 15</t>
    </r>
  </si>
  <si>
    <r>
      <t xml:space="preserve">Forsikringsforpliktelser </t>
    </r>
    <r>
      <rPr>
        <b/>
        <vertAlign val="superscript"/>
        <sz val="10"/>
        <rFont val="Times New Roman"/>
        <family val="1"/>
      </rPr>
      <t>4, 15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</si>
  <si>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</si>
  <si>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6, 15</t>
    </r>
  </si>
  <si>
    <r>
      <t xml:space="preserve">  Herav fripoliser </t>
    </r>
    <r>
      <rPr>
        <vertAlign val="superscript"/>
        <sz val="10"/>
        <rFont val="Times New Roman"/>
        <family val="1"/>
      </rPr>
      <t>14</t>
    </r>
  </si>
  <si>
    <r>
      <t xml:space="preserve">Forsikringsforpliktelser </t>
    </r>
    <r>
      <rPr>
        <b/>
        <vertAlign val="superscript"/>
        <sz val="10"/>
        <rFont val="Times New Roman"/>
        <family val="1"/>
      </rPr>
      <t>5, 15</t>
    </r>
  </si>
  <si>
    <r>
      <t>Forsikringsforpliktelser</t>
    </r>
    <r>
      <rPr>
        <sz val="14"/>
        <rFont val="Times New Roman"/>
        <family val="1"/>
      </rPr>
      <t xml:space="preserve"> </t>
    </r>
    <r>
      <rPr>
        <vertAlign val="superscript"/>
        <sz val="14"/>
        <rFont val="Times New Roman"/>
        <family val="1"/>
      </rPr>
      <t>4)</t>
    </r>
  </si>
  <si>
    <t>Protector Fors</t>
  </si>
  <si>
    <t>Figur 3  Forsikringsforpliktelser i livsforsikring  -  produkter uten investeringsvalg pr. 31.12.</t>
  </si>
  <si>
    <t>Figur 4  Forsikringsforpliktelser i livsforsikring -  produkter med investeringsvalg pr. 31.12.</t>
  </si>
  <si>
    <t>Figur 5  Netto tilflytting livprodukter  -  produkter uten investeringsvalg pr. 31.12.</t>
  </si>
  <si>
    <t>Figur 6  Netto tilflytting livprodukter  -  produkter med investeringsvalg pr. 31.12.</t>
  </si>
  <si>
    <t xml:space="preserve">    13.1 Premiereserve mv.</t>
  </si>
  <si>
    <t xml:space="preserve">    13.4 Premiefond, innskuddsfond og fond for regulering av pensjoner mv.</t>
  </si>
  <si>
    <t xml:space="preserve">    14.1 Premiekapital mv.</t>
  </si>
  <si>
    <t xml:space="preserve">    14.2 Tilleggsavsetninger</t>
  </si>
  <si>
    <t xml:space="preserve">    14.3 Premiefond, innskuddsfond og fond for regulering av pensjoner mv.</t>
  </si>
  <si>
    <t>31.12.2018</t>
  </si>
  <si>
    <t>31.12.2019</t>
  </si>
  <si>
    <t>Gjennomsnitt 2015 - 2019</t>
  </si>
  <si>
    <t>Landkreditt Forsikring</t>
  </si>
  <si>
    <t>Insr</t>
  </si>
  <si>
    <t>Spesifikasjon av post 13 - forsikringsforpliktelser - produkter uten investeringsvalg</t>
  </si>
  <si>
    <t>Spesifikasjon post 14 forsikringsforpliktelser - produkter med investeringsvalg</t>
  </si>
  <si>
    <t>Spesifikasjon av post 14. Forsikringsforpliktelser -SI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</si>
</sst>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0.0"/>
    <numFmt numFmtId="166" formatCode="_ * #,##0_ ;_ * \-#,##0_ ;_ * &quot;-&quot;??_ ;_ @_ "/>
    <numFmt numFmtId="167" formatCode="dd/mm/yy;@"/>
    <numFmt numFmtId="168" formatCode="0;\-0;;@"/>
    <numFmt numFmtId="169" formatCode="0.0"/>
    <numFmt numFmtId="170" formatCode="#,##0_ ;\-#,##0\ "/>
    <numFmt numFmtId="171" formatCode="_ * #,##0_ ;_ * \-#,##0_ ;_ * &quot;&quot;??_ ;_ @_ "/>
  </numFmts>
  <fonts count="7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u/>
      <sz val="12"/>
      <name val="Times New Roman"/>
      <family val="1"/>
    </font>
    <font>
      <b/>
      <sz val="12"/>
      <color rgb="FFFF0000"/>
      <name val="Times New Roman"/>
      <family val="1"/>
    </font>
    <font>
      <sz val="10"/>
      <color theme="0"/>
      <name val="Times New Roman"/>
      <family val="1"/>
    </font>
    <font>
      <b/>
      <i/>
      <sz val="10"/>
      <name val="Times New Roman"/>
      <family val="1"/>
    </font>
    <font>
      <b/>
      <sz val="14"/>
      <color theme="1"/>
      <name val="Times New Roman"/>
      <family val="1"/>
    </font>
    <font>
      <sz val="10"/>
      <color indexed="10"/>
      <name val="Arial"/>
      <family val="2"/>
    </font>
    <font>
      <b/>
      <sz val="10"/>
      <color rgb="FFFF000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indexed="9"/>
        <bgColor indexed="9"/>
      </patternFill>
    </fill>
    <fill>
      <patternFill patternType="solid">
        <fgColor theme="0"/>
        <bgColor indexed="64"/>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51">
    <xf numFmtId="0" fontId="0" fillId="0" borderId="0"/>
    <xf numFmtId="0" fontId="19" fillId="0" borderId="0"/>
    <xf numFmtId="164" fontId="25" fillId="0" borderId="0" applyFont="0" applyFill="0" applyBorder="0" applyAlignment="0" applyProtection="0"/>
    <xf numFmtId="0" fontId="43" fillId="0" borderId="0" applyNumberFormat="0" applyFill="0" applyBorder="0" applyAlignment="0" applyProtection="0">
      <alignment vertical="top"/>
      <protection locked="0"/>
    </xf>
    <xf numFmtId="0" fontId="12" fillId="0" borderId="0"/>
    <xf numFmtId="0" fontId="19" fillId="0" borderId="0"/>
    <xf numFmtId="0" fontId="11" fillId="0" borderId="0"/>
    <xf numFmtId="0" fontId="19" fillId="0" borderId="0"/>
    <xf numFmtId="0" fontId="10" fillId="0" borderId="0"/>
    <xf numFmtId="0" fontId="19" fillId="0" borderId="0"/>
    <xf numFmtId="0" fontId="25" fillId="0" borderId="0"/>
    <xf numFmtId="0" fontId="10" fillId="0" borderId="0"/>
    <xf numFmtId="0" fontId="19"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0" fillId="0" borderId="0" applyFont="0" applyFill="0" applyBorder="0" applyAlignment="0" applyProtection="0"/>
    <xf numFmtId="164" fontId="19" fillId="0" borderId="0" applyFont="0" applyFill="0" applyBorder="0" applyAlignment="0" applyProtection="0"/>
    <xf numFmtId="0" fontId="10" fillId="0" borderId="0"/>
    <xf numFmtId="0" fontId="19" fillId="0" borderId="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5" borderId="16" applyNumberFormat="0" applyFont="0" applyAlignment="0" applyProtection="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164" fontId="25" fillId="0" borderId="0" applyFont="0" applyFill="0" applyBorder="0" applyAlignment="0" applyProtection="0"/>
    <xf numFmtId="0" fontId="10"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2" fillId="0" borderId="0"/>
    <xf numFmtId="0" fontId="2"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0" fontId="2" fillId="0" borderId="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6" borderId="0" applyNumberFormat="0" applyBorder="0" applyAlignment="0" applyProtection="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6"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 fillId="7" borderId="0" applyNumberFormat="0" applyBorder="0" applyAlignment="0" applyProtection="0"/>
    <xf numFmtId="0" fontId="14" fillId="0" borderId="0"/>
    <xf numFmtId="171" fontId="15" fillId="0" borderId="7" applyFont="0" applyFill="0" applyBorder="0" applyAlignment="0" applyProtection="0">
      <alignment horizontal="right"/>
    </xf>
    <xf numFmtId="164" fontId="19" fillId="0" borderId="0" applyFont="0" applyFill="0" applyBorder="0" applyAlignment="0" applyProtection="0"/>
    <xf numFmtId="0" fontId="14" fillId="0" borderId="0"/>
    <xf numFmtId="164" fontId="19" fillId="0" borderId="0" applyFont="0" applyFill="0" applyBorder="0" applyAlignment="0" applyProtection="0"/>
    <xf numFmtId="164" fontId="19" fillId="0" borderId="0" applyFont="0" applyFill="0" applyBorder="0" applyAlignment="0" applyProtection="0"/>
  </cellStyleXfs>
  <cellXfs count="1021">
    <xf numFmtId="0" fontId="0" fillId="0" borderId="0" xfId="0"/>
    <xf numFmtId="0" fontId="17" fillId="0" borderId="0" xfId="1" applyFont="1"/>
    <xf numFmtId="0" fontId="23" fillId="0" borderId="0" xfId="1" applyFont="1"/>
    <xf numFmtId="0" fontId="17" fillId="0" borderId="0" xfId="1" applyFont="1" applyFill="1"/>
    <xf numFmtId="0" fontId="17" fillId="0" borderId="0" xfId="1" applyFont="1" applyBorder="1"/>
    <xf numFmtId="49" fontId="17" fillId="0" borderId="0" xfId="1" applyNumberFormat="1" applyFont="1" applyFill="1" applyBorder="1" applyAlignment="1">
      <alignment horizontal="center"/>
    </xf>
    <xf numFmtId="165" fontId="17" fillId="0" borderId="0" xfId="1" applyNumberFormat="1" applyFont="1" applyFill="1" applyBorder="1"/>
    <xf numFmtId="0" fontId="17" fillId="0" borderId="0" xfId="1" applyFont="1" applyFill="1" applyBorder="1"/>
    <xf numFmtId="0" fontId="17" fillId="0" borderId="0" xfId="1" applyFont="1" applyFill="1" applyAlignment="1">
      <alignment horizontal="left"/>
    </xf>
    <xf numFmtId="165" fontId="15" fillId="3" borderId="5" xfId="1" applyNumberFormat="1" applyFont="1" applyFill="1" applyBorder="1" applyAlignment="1">
      <alignment horizontal="right"/>
    </xf>
    <xf numFmtId="0" fontId="17" fillId="0" borderId="6" xfId="1" applyFont="1" applyBorder="1"/>
    <xf numFmtId="165" fontId="15" fillId="3" borderId="2" xfId="1" applyNumberFormat="1" applyFont="1" applyFill="1" applyBorder="1" applyAlignment="1">
      <alignment horizontal="right"/>
    </xf>
    <xf numFmtId="0" fontId="15" fillId="0" borderId="4" xfId="1" applyFont="1" applyBorder="1"/>
    <xf numFmtId="0" fontId="15" fillId="0" borderId="3" xfId="1" applyFont="1" applyBorder="1"/>
    <xf numFmtId="0" fontId="15" fillId="0" borderId="7" xfId="1" applyFont="1" applyBorder="1"/>
    <xf numFmtId="0" fontId="15" fillId="0" borderId="6" xfId="1" applyFont="1" applyBorder="1" applyAlignment="1">
      <alignment horizontal="center"/>
    </xf>
    <xf numFmtId="0" fontId="15" fillId="0" borderId="11" xfId="1" applyFont="1" applyBorder="1" applyAlignment="1">
      <alignment horizontal="center"/>
    </xf>
    <xf numFmtId="0" fontId="15" fillId="0" borderId="5" xfId="1" applyFont="1" applyBorder="1" applyAlignment="1">
      <alignment horizontal="center"/>
    </xf>
    <xf numFmtId="0" fontId="15" fillId="0" borderId="11" xfId="1" applyFont="1" applyBorder="1"/>
    <xf numFmtId="0" fontId="15" fillId="0" borderId="7" xfId="1" applyFont="1" applyBorder="1" applyAlignment="1">
      <alignment horizontal="center"/>
    </xf>
    <xf numFmtId="14" fontId="16" fillId="0" borderId="4" xfId="1" applyNumberFormat="1" applyFont="1" applyBorder="1" applyAlignment="1">
      <alignment horizontal="center"/>
    </xf>
    <xf numFmtId="0" fontId="17" fillId="0" borderId="3" xfId="1" applyFont="1" applyBorder="1"/>
    <xf numFmtId="165" fontId="17" fillId="3" borderId="6" xfId="1" applyNumberFormat="1" applyFont="1" applyFill="1" applyBorder="1" applyAlignment="1">
      <alignment horizontal="right"/>
    </xf>
    <xf numFmtId="165" fontId="17" fillId="3" borderId="3" xfId="1" applyNumberFormat="1" applyFont="1" applyFill="1" applyBorder="1" applyAlignment="1">
      <alignment horizontal="right"/>
    </xf>
    <xf numFmtId="165" fontId="15" fillId="3" borderId="3" xfId="1" applyNumberFormat="1" applyFont="1" applyFill="1" applyBorder="1" applyAlignment="1">
      <alignment horizontal="right"/>
    </xf>
    <xf numFmtId="165" fontId="17" fillId="0" borderId="0" xfId="1" applyNumberFormat="1" applyFont="1" applyBorder="1"/>
    <xf numFmtId="3" fontId="17" fillId="0" borderId="0" xfId="1" applyNumberFormat="1" applyFont="1" applyBorder="1"/>
    <xf numFmtId="165" fontId="17" fillId="3" borderId="2" xfId="1" applyNumberFormat="1" applyFont="1" applyFill="1" applyBorder="1" applyAlignment="1">
      <alignment horizontal="right"/>
    </xf>
    <xf numFmtId="0" fontId="14" fillId="0" borderId="0" xfId="1" applyFont="1"/>
    <xf numFmtId="0" fontId="21" fillId="0" borderId="0" xfId="1" applyFont="1"/>
    <xf numFmtId="0" fontId="14" fillId="0" borderId="0" xfId="1" applyFont="1" applyFill="1"/>
    <xf numFmtId="0" fontId="14" fillId="0" borderId="0" xfId="1" applyFont="1" applyFill="1" applyBorder="1"/>
    <xf numFmtId="165" fontId="15" fillId="0" borderId="0" xfId="1" applyNumberFormat="1" applyFont="1" applyFill="1" applyBorder="1" applyAlignment="1">
      <alignment horizontal="right"/>
    </xf>
    <xf numFmtId="3" fontId="17" fillId="0" borderId="0" xfId="1" applyNumberFormat="1" applyFont="1" applyFill="1" applyBorder="1" applyAlignment="1">
      <alignment horizontal="center"/>
    </xf>
    <xf numFmtId="165" fontId="17" fillId="0" borderId="0" xfId="1" applyNumberFormat="1" applyFont="1" applyFill="1" applyBorder="1" applyAlignment="1">
      <alignment horizontal="right"/>
    </xf>
    <xf numFmtId="49" fontId="17" fillId="0" borderId="0" xfId="1" applyNumberFormat="1" applyFont="1" applyFill="1" applyBorder="1" applyAlignment="1">
      <alignment horizontal="right"/>
    </xf>
    <xf numFmtId="165" fontId="15" fillId="3" borderId="6" xfId="1" applyNumberFormat="1" applyFont="1" applyFill="1" applyBorder="1" applyAlignment="1">
      <alignment horizontal="right"/>
    </xf>
    <xf numFmtId="3" fontId="17" fillId="0" borderId="0" xfId="1" quotePrefix="1" applyNumberFormat="1" applyFont="1" applyFill="1" applyBorder="1" applyAlignment="1">
      <alignment horizontal="center"/>
    </xf>
    <xf numFmtId="0" fontId="17" fillId="0" borderId="3" xfId="1" applyFont="1" applyFill="1" applyBorder="1"/>
    <xf numFmtId="0" fontId="15" fillId="0" borderId="3" xfId="1" applyFont="1" applyFill="1" applyBorder="1"/>
    <xf numFmtId="0" fontId="15" fillId="0" borderId="0" xfId="1" applyFont="1" applyFill="1" applyBorder="1" applyAlignment="1">
      <alignment horizontal="center"/>
    </xf>
    <xf numFmtId="0" fontId="15" fillId="0" borderId="6" xfId="1" applyFont="1" applyBorder="1"/>
    <xf numFmtId="14" fontId="16" fillId="0" borderId="0" xfId="1" applyNumberFormat="1" applyFont="1" applyFill="1" applyBorder="1" applyAlignment="1">
      <alignment horizontal="center"/>
    </xf>
    <xf numFmtId="0" fontId="15" fillId="0" borderId="0" xfId="1" applyFont="1"/>
    <xf numFmtId="3" fontId="17" fillId="0" borderId="3" xfId="1" applyNumberFormat="1" applyFont="1" applyFill="1" applyBorder="1" applyAlignment="1">
      <alignment horizontal="right"/>
    </xf>
    <xf numFmtId="3" fontId="17" fillId="0" borderId="6" xfId="1" applyNumberFormat="1" applyFont="1" applyFill="1" applyBorder="1" applyAlignment="1">
      <alignment horizontal="right"/>
    </xf>
    <xf numFmtId="0" fontId="17" fillId="0" borderId="6" xfId="1" applyFont="1" applyFill="1" applyBorder="1"/>
    <xf numFmtId="0" fontId="15" fillId="0" borderId="0" xfId="1" applyFont="1" applyBorder="1"/>
    <xf numFmtId="3" fontId="18" fillId="0" borderId="0" xfId="1" applyNumberFormat="1" applyFont="1" applyFill="1" applyBorder="1" applyAlignment="1">
      <alignment horizontal="right"/>
    </xf>
    <xf numFmtId="0" fontId="17" fillId="0" borderId="4" xfId="1" applyFont="1" applyFill="1" applyBorder="1"/>
    <xf numFmtId="0" fontId="17" fillId="0" borderId="0" xfId="1" applyFont="1" applyFill="1" applyAlignment="1">
      <alignment horizontal="right"/>
    </xf>
    <xf numFmtId="0" fontId="19" fillId="0" borderId="0" xfId="1"/>
    <xf numFmtId="0" fontId="26" fillId="0" borderId="0" xfId="1" applyFont="1"/>
    <xf numFmtId="0" fontId="0" fillId="0" borderId="0" xfId="1" applyFont="1"/>
    <xf numFmtId="0" fontId="27" fillId="0" borderId="0" xfId="1" applyFont="1" applyAlignment="1">
      <alignment horizontal="right"/>
    </xf>
    <xf numFmtId="0" fontId="28" fillId="0" borderId="0" xfId="1" applyFont="1" applyAlignment="1">
      <alignment horizontal="lef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right"/>
    </xf>
    <xf numFmtId="0" fontId="19" fillId="0" borderId="0" xfId="1" applyAlignment="1">
      <alignment horizontal="right"/>
    </xf>
    <xf numFmtId="0" fontId="32" fillId="0" borderId="0" xfId="1" applyFont="1" applyAlignment="1">
      <alignment horizontal="left"/>
    </xf>
    <xf numFmtId="14" fontId="33" fillId="0" borderId="0" xfId="1" applyNumberFormat="1" applyFont="1" applyAlignment="1">
      <alignment horizontal="left"/>
    </xf>
    <xf numFmtId="0" fontId="33" fillId="0" borderId="0" xfId="1" applyFont="1" applyAlignment="1">
      <alignment horizontal="left"/>
    </xf>
    <xf numFmtId="0" fontId="34" fillId="0" borderId="0" xfId="1" applyFont="1" applyAlignment="1">
      <alignment vertical="center"/>
    </xf>
    <xf numFmtId="0" fontId="35" fillId="0" borderId="0" xfId="1" applyFont="1" applyAlignment="1">
      <alignment vertical="center"/>
    </xf>
    <xf numFmtId="0" fontId="36" fillId="0" borderId="0" xfId="1" applyFont="1"/>
    <xf numFmtId="14" fontId="37" fillId="0" borderId="0" xfId="1" applyNumberFormat="1" applyFont="1"/>
    <xf numFmtId="0" fontId="38" fillId="0" borderId="0" xfId="0" applyFont="1"/>
    <xf numFmtId="0" fontId="39" fillId="0" borderId="0" xfId="0" applyFont="1"/>
    <xf numFmtId="0" fontId="40" fillId="0" borderId="0" xfId="0" applyFont="1"/>
    <xf numFmtId="0" fontId="42" fillId="0" borderId="0" xfId="0" applyFont="1"/>
    <xf numFmtId="0" fontId="42" fillId="0" borderId="0" xfId="3" applyFont="1" applyAlignment="1" applyProtection="1"/>
    <xf numFmtId="0" fontId="44" fillId="0" borderId="0" xfId="0" applyFont="1"/>
    <xf numFmtId="0" fontId="17" fillId="0" borderId="0" xfId="3" applyFont="1" applyFill="1" applyAlignment="1" applyProtection="1"/>
    <xf numFmtId="0" fontId="30" fillId="0" borderId="0" xfId="0" applyFont="1"/>
    <xf numFmtId="0" fontId="45" fillId="0" borderId="0" xfId="0" applyFont="1"/>
    <xf numFmtId="0" fontId="46" fillId="0" borderId="0" xfId="0" applyFont="1"/>
    <xf numFmtId="3" fontId="30" fillId="0" borderId="0" xfId="0" applyNumberFormat="1" applyFont="1"/>
    <xf numFmtId="3" fontId="30" fillId="0" borderId="0" xfId="0" applyNumberFormat="1" applyFont="1" applyFill="1"/>
    <xf numFmtId="0" fontId="30" fillId="0" borderId="0" xfId="0" applyFont="1" applyFill="1"/>
    <xf numFmtId="0" fontId="41" fillId="0" borderId="0" xfId="0" applyFont="1"/>
    <xf numFmtId="0" fontId="36" fillId="0" borderId="0" xfId="0" applyFont="1"/>
    <xf numFmtId="14" fontId="13" fillId="0" borderId="13" xfId="0" applyNumberFormat="1" applyFont="1" applyFill="1" applyBorder="1" applyAlignment="1">
      <alignment horizontal="left"/>
    </xf>
    <xf numFmtId="0" fontId="30" fillId="0" borderId="10" xfId="0" applyFont="1" applyBorder="1"/>
    <xf numFmtId="0" fontId="30" fillId="0" borderId="8" xfId="0" applyFont="1" applyBorder="1"/>
    <xf numFmtId="0" fontId="30" fillId="0" borderId="9" xfId="0" applyFont="1" applyBorder="1"/>
    <xf numFmtId="0" fontId="30" fillId="0" borderId="3" xfId="0" applyFont="1" applyBorder="1"/>
    <xf numFmtId="0" fontId="17" fillId="0" borderId="0" xfId="0" applyFont="1"/>
    <xf numFmtId="3" fontId="45" fillId="0" borderId="7" xfId="0" applyNumberFormat="1" applyFont="1" applyFill="1" applyBorder="1"/>
    <xf numFmtId="0" fontId="45" fillId="0" borderId="0" xfId="0" applyFont="1" applyBorder="1" applyAlignment="1">
      <alignment horizontal="center"/>
    </xf>
    <xf numFmtId="0" fontId="45" fillId="0" borderId="3" xfId="0" applyFont="1" applyBorder="1" applyAlignment="1">
      <alignment horizontal="center"/>
    </xf>
    <xf numFmtId="3" fontId="45" fillId="0" borderId="3" xfId="0" applyNumberFormat="1" applyFont="1" applyFill="1" applyBorder="1"/>
    <xf numFmtId="0" fontId="15" fillId="0" borderId="4" xfId="0" applyFont="1" applyBorder="1" applyAlignment="1">
      <alignment horizontal="center"/>
    </xf>
    <xf numFmtId="0" fontId="15" fillId="0" borderId="1" xfId="0" applyFont="1" applyBorder="1" applyAlignment="1">
      <alignment horizontal="center"/>
    </xf>
    <xf numFmtId="0" fontId="15" fillId="0" borderId="7" xfId="0" applyFont="1" applyBorder="1" applyAlignment="1">
      <alignment horizontal="center"/>
    </xf>
    <xf numFmtId="0" fontId="15" fillId="0" borderId="3" xfId="0" applyFont="1" applyBorder="1" applyAlignment="1">
      <alignment horizontal="center"/>
    </xf>
    <xf numFmtId="3" fontId="48" fillId="4" borderId="6" xfId="0" applyNumberFormat="1" applyFont="1" applyFill="1" applyBorder="1"/>
    <xf numFmtId="0" fontId="13" fillId="0" borderId="11" xfId="0" applyFont="1" applyBorder="1" applyAlignment="1">
      <alignment horizontal="center"/>
    </xf>
    <xf numFmtId="0" fontId="15" fillId="0" borderId="11" xfId="0" applyFont="1" applyBorder="1" applyAlignment="1">
      <alignment horizontal="center"/>
    </xf>
    <xf numFmtId="0" fontId="15" fillId="0" borderId="6" xfId="0" applyFont="1" applyBorder="1" applyAlignment="1">
      <alignment horizontal="center"/>
    </xf>
    <xf numFmtId="0" fontId="15" fillId="0" borderId="0" xfId="0" applyFont="1" applyBorder="1" applyAlignment="1">
      <alignment horizontal="center"/>
    </xf>
    <xf numFmtId="0" fontId="45" fillId="0" borderId="3" xfId="0" applyFont="1" applyBorder="1"/>
    <xf numFmtId="0" fontId="30" fillId="0" borderId="1" xfId="0" applyFont="1" applyBorder="1"/>
    <xf numFmtId="3" fontId="30" fillId="0" borderId="4" xfId="0" applyNumberFormat="1" applyFont="1" applyBorder="1"/>
    <xf numFmtId="3" fontId="30" fillId="0" borderId="4" xfId="0" applyNumberFormat="1" applyFont="1" applyBorder="1" applyAlignment="1">
      <alignment horizontal="right"/>
    </xf>
    <xf numFmtId="3" fontId="30" fillId="0" borderId="4" xfId="0" applyNumberFormat="1" applyFont="1" applyFill="1" applyBorder="1"/>
    <xf numFmtId="3" fontId="30" fillId="0" borderId="4" xfId="0" applyNumberFormat="1" applyFont="1" applyFill="1" applyBorder="1" applyAlignment="1">
      <alignment horizontal="right"/>
    </xf>
    <xf numFmtId="0" fontId="30" fillId="0" borderId="3" xfId="0" applyFont="1" applyFill="1" applyBorder="1"/>
    <xf numFmtId="0" fontId="30" fillId="0" borderId="4" xfId="0" applyFont="1" applyFill="1" applyBorder="1"/>
    <xf numFmtId="3" fontId="45" fillId="0" borderId="4" xfId="0" applyNumberFormat="1" applyFont="1" applyBorder="1"/>
    <xf numFmtId="3" fontId="45" fillId="0" borderId="4" xfId="0" applyNumberFormat="1" applyFont="1" applyBorder="1" applyAlignment="1">
      <alignment horizontal="right"/>
    </xf>
    <xf numFmtId="0" fontId="15" fillId="0" borderId="0" xfId="0" applyFont="1"/>
    <xf numFmtId="0" fontId="30" fillId="0" borderId="0" xfId="0" applyFont="1" applyBorder="1"/>
    <xf numFmtId="0" fontId="45" fillId="0" borderId="6" xfId="0" applyFont="1" applyBorder="1"/>
    <xf numFmtId="3" fontId="45" fillId="0" borderId="11" xfId="0" applyNumberFormat="1" applyFont="1" applyBorder="1"/>
    <xf numFmtId="3" fontId="45" fillId="0" borderId="11" xfId="0" applyNumberFormat="1" applyFont="1" applyBorder="1" applyAlignment="1">
      <alignment horizontal="right"/>
    </xf>
    <xf numFmtId="0" fontId="30" fillId="0" borderId="0" xfId="0" applyFont="1" applyAlignment="1">
      <alignment horizontal="left"/>
    </xf>
    <xf numFmtId="0" fontId="45" fillId="0" borderId="0" xfId="0" applyFont="1" applyAlignment="1">
      <alignment horizontal="left"/>
    </xf>
    <xf numFmtId="0" fontId="30" fillId="0" borderId="14" xfId="0" applyFont="1" applyBorder="1"/>
    <xf numFmtId="0" fontId="30" fillId="0" borderId="15" xfId="0" applyFont="1" applyBorder="1"/>
    <xf numFmtId="167" fontId="45" fillId="0" borderId="7" xfId="0" applyNumberFormat="1" applyFont="1" applyBorder="1" applyAlignment="1">
      <alignment horizontal="left"/>
    </xf>
    <xf numFmtId="0" fontId="45" fillId="0" borderId="2" xfId="0" applyFont="1" applyBorder="1" applyAlignment="1">
      <alignment horizontal="center"/>
    </xf>
    <xf numFmtId="167" fontId="45" fillId="0" borderId="3" xfId="0" applyNumberFormat="1" applyFont="1" applyBorder="1" applyAlignment="1">
      <alignment horizontal="left"/>
    </xf>
    <xf numFmtId="0" fontId="45" fillId="0" borderId="4" xfId="0" applyFont="1" applyBorder="1" applyAlignment="1">
      <alignment horizontal="center"/>
    </xf>
    <xf numFmtId="0" fontId="45" fillId="0" borderId="1" xfId="0" applyFont="1" applyBorder="1" applyAlignment="1">
      <alignment horizontal="center"/>
    </xf>
    <xf numFmtId="0" fontId="15" fillId="0" borderId="2" xfId="0" applyFont="1" applyBorder="1" applyAlignment="1">
      <alignment horizontal="center"/>
    </xf>
    <xf numFmtId="167" fontId="50" fillId="0" borderId="6" xfId="0" applyNumberFormat="1" applyFont="1" applyBorder="1" applyAlignment="1">
      <alignment horizontal="left"/>
    </xf>
    <xf numFmtId="0" fontId="13" fillId="0" borderId="6" xfId="0" applyFont="1" applyBorder="1" applyAlignment="1">
      <alignment horizontal="center"/>
    </xf>
    <xf numFmtId="0" fontId="15" fillId="0" borderId="12" xfId="0" applyFont="1" applyBorder="1" applyAlignment="1">
      <alignment horizontal="center"/>
    </xf>
    <xf numFmtId="3" fontId="30" fillId="0" borderId="1" xfId="0" applyNumberFormat="1" applyFont="1" applyBorder="1"/>
    <xf numFmtId="3" fontId="30" fillId="0" borderId="2" xfId="0" applyNumberFormat="1" applyFont="1" applyBorder="1"/>
    <xf numFmtId="3" fontId="51" fillId="0" borderId="4" xfId="0" applyNumberFormat="1" applyFont="1" applyFill="1" applyBorder="1" applyAlignment="1">
      <alignment horizontal="right"/>
    </xf>
    <xf numFmtId="0" fontId="46" fillId="0" borderId="0" xfId="0" applyFont="1" applyFill="1"/>
    <xf numFmtId="0" fontId="52" fillId="0" borderId="0" xfId="0" applyFont="1" applyFill="1"/>
    <xf numFmtId="3" fontId="53" fillId="0" borderId="0" xfId="0" applyNumberFormat="1" applyFont="1"/>
    <xf numFmtId="0" fontId="53" fillId="0" borderId="0" xfId="0" applyFont="1"/>
    <xf numFmtId="0" fontId="53" fillId="0" borderId="0" xfId="0" applyFont="1" applyFill="1"/>
    <xf numFmtId="0" fontId="45" fillId="0" borderId="4" xfId="0" applyFont="1" applyBorder="1"/>
    <xf numFmtId="3" fontId="45" fillId="0" borderId="0" xfId="0" applyNumberFormat="1" applyFont="1" applyBorder="1" applyAlignment="1">
      <alignment horizontal="right"/>
    </xf>
    <xf numFmtId="3" fontId="30" fillId="0" borderId="0" xfId="0" applyNumberFormat="1" applyFont="1" applyBorder="1"/>
    <xf numFmtId="3" fontId="15" fillId="0" borderId="4" xfId="1" applyNumberFormat="1" applyFont="1" applyBorder="1"/>
    <xf numFmtId="0" fontId="0" fillId="0" borderId="0" xfId="0"/>
    <xf numFmtId="3" fontId="14" fillId="0" borderId="0" xfId="1" applyNumberFormat="1" applyFont="1" applyFill="1" applyBorder="1"/>
    <xf numFmtId="3" fontId="15" fillId="0" borderId="0" xfId="1" applyNumberFormat="1" applyFont="1"/>
    <xf numFmtId="3" fontId="15" fillId="0" borderId="1" xfId="1" applyNumberFormat="1" applyFont="1" applyBorder="1"/>
    <xf numFmtId="3" fontId="17" fillId="0" borderId="0" xfId="1" applyNumberFormat="1" applyFont="1" applyFill="1" applyBorder="1" applyAlignment="1">
      <alignment horizontal="right"/>
    </xf>
    <xf numFmtId="3" fontId="17" fillId="0" borderId="0" xfId="1" applyNumberFormat="1" applyFont="1" applyFill="1" applyBorder="1"/>
    <xf numFmtId="3" fontId="13" fillId="0" borderId="0" xfId="1" applyNumberFormat="1" applyFont="1"/>
    <xf numFmtId="3" fontId="17" fillId="0" borderId="0" xfId="1" applyNumberFormat="1" applyFont="1" applyFill="1"/>
    <xf numFmtId="3" fontId="17" fillId="0" borderId="0" xfId="1" applyNumberFormat="1" applyFont="1"/>
    <xf numFmtId="3" fontId="15" fillId="0" borderId="5" xfId="1" applyNumberFormat="1" applyFont="1" applyBorder="1" applyAlignment="1">
      <alignment horizontal="center"/>
    </xf>
    <xf numFmtId="3" fontId="21" fillId="0" borderId="0" xfId="1" applyNumberFormat="1" applyFont="1"/>
    <xf numFmtId="3" fontId="16" fillId="0" borderId="4" xfId="1" applyNumberFormat="1" applyFont="1" applyBorder="1" applyAlignment="1">
      <alignment horizontal="center"/>
    </xf>
    <xf numFmtId="3" fontId="17" fillId="0" borderId="4" xfId="1" applyNumberFormat="1" applyFont="1" applyFill="1" applyBorder="1"/>
    <xf numFmtId="3" fontId="14" fillId="0" borderId="0" xfId="1" applyNumberFormat="1" applyFont="1" applyFill="1"/>
    <xf numFmtId="3" fontId="17" fillId="0" borderId="0" xfId="1" applyNumberFormat="1" applyFont="1" applyAlignment="1">
      <alignment horizontal="left"/>
    </xf>
    <xf numFmtId="3" fontId="15" fillId="0" borderId="6" xfId="1" applyNumberFormat="1" applyFont="1" applyBorder="1" applyAlignment="1">
      <alignment horizontal="center"/>
    </xf>
    <xf numFmtId="3" fontId="14" fillId="0" borderId="0" xfId="1" applyNumberFormat="1" applyFont="1"/>
    <xf numFmtId="3" fontId="15" fillId="0" borderId="3" xfId="1" applyNumberFormat="1" applyFont="1" applyBorder="1"/>
    <xf numFmtId="3" fontId="15" fillId="0" borderId="0" xfId="1" applyNumberFormat="1" applyFont="1" applyFill="1" applyBorder="1" applyAlignment="1">
      <alignment horizontal="right"/>
    </xf>
    <xf numFmtId="3" fontId="15" fillId="3" borderId="2" xfId="1" applyNumberFormat="1" applyFont="1" applyFill="1" applyBorder="1" applyAlignment="1">
      <alignment horizontal="right"/>
    </xf>
    <xf numFmtId="3" fontId="15" fillId="0" borderId="11" xfId="1" applyNumberFormat="1" applyFont="1" applyBorder="1" applyAlignment="1">
      <alignment horizontal="center"/>
    </xf>
    <xf numFmtId="3" fontId="15" fillId="0" borderId="7" xfId="1" applyNumberFormat="1" applyFont="1" applyBorder="1" applyAlignment="1">
      <alignment horizontal="center"/>
    </xf>
    <xf numFmtId="3" fontId="13" fillId="0" borderId="12" xfId="1" applyNumberFormat="1" applyFont="1" applyBorder="1"/>
    <xf numFmtId="3" fontId="17" fillId="0" borderId="0" xfId="1" applyNumberFormat="1" applyFont="1" applyFill="1" applyAlignment="1">
      <alignment horizontal="left"/>
    </xf>
    <xf numFmtId="3" fontId="13" fillId="0" borderId="0" xfId="1" applyNumberFormat="1" applyFont="1" applyBorder="1"/>
    <xf numFmtId="3" fontId="17" fillId="3" borderId="3" xfId="1" applyNumberFormat="1" applyFont="1" applyFill="1" applyBorder="1" applyAlignment="1">
      <alignment horizontal="right"/>
    </xf>
    <xf numFmtId="3" fontId="17" fillId="3" borderId="6" xfId="1" applyNumberFormat="1" applyFont="1" applyFill="1" applyBorder="1" applyAlignment="1">
      <alignment horizontal="right"/>
    </xf>
    <xf numFmtId="3" fontId="15" fillId="0" borderId="0" xfId="1" applyNumberFormat="1" applyFont="1" applyBorder="1"/>
    <xf numFmtId="3" fontId="15" fillId="3" borderId="6" xfId="1" applyNumberFormat="1" applyFont="1" applyFill="1" applyBorder="1" applyAlignment="1">
      <alignment horizontal="right"/>
    </xf>
    <xf numFmtId="3" fontId="15" fillId="3" borderId="5" xfId="1" applyNumberFormat="1" applyFont="1" applyFill="1" applyBorder="1" applyAlignment="1">
      <alignment horizontal="right"/>
    </xf>
    <xf numFmtId="3" fontId="15" fillId="3" borderId="3" xfId="1" applyNumberFormat="1" applyFont="1" applyFill="1" applyBorder="1" applyAlignment="1">
      <alignment horizontal="right"/>
    </xf>
    <xf numFmtId="3" fontId="17" fillId="0" borderId="10" xfId="1" applyNumberFormat="1" applyFont="1" applyBorder="1" applyAlignment="1">
      <alignment horizontal="left"/>
    </xf>
    <xf numFmtId="3" fontId="15" fillId="0" borderId="0" xfId="1" applyNumberFormat="1" applyFont="1" applyFill="1" applyBorder="1" applyAlignment="1">
      <alignment horizontal="center"/>
    </xf>
    <xf numFmtId="3" fontId="16" fillId="0" borderId="0" xfId="1" applyNumberFormat="1" applyFont="1" applyFill="1" applyBorder="1" applyAlignment="1">
      <alignment horizontal="center"/>
    </xf>
    <xf numFmtId="3" fontId="17" fillId="3" borderId="2" xfId="1" applyNumberFormat="1" applyFont="1" applyFill="1" applyBorder="1" applyAlignment="1">
      <alignment horizontal="right"/>
    </xf>
    <xf numFmtId="3" fontId="30" fillId="0" borderId="3" xfId="0" applyNumberFormat="1" applyFont="1" applyBorder="1"/>
    <xf numFmtId="3" fontId="30" fillId="0" borderId="3" xfId="0" applyNumberFormat="1" applyFont="1" applyFill="1" applyBorder="1"/>
    <xf numFmtId="3" fontId="45" fillId="0" borderId="3" xfId="0" applyNumberFormat="1" applyFont="1" applyBorder="1"/>
    <xf numFmtId="3" fontId="45" fillId="0" borderId="0" xfId="0" applyNumberFormat="1" applyFont="1" applyBorder="1"/>
    <xf numFmtId="3" fontId="30" fillId="0" borderId="4" xfId="2" applyNumberFormat="1" applyFont="1" applyBorder="1"/>
    <xf numFmtId="3" fontId="45" fillId="0" borderId="6" xfId="0" applyNumberFormat="1" applyFont="1" applyBorder="1"/>
    <xf numFmtId="3" fontId="30" fillId="0" borderId="0" xfId="0" applyNumberFormat="1" applyFont="1" applyBorder="1" applyAlignment="1">
      <alignment horizontal="right"/>
    </xf>
    <xf numFmtId="3" fontId="51" fillId="0" borderId="0" xfId="0" applyNumberFormat="1" applyFont="1" applyFill="1" applyBorder="1" applyAlignment="1">
      <alignment horizontal="right"/>
    </xf>
    <xf numFmtId="0" fontId="13" fillId="0" borderId="4" xfId="0" applyFont="1" applyBorder="1" applyAlignment="1">
      <alignment horizontal="center"/>
    </xf>
    <xf numFmtId="0" fontId="13" fillId="0" borderId="3" xfId="0" applyFont="1" applyBorder="1" applyAlignment="1">
      <alignment horizontal="center"/>
    </xf>
    <xf numFmtId="0" fontId="30" fillId="0" borderId="0" xfId="0" applyFont="1" applyFill="1" applyBorder="1"/>
    <xf numFmtId="3" fontId="17" fillId="2" borderId="3" xfId="1" applyNumberFormat="1" applyFont="1" applyFill="1" applyBorder="1" applyAlignment="1">
      <alignment horizontal="right"/>
    </xf>
    <xf numFmtId="0" fontId="17" fillId="0" borderId="0" xfId="0" applyFont="1" applyFill="1" applyBorder="1"/>
    <xf numFmtId="3" fontId="22" fillId="0" borderId="4" xfId="1" applyNumberFormat="1" applyFont="1" applyFill="1" applyBorder="1" applyAlignment="1">
      <alignment horizontal="right"/>
    </xf>
    <xf numFmtId="3" fontId="22" fillId="0" borderId="3" xfId="1" applyNumberFormat="1" applyFont="1" applyFill="1" applyBorder="1" applyAlignment="1">
      <alignment horizontal="right"/>
    </xf>
    <xf numFmtId="3" fontId="17" fillId="0" borderId="4" xfId="1" quotePrefix="1" applyNumberFormat="1" applyFont="1" applyFill="1" applyBorder="1" applyAlignment="1">
      <alignment horizontal="right"/>
    </xf>
    <xf numFmtId="167" fontId="45" fillId="0" borderId="4" xfId="0" applyNumberFormat="1" applyFont="1" applyBorder="1" applyAlignment="1">
      <alignment horizontal="left"/>
    </xf>
    <xf numFmtId="0" fontId="30" fillId="0" borderId="4" xfId="0" applyFont="1" applyBorder="1"/>
    <xf numFmtId="0" fontId="51" fillId="0" borderId="4" xfId="0" applyFont="1" applyFill="1" applyBorder="1"/>
    <xf numFmtId="0" fontId="45" fillId="0" borderId="11" xfId="0" applyFont="1" applyBorder="1"/>
    <xf numFmtId="3" fontId="30" fillId="0" borderId="3" xfId="0" applyNumberFormat="1" applyFont="1" applyBorder="1" applyAlignment="1">
      <alignment horizontal="right"/>
    </xf>
    <xf numFmtId="3" fontId="51" fillId="0" borderId="3" xfId="0" applyNumberFormat="1" applyFont="1" applyFill="1" applyBorder="1" applyAlignment="1">
      <alignment horizontal="right"/>
    </xf>
    <xf numFmtId="3" fontId="45" fillId="0" borderId="3" xfId="0" applyNumberFormat="1" applyFont="1" applyBorder="1" applyAlignment="1">
      <alignment horizontal="right"/>
    </xf>
    <xf numFmtId="3" fontId="45" fillId="0" borderId="6" xfId="0" applyNumberFormat="1" applyFont="1" applyBorder="1" applyAlignment="1">
      <alignment horizontal="right"/>
    </xf>
    <xf numFmtId="0" fontId="36" fillId="0" borderId="4" xfId="0" applyFont="1" applyBorder="1" applyAlignment="1">
      <alignment horizontal="right"/>
    </xf>
    <xf numFmtId="3" fontId="30" fillId="0" borderId="7" xfId="0" applyNumberFormat="1" applyFont="1" applyBorder="1" applyAlignment="1">
      <alignment horizontal="right"/>
    </xf>
    <xf numFmtId="3" fontId="30" fillId="0" borderId="14" xfId="0" applyNumberFormat="1" applyFont="1" applyBorder="1" applyAlignment="1">
      <alignment horizontal="right"/>
    </xf>
    <xf numFmtId="0" fontId="36" fillId="0" borderId="3" xfId="0" applyFont="1" applyBorder="1" applyAlignment="1">
      <alignment horizontal="right"/>
    </xf>
    <xf numFmtId="3" fontId="30" fillId="0" borderId="6" xfId="0" applyNumberFormat="1" applyFont="1" applyBorder="1" applyAlignment="1">
      <alignment horizontal="right"/>
    </xf>
    <xf numFmtId="3" fontId="15" fillId="0" borderId="0" xfId="0" applyNumberFormat="1" applyFont="1"/>
    <xf numFmtId="3" fontId="15" fillId="0" borderId="4" xfId="1" applyNumberFormat="1" applyFont="1" applyBorder="1" applyAlignment="1">
      <alignment horizontal="center"/>
    </xf>
    <xf numFmtId="3" fontId="17" fillId="0" borderId="0" xfId="0" applyNumberFormat="1" applyFont="1" applyBorder="1"/>
    <xf numFmtId="3" fontId="17" fillId="0" borderId="0" xfId="0" applyNumberFormat="1" applyFont="1"/>
    <xf numFmtId="3" fontId="15" fillId="0" borderId="0" xfId="0" applyNumberFormat="1" applyFont="1" applyBorder="1"/>
    <xf numFmtId="3" fontId="17" fillId="0" borderId="0" xfId="0" applyNumberFormat="1" applyFont="1" applyFill="1" applyBorder="1"/>
    <xf numFmtId="0" fontId="17" fillId="8" borderId="1" xfId="0" applyFont="1" applyFill="1" applyBorder="1"/>
    <xf numFmtId="0" fontId="17" fillId="8" borderId="15" xfId="0" applyFont="1" applyFill="1" applyBorder="1"/>
    <xf numFmtId="0" fontId="17" fillId="8" borderId="14" xfId="0" applyFont="1" applyFill="1" applyBorder="1"/>
    <xf numFmtId="0" fontId="15" fillId="8" borderId="1" xfId="0" applyFont="1" applyFill="1" applyBorder="1" applyAlignment="1">
      <alignment horizontal="center"/>
    </xf>
    <xf numFmtId="0" fontId="15" fillId="8" borderId="15" xfId="0" applyFont="1" applyFill="1" applyBorder="1" applyAlignment="1">
      <alignment horizontal="center"/>
    </xf>
    <xf numFmtId="0" fontId="15" fillId="8" borderId="14" xfId="0" applyFont="1" applyFill="1" applyBorder="1" applyAlignment="1">
      <alignment horizontal="center"/>
    </xf>
    <xf numFmtId="0" fontId="15" fillId="8" borderId="11" xfId="0" applyFont="1" applyFill="1" applyBorder="1" applyAlignment="1">
      <alignment horizontal="center"/>
    </xf>
    <xf numFmtId="0" fontId="15" fillId="8" borderId="5" xfId="0" applyFont="1" applyFill="1" applyBorder="1" applyAlignment="1">
      <alignment horizontal="center"/>
    </xf>
    <xf numFmtId="0" fontId="15" fillId="8" borderId="12" xfId="0" applyFont="1" applyFill="1" applyBorder="1" applyAlignment="1">
      <alignment horizontal="center"/>
    </xf>
    <xf numFmtId="0" fontId="15" fillId="8" borderId="3" xfId="0" applyFont="1" applyFill="1" applyBorder="1"/>
    <xf numFmtId="3" fontId="17" fillId="8" borderId="2" xfId="0" applyNumberFormat="1" applyFont="1" applyFill="1" applyBorder="1"/>
    <xf numFmtId="3" fontId="17" fillId="8" borderId="7" xfId="0" applyNumberFormat="1" applyFont="1" applyFill="1" applyBorder="1"/>
    <xf numFmtId="3" fontId="17" fillId="8" borderId="3" xfId="0" applyNumberFormat="1" applyFont="1" applyFill="1" applyBorder="1"/>
    <xf numFmtId="0" fontId="15" fillId="8" borderId="3" xfId="0" applyFont="1" applyFill="1" applyBorder="1" applyAlignment="1">
      <alignment horizontal="center"/>
    </xf>
    <xf numFmtId="0" fontId="15" fillId="8" borderId="2" xfId="0" applyFont="1" applyFill="1" applyBorder="1" applyAlignment="1">
      <alignment horizontal="center"/>
    </xf>
    <xf numFmtId="0" fontId="17" fillId="8" borderId="2" xfId="0" applyFont="1" applyFill="1" applyBorder="1"/>
    <xf numFmtId="0" fontId="17" fillId="8" borderId="3" xfId="0" applyFont="1" applyFill="1" applyBorder="1"/>
    <xf numFmtId="3" fontId="17" fillId="8" borderId="2" xfId="2" applyNumberFormat="1" applyFont="1" applyFill="1" applyBorder="1"/>
    <xf numFmtId="3" fontId="15" fillId="8" borderId="6" xfId="0" applyNumberFormat="1" applyFont="1" applyFill="1" applyBorder="1"/>
    <xf numFmtId="3" fontId="15" fillId="8" borderId="5" xfId="0" applyNumberFormat="1" applyFont="1" applyFill="1" applyBorder="1"/>
    <xf numFmtId="3" fontId="30" fillId="0" borderId="2" xfId="0" quotePrefix="1" applyNumberFormat="1" applyFont="1" applyBorder="1" applyAlignment="1">
      <alignment horizontal="right"/>
    </xf>
    <xf numFmtId="0" fontId="36" fillId="0" borderId="1" xfId="0" applyFont="1" applyBorder="1" applyAlignment="1">
      <alignment horizontal="right"/>
    </xf>
    <xf numFmtId="3" fontId="30" fillId="0" borderId="3" xfId="0" quotePrefix="1" applyNumberFormat="1" applyFont="1" applyBorder="1" applyAlignment="1">
      <alignment horizontal="right"/>
    </xf>
    <xf numFmtId="3" fontId="17" fillId="0" borderId="2" xfId="1" applyNumberFormat="1" applyFont="1" applyFill="1" applyBorder="1" applyAlignment="1">
      <alignment horizontal="right"/>
    </xf>
    <xf numFmtId="3" fontId="17" fillId="2" borderId="2" xfId="1" applyNumberFormat="1" applyFont="1" applyFill="1" applyBorder="1" applyAlignment="1">
      <alignment horizontal="right"/>
    </xf>
    <xf numFmtId="3" fontId="15" fillId="0" borderId="3" xfId="1" applyNumberFormat="1" applyFont="1" applyFill="1" applyBorder="1" applyAlignment="1">
      <alignment horizontal="right"/>
    </xf>
    <xf numFmtId="3" fontId="17" fillId="0" borderId="2" xfId="1" quotePrefix="1" applyNumberFormat="1" applyFont="1" applyFill="1" applyBorder="1" applyAlignment="1">
      <alignment horizontal="right"/>
    </xf>
    <xf numFmtId="3" fontId="17" fillId="0" borderId="6" xfId="1" quotePrefix="1" applyNumberFormat="1" applyFont="1" applyFill="1" applyBorder="1" applyAlignment="1">
      <alignment horizontal="right"/>
    </xf>
    <xf numFmtId="3" fontId="17" fillId="0" borderId="5" xfId="1" quotePrefix="1" applyNumberFormat="1" applyFont="1" applyFill="1" applyBorder="1" applyAlignment="1">
      <alignment horizontal="right"/>
    </xf>
    <xf numFmtId="3" fontId="17" fillId="3" borderId="0" xfId="1" applyNumberFormat="1" applyFont="1" applyFill="1" applyBorder="1" applyAlignment="1">
      <alignment horizontal="right"/>
    </xf>
    <xf numFmtId="165" fontId="55" fillId="7" borderId="3" xfId="844" applyNumberFormat="1" applyFont="1" applyBorder="1" applyAlignment="1">
      <alignment horizontal="right"/>
    </xf>
    <xf numFmtId="3" fontId="45" fillId="0" borderId="2" xfId="0" applyNumberFormat="1" applyFont="1" applyBorder="1"/>
    <xf numFmtId="3" fontId="13" fillId="0" borderId="9" xfId="1" applyNumberFormat="1" applyFont="1" applyBorder="1" applyAlignment="1">
      <alignment horizontal="center"/>
    </xf>
    <xf numFmtId="3" fontId="16" fillId="0" borderId="6" xfId="1" applyNumberFormat="1" applyFont="1" applyBorder="1" applyAlignment="1">
      <alignment horizontal="center"/>
    </xf>
    <xf numFmtId="3" fontId="15" fillId="0" borderId="3" xfId="1" applyNumberFormat="1" applyFont="1" applyBorder="1" applyAlignment="1">
      <alignment horizontal="center"/>
    </xf>
    <xf numFmtId="3" fontId="15" fillId="0" borderId="2" xfId="1" applyNumberFormat="1" applyFont="1" applyBorder="1" applyAlignment="1">
      <alignment horizontal="center"/>
    </xf>
    <xf numFmtId="3" fontId="13" fillId="0" borderId="1" xfId="1" applyNumberFormat="1" applyFont="1" applyBorder="1"/>
    <xf numFmtId="0" fontId="17" fillId="0" borderId="6" xfId="0" applyFont="1" applyBorder="1"/>
    <xf numFmtId="0" fontId="15" fillId="0" borderId="3" xfId="1" applyFont="1" applyBorder="1" applyAlignment="1">
      <alignment horizontal="center"/>
    </xf>
    <xf numFmtId="0" fontId="15" fillId="0" borderId="15" xfId="1" applyFont="1" applyBorder="1" applyAlignment="1">
      <alignment horizontal="center"/>
    </xf>
    <xf numFmtId="0" fontId="17" fillId="0" borderId="5" xfId="1" applyFont="1" applyFill="1" applyBorder="1"/>
    <xf numFmtId="0" fontId="17" fillId="0" borderId="9" xfId="1" applyFont="1" applyFill="1" applyBorder="1"/>
    <xf numFmtId="168" fontId="17" fillId="0" borderId="0" xfId="1" applyNumberFormat="1" applyFont="1" applyFill="1" applyBorder="1" applyAlignment="1">
      <alignment horizontal="center"/>
    </xf>
    <xf numFmtId="168" fontId="17" fillId="3" borderId="3" xfId="1" applyNumberFormat="1" applyFont="1" applyFill="1" applyBorder="1" applyAlignment="1">
      <alignment horizontal="right"/>
    </xf>
    <xf numFmtId="168" fontId="17" fillId="3" borderId="6" xfId="1" applyNumberFormat="1" applyFont="1" applyFill="1" applyBorder="1" applyAlignment="1">
      <alignment horizontal="right"/>
    </xf>
    <xf numFmtId="0" fontId="45" fillId="0" borderId="0" xfId="0" applyFont="1" applyBorder="1"/>
    <xf numFmtId="0" fontId="45" fillId="0" borderId="7" xfId="0" applyFont="1" applyBorder="1"/>
    <xf numFmtId="14" fontId="13" fillId="0" borderId="6" xfId="0" applyNumberFormat="1" applyFont="1" applyFill="1" applyBorder="1" applyAlignment="1">
      <alignment horizontal="left"/>
    </xf>
    <xf numFmtId="14" fontId="13" fillId="0" borderId="3" xfId="0" applyNumberFormat="1" applyFont="1" applyFill="1" applyBorder="1" applyAlignment="1">
      <alignment horizontal="center"/>
    </xf>
    <xf numFmtId="167" fontId="15" fillId="0" borderId="4" xfId="0" applyNumberFormat="1" applyFont="1" applyBorder="1" applyAlignment="1">
      <alignment horizontal="center"/>
    </xf>
    <xf numFmtId="167" fontId="15" fillId="0" borderId="11" xfId="0" applyNumberFormat="1" applyFont="1" applyBorder="1" applyAlignment="1">
      <alignment horizontal="center"/>
    </xf>
    <xf numFmtId="0" fontId="15" fillId="0" borderId="5" xfId="0" applyFont="1" applyBorder="1" applyAlignment="1">
      <alignment horizontal="center"/>
    </xf>
    <xf numFmtId="165" fontId="45" fillId="0" borderId="4" xfId="0" applyNumberFormat="1" applyFont="1" applyBorder="1" applyAlignment="1">
      <alignment horizontal="right"/>
    </xf>
    <xf numFmtId="165" fontId="45" fillId="0" borderId="3" xfId="0" applyNumberFormat="1" applyFont="1" applyBorder="1" applyAlignment="1">
      <alignment horizontal="right"/>
    </xf>
    <xf numFmtId="165" fontId="30" fillId="0" borderId="4" xfId="0" applyNumberFormat="1" applyFont="1" applyBorder="1" applyAlignment="1">
      <alignment horizontal="right"/>
    </xf>
    <xf numFmtId="165" fontId="30" fillId="0" borderId="3" xfId="0" applyNumberFormat="1" applyFont="1" applyBorder="1" applyAlignment="1">
      <alignment horizontal="right"/>
    </xf>
    <xf numFmtId="165" fontId="30" fillId="0" borderId="4" xfId="0" applyNumberFormat="1" applyFont="1" applyFill="1" applyBorder="1" applyAlignment="1">
      <alignment horizontal="right"/>
    </xf>
    <xf numFmtId="0" fontId="30" fillId="0" borderId="11" xfId="0" applyFont="1" applyBorder="1"/>
    <xf numFmtId="3" fontId="30" fillId="0" borderId="11" xfId="0" applyNumberFormat="1" applyFont="1" applyBorder="1"/>
    <xf numFmtId="165" fontId="30" fillId="0" borderId="11" xfId="0" applyNumberFormat="1" applyFont="1" applyBorder="1" applyAlignment="1">
      <alignment horizontal="right"/>
    </xf>
    <xf numFmtId="165" fontId="30" fillId="0" borderId="6" xfId="0" applyNumberFormat="1" applyFont="1" applyBorder="1" applyAlignment="1">
      <alignment horizontal="right"/>
    </xf>
    <xf numFmtId="3" fontId="45" fillId="0" borderId="3" xfId="0" applyNumberFormat="1" applyFont="1" applyFill="1" applyBorder="1" applyAlignment="1">
      <alignment horizontal="right"/>
    </xf>
    <xf numFmtId="0" fontId="66" fillId="0" borderId="0" xfId="3" applyFont="1" applyAlignment="1" applyProtection="1"/>
    <xf numFmtId="0" fontId="41" fillId="0" borderId="0" xfId="0" applyFont="1" applyFill="1" applyAlignment="1">
      <alignment horizontal="center"/>
    </xf>
    <xf numFmtId="3" fontId="15" fillId="0" borderId="6" xfId="1" applyNumberFormat="1" applyFont="1" applyFill="1" applyBorder="1" applyAlignment="1">
      <alignment horizontal="right"/>
    </xf>
    <xf numFmtId="3" fontId="67" fillId="0" borderId="4" xfId="1" applyNumberFormat="1" applyFont="1" applyFill="1" applyBorder="1" applyAlignment="1">
      <alignment horizontal="right"/>
    </xf>
    <xf numFmtId="3" fontId="67" fillId="0" borderId="3" xfId="1" applyNumberFormat="1" applyFont="1" applyFill="1" applyBorder="1" applyAlignment="1">
      <alignment horizontal="right"/>
    </xf>
    <xf numFmtId="3" fontId="67" fillId="0" borderId="11" xfId="1" applyNumberFormat="1" applyFont="1" applyFill="1" applyBorder="1" applyAlignment="1">
      <alignment horizontal="right"/>
    </xf>
    <xf numFmtId="3" fontId="67" fillId="0" borderId="6" xfId="1" applyNumberFormat="1" applyFont="1" applyFill="1" applyBorder="1" applyAlignment="1">
      <alignment horizontal="right"/>
    </xf>
    <xf numFmtId="3" fontId="17" fillId="0" borderId="3" xfId="2" applyNumberFormat="1" applyFont="1" applyFill="1" applyBorder="1" applyAlignment="1">
      <alignment horizontal="right"/>
    </xf>
    <xf numFmtId="3" fontId="17" fillId="0" borderId="4" xfId="2" applyNumberFormat="1" applyFont="1" applyFill="1" applyBorder="1" applyAlignment="1">
      <alignment horizontal="right"/>
    </xf>
    <xf numFmtId="3" fontId="17" fillId="0" borderId="6" xfId="2" applyNumberFormat="1" applyFont="1" applyFill="1" applyBorder="1" applyAlignment="1">
      <alignment horizontal="right"/>
    </xf>
    <xf numFmtId="3" fontId="17" fillId="0" borderId="11" xfId="2" applyNumberFormat="1" applyFont="1" applyFill="1" applyBorder="1" applyAlignment="1">
      <alignment horizontal="right"/>
    </xf>
    <xf numFmtId="3" fontId="17" fillId="2" borderId="3" xfId="2" applyNumberFormat="1" applyFont="1" applyFill="1" applyBorder="1" applyAlignment="1">
      <alignment horizontal="right"/>
    </xf>
    <xf numFmtId="3" fontId="17" fillId="2" borderId="4" xfId="2" applyNumberFormat="1" applyFont="1" applyFill="1" applyBorder="1" applyAlignment="1">
      <alignment horizontal="right"/>
    </xf>
    <xf numFmtId="3" fontId="17" fillId="0" borderId="4" xfId="1" applyNumberFormat="1" applyFont="1" applyFill="1" applyBorder="1" applyAlignment="1">
      <alignment horizontal="right"/>
    </xf>
    <xf numFmtId="3" fontId="17" fillId="0" borderId="11" xfId="1" applyNumberFormat="1" applyFont="1" applyFill="1" applyBorder="1" applyAlignment="1">
      <alignment horizontal="right"/>
    </xf>
    <xf numFmtId="3" fontId="17" fillId="2" borderId="0" xfId="1" applyNumberFormat="1" applyFont="1" applyFill="1" applyBorder="1" applyAlignment="1">
      <alignment horizontal="right"/>
    </xf>
    <xf numFmtId="3" fontId="17" fillId="0" borderId="3" xfId="2" applyNumberFormat="1" applyFont="1" applyBorder="1" applyAlignment="1">
      <alignment horizontal="right"/>
    </xf>
    <xf numFmtId="3" fontId="17" fillId="0" borderId="4" xfId="2" applyNumberFormat="1" applyFont="1" applyBorder="1" applyAlignment="1">
      <alignment horizontal="right"/>
    </xf>
    <xf numFmtId="3" fontId="22" fillId="0" borderId="2" xfId="1" applyNumberFormat="1" applyFont="1" applyFill="1" applyBorder="1" applyAlignment="1">
      <alignment horizontal="right"/>
    </xf>
    <xf numFmtId="3" fontId="22" fillId="0" borderId="0" xfId="1" applyNumberFormat="1" applyFont="1" applyFill="1" applyBorder="1" applyAlignment="1">
      <alignment horizontal="right"/>
    </xf>
    <xf numFmtId="3" fontId="18" fillId="2" borderId="2" xfId="1" applyNumberFormat="1" applyFont="1" applyFill="1" applyBorder="1" applyAlignment="1">
      <alignment horizontal="right"/>
    </xf>
    <xf numFmtId="3" fontId="18" fillId="2" borderId="0" xfId="1" applyNumberFormat="1" applyFont="1" applyFill="1" applyBorder="1" applyAlignment="1">
      <alignment horizontal="right"/>
    </xf>
    <xf numFmtId="3" fontId="17" fillId="0" borderId="3" xfId="2" applyNumberFormat="1" applyFont="1" applyBorder="1" applyAlignment="1">
      <alignment horizontal="left"/>
    </xf>
    <xf numFmtId="0" fontId="13" fillId="0" borderId="0" xfId="1" applyFont="1" applyBorder="1" applyAlignment="1">
      <alignment horizontal="center"/>
    </xf>
    <xf numFmtId="0" fontId="13" fillId="0" borderId="0" xfId="1" applyFont="1" applyFill="1" applyBorder="1" applyAlignment="1">
      <alignment horizontal="center"/>
    </xf>
    <xf numFmtId="3" fontId="13" fillId="0" borderId="0"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2" xfId="1" applyNumberFormat="1" applyFont="1" applyBorder="1" applyAlignment="1">
      <alignment horizontal="center"/>
    </xf>
    <xf numFmtId="3" fontId="15" fillId="0" borderId="9" xfId="1" applyNumberFormat="1" applyFont="1" applyBorder="1" applyAlignment="1">
      <alignment horizontal="center"/>
    </xf>
    <xf numFmtId="3" fontId="15" fillId="0" borderId="1" xfId="1" applyNumberFormat="1" applyFont="1" applyBorder="1" applyAlignment="1">
      <alignment horizontal="center"/>
    </xf>
    <xf numFmtId="3" fontId="15" fillId="0" borderId="7" xfId="2" applyNumberFormat="1" applyFont="1" applyFill="1" applyBorder="1" applyAlignment="1">
      <alignment horizontal="right"/>
    </xf>
    <xf numFmtId="3" fontId="15" fillId="0" borderId="1" xfId="2" applyNumberFormat="1" applyFont="1" applyFill="1" applyBorder="1" applyAlignment="1">
      <alignment horizontal="right"/>
    </xf>
    <xf numFmtId="3" fontId="15" fillId="0" borderId="2" xfId="1" applyNumberFormat="1" applyFont="1" applyFill="1" applyBorder="1" applyAlignment="1">
      <alignment horizontal="right"/>
    </xf>
    <xf numFmtId="3" fontId="15" fillId="0" borderId="4" xfId="1" applyNumberFormat="1" applyFont="1" applyFill="1" applyBorder="1" applyAlignment="1">
      <alignment horizontal="right"/>
    </xf>
    <xf numFmtId="3" fontId="15" fillId="0" borderId="3" xfId="2" applyNumberFormat="1" applyFont="1" applyFill="1" applyBorder="1" applyAlignment="1">
      <alignment horizontal="right"/>
    </xf>
    <xf numFmtId="3" fontId="15" fillId="0" borderId="4" xfId="2" applyNumberFormat="1" applyFont="1" applyFill="1" applyBorder="1" applyAlignment="1">
      <alignment horizontal="right"/>
    </xf>
    <xf numFmtId="3" fontId="15" fillId="0" borderId="6" xfId="2" applyNumberFormat="1" applyFont="1" applyFill="1" applyBorder="1" applyAlignment="1">
      <alignment horizontal="right"/>
    </xf>
    <xf numFmtId="3" fontId="15" fillId="0" borderId="11" xfId="2" applyNumberFormat="1" applyFont="1" applyFill="1" applyBorder="1" applyAlignment="1">
      <alignment horizontal="right"/>
    </xf>
    <xf numFmtId="3" fontId="15" fillId="0" borderId="5" xfId="1" applyNumberFormat="1" applyFont="1" applyFill="1" applyBorder="1" applyAlignment="1">
      <alignment horizontal="right"/>
    </xf>
    <xf numFmtId="3" fontId="15" fillId="0" borderId="11" xfId="1" applyNumberFormat="1" applyFont="1" applyFill="1" applyBorder="1" applyAlignment="1">
      <alignment horizontal="right"/>
    </xf>
    <xf numFmtId="3" fontId="15" fillId="0" borderId="7" xfId="1" applyNumberFormat="1" applyFont="1" applyFill="1" applyBorder="1" applyAlignment="1">
      <alignment horizontal="right"/>
    </xf>
    <xf numFmtId="3" fontId="15" fillId="0" borderId="1" xfId="1" applyNumberFormat="1" applyFont="1" applyFill="1" applyBorder="1" applyAlignment="1">
      <alignment horizontal="right"/>
    </xf>
    <xf numFmtId="3" fontId="15" fillId="0" borderId="15" xfId="1" applyNumberFormat="1" applyFont="1" applyFill="1" applyBorder="1" applyAlignment="1">
      <alignment horizontal="right"/>
    </xf>
    <xf numFmtId="3" fontId="15" fillId="2" borderId="2" xfId="1" applyNumberFormat="1" applyFont="1" applyFill="1" applyBorder="1" applyAlignment="1">
      <alignment horizontal="right"/>
    </xf>
    <xf numFmtId="3" fontId="15" fillId="2" borderId="0" xfId="1" applyNumberFormat="1" applyFont="1" applyFill="1" applyBorder="1" applyAlignment="1">
      <alignment horizontal="right"/>
    </xf>
    <xf numFmtId="3" fontId="15" fillId="2" borderId="4" xfId="1" applyNumberFormat="1" applyFont="1" applyFill="1" applyBorder="1" applyAlignment="1">
      <alignment horizontal="right"/>
    </xf>
    <xf numFmtId="3" fontId="15" fillId="2" borderId="5" xfId="1" applyNumberFormat="1" applyFont="1" applyFill="1" applyBorder="1" applyAlignment="1">
      <alignment horizontal="right"/>
    </xf>
    <xf numFmtId="3" fontId="15" fillId="2" borderId="11" xfId="1" applyNumberFormat="1" applyFont="1" applyFill="1" applyBorder="1" applyAlignment="1">
      <alignment horizontal="right"/>
    </xf>
    <xf numFmtId="3" fontId="15" fillId="2" borderId="3" xfId="1" applyNumberFormat="1" applyFont="1" applyFill="1" applyBorder="1" applyAlignment="1">
      <alignment horizontal="right"/>
    </xf>
    <xf numFmtId="3" fontId="15" fillId="2" borderId="2" xfId="1" quotePrefix="1" applyNumberFormat="1" applyFont="1" applyFill="1" applyBorder="1" applyAlignment="1">
      <alignment horizontal="right"/>
    </xf>
    <xf numFmtId="3" fontId="15" fillId="2" borderId="6" xfId="1" applyNumberFormat="1" applyFont="1" applyFill="1" applyBorder="1" applyAlignment="1">
      <alignment horizontal="right"/>
    </xf>
    <xf numFmtId="14" fontId="16" fillId="0" borderId="10" xfId="1" applyNumberFormat="1" applyFont="1" applyBorder="1" applyAlignment="1"/>
    <xf numFmtId="0" fontId="0" fillId="0" borderId="8" xfId="0" applyBorder="1" applyAlignment="1"/>
    <xf numFmtId="3" fontId="15" fillId="0" borderId="4" xfId="1" quotePrefix="1" applyNumberFormat="1" applyFont="1" applyFill="1" applyBorder="1" applyAlignment="1">
      <alignment horizontal="right"/>
    </xf>
    <xf numFmtId="3" fontId="15" fillId="0" borderId="2" xfId="1" quotePrefix="1" applyNumberFormat="1" applyFont="1" applyFill="1" applyBorder="1" applyAlignment="1">
      <alignment horizontal="right"/>
    </xf>
    <xf numFmtId="0" fontId="56" fillId="0" borderId="0" xfId="1" applyFont="1" applyFill="1"/>
    <xf numFmtId="0" fontId="14" fillId="0" borderId="0" xfId="1" applyFont="1" applyFill="1" applyAlignment="1">
      <alignment horizontal="right" vertical="top"/>
    </xf>
    <xf numFmtId="0" fontId="14" fillId="0" borderId="0" xfId="1" applyFont="1" applyAlignment="1">
      <alignment vertical="top" wrapText="1"/>
    </xf>
    <xf numFmtId="0" fontId="14" fillId="0" borderId="0" xfId="1" applyFont="1" applyFill="1" applyAlignment="1">
      <alignment horizontal="right"/>
    </xf>
    <xf numFmtId="0" fontId="14" fillId="0" borderId="0" xfId="1" applyFont="1" applyFill="1" applyAlignment="1">
      <alignment vertical="top" wrapText="1"/>
    </xf>
    <xf numFmtId="0" fontId="23" fillId="0" borderId="0" xfId="1" applyFont="1" applyFill="1"/>
    <xf numFmtId="0" fontId="14" fillId="0" borderId="0" xfId="1" applyFont="1" applyFill="1" applyAlignment="1">
      <alignment wrapText="1"/>
    </xf>
    <xf numFmtId="0" fontId="13" fillId="0" borderId="0" xfId="1" applyFont="1" applyFill="1" applyAlignment="1">
      <alignment horizontal="left"/>
    </xf>
    <xf numFmtId="3" fontId="30" fillId="4" borderId="3" xfId="0" applyNumberFormat="1" applyFont="1" applyFill="1" applyBorder="1" applyAlignment="1" applyProtection="1">
      <alignment horizontal="right"/>
      <protection locked="0"/>
    </xf>
    <xf numFmtId="0" fontId="68" fillId="0" borderId="0" xfId="0" applyFont="1" applyAlignment="1">
      <alignment horizontal="left" vertical="center" readingOrder="1"/>
    </xf>
    <xf numFmtId="0" fontId="17" fillId="0" borderId="0" xfId="1" applyFont="1" applyFill="1" applyBorder="1" applyAlignment="1">
      <alignment horizontal="left"/>
    </xf>
    <xf numFmtId="0" fontId="70" fillId="0" borderId="0" xfId="1" applyFont="1" applyFill="1" applyAlignment="1">
      <alignment horizontal="left"/>
    </xf>
    <xf numFmtId="0" fontId="18" fillId="0" borderId="0" xfId="1" applyFont="1" applyFill="1"/>
    <xf numFmtId="0" fontId="64" fillId="0" borderId="0" xfId="0" applyFont="1" applyFill="1"/>
    <xf numFmtId="0" fontId="65" fillId="0" borderId="0" xfId="0" applyFont="1" applyFill="1"/>
    <xf numFmtId="0" fontId="42" fillId="0" borderId="0" xfId="0" applyFont="1" applyFill="1"/>
    <xf numFmtId="0" fontId="40" fillId="0" borderId="0" xfId="0" applyFont="1" applyFill="1"/>
    <xf numFmtId="0" fontId="38" fillId="0" borderId="0" xfId="0" applyFont="1" applyFill="1"/>
    <xf numFmtId="0" fontId="42" fillId="0" borderId="0" xfId="3" applyFont="1" applyFill="1" applyAlignment="1" applyProtection="1"/>
    <xf numFmtId="3" fontId="15" fillId="3" borderId="7" xfId="1" applyNumberFormat="1" applyFont="1" applyFill="1" applyBorder="1" applyAlignment="1">
      <alignment horizontal="right"/>
    </xf>
    <xf numFmtId="0" fontId="72" fillId="0" borderId="0" xfId="1" applyFont="1" applyBorder="1" applyAlignment="1">
      <alignment horizontal="left"/>
    </xf>
    <xf numFmtId="3" fontId="67" fillId="0" borderId="2" xfId="1" applyNumberFormat="1" applyFont="1" applyFill="1" applyBorder="1" applyAlignment="1">
      <alignment horizontal="right"/>
    </xf>
    <xf numFmtId="3" fontId="59" fillId="0" borderId="2" xfId="1" applyNumberFormat="1" applyFont="1" applyFill="1" applyBorder="1" applyAlignment="1">
      <alignment horizontal="right"/>
    </xf>
    <xf numFmtId="0" fontId="71" fillId="0" borderId="0" xfId="0" applyFont="1" applyFill="1" applyAlignment="1">
      <alignment horizontal="left" vertical="center" readingOrder="1"/>
    </xf>
    <xf numFmtId="3" fontId="13" fillId="0" borderId="12"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5" fillId="0" borderId="9" xfId="1" applyNumberFormat="1" applyFont="1" applyBorder="1" applyAlignment="1">
      <alignment horizontal="center"/>
    </xf>
    <xf numFmtId="165" fontId="30" fillId="0" borderId="3" xfId="0" applyNumberFormat="1" applyFont="1" applyBorder="1"/>
    <xf numFmtId="165" fontId="45" fillId="0" borderId="3" xfId="0" applyNumberFormat="1" applyFont="1" applyBorder="1"/>
    <xf numFmtId="165" fontId="30" fillId="0" borderId="3" xfId="0" applyNumberFormat="1" applyFont="1" applyFill="1" applyBorder="1"/>
    <xf numFmtId="165" fontId="45" fillId="0" borderId="6" xfId="0" applyNumberFormat="1" applyFont="1" applyBorder="1"/>
    <xf numFmtId="165" fontId="15" fillId="0" borderId="6" xfId="1" applyNumberFormat="1" applyFont="1" applyBorder="1" applyAlignment="1">
      <alignment horizontal="center"/>
    </xf>
    <xf numFmtId="165" fontId="17" fillId="3" borderId="0" xfId="1" applyNumberFormat="1" applyFont="1" applyFill="1" applyBorder="1" applyAlignment="1">
      <alignment horizontal="right"/>
    </xf>
    <xf numFmtId="165" fontId="17" fillId="3" borderId="5" xfId="1" applyNumberFormat="1" applyFont="1" applyFill="1" applyBorder="1" applyAlignment="1">
      <alignment horizontal="right"/>
    </xf>
    <xf numFmtId="0" fontId="17" fillId="0" borderId="4" xfId="1" applyFont="1" applyBorder="1"/>
    <xf numFmtId="0" fontId="15" fillId="0" borderId="0" xfId="1" applyFont="1" applyFill="1"/>
    <xf numFmtId="49" fontId="15" fillId="0" borderId="0" xfId="1" applyNumberFormat="1" applyFont="1" applyFill="1" applyBorder="1" applyAlignment="1">
      <alignment horizontal="right"/>
    </xf>
    <xf numFmtId="49" fontId="15" fillId="0" borderId="0" xfId="1" applyNumberFormat="1" applyFont="1" applyFill="1" applyBorder="1" applyAlignment="1">
      <alignment horizontal="center"/>
    </xf>
    <xf numFmtId="3" fontId="15" fillId="0" borderId="0" xfId="1" quotePrefix="1" applyNumberFormat="1" applyFont="1" applyFill="1" applyBorder="1" applyAlignment="1">
      <alignment horizontal="center"/>
    </xf>
    <xf numFmtId="168" fontId="15" fillId="3" borderId="7" xfId="1" applyNumberFormat="1" applyFont="1" applyFill="1" applyBorder="1" applyAlignment="1">
      <alignment horizontal="right"/>
    </xf>
    <xf numFmtId="168" fontId="15" fillId="3" borderId="3" xfId="1" applyNumberFormat="1" applyFont="1" applyFill="1" applyBorder="1" applyAlignment="1">
      <alignment horizontal="right"/>
    </xf>
    <xf numFmtId="168" fontId="15" fillId="3" borderId="6" xfId="1" applyNumberFormat="1" applyFont="1" applyFill="1" applyBorder="1" applyAlignment="1">
      <alignment horizontal="right"/>
    </xf>
    <xf numFmtId="3" fontId="15" fillId="3" borderId="0" xfId="1" applyNumberFormat="1" applyFont="1" applyFill="1" applyBorder="1" applyAlignment="1">
      <alignment horizontal="right"/>
    </xf>
    <xf numFmtId="3" fontId="15" fillId="3" borderId="1" xfId="1" applyNumberFormat="1" applyFont="1" applyFill="1" applyBorder="1" applyAlignment="1">
      <alignment horizontal="right"/>
    </xf>
    <xf numFmtId="3" fontId="15" fillId="3" borderId="4" xfId="1" applyNumberFormat="1" applyFont="1" applyFill="1" applyBorder="1" applyAlignment="1">
      <alignment horizontal="right"/>
    </xf>
    <xf numFmtId="3" fontId="15" fillId="3" borderId="11" xfId="1" applyNumberFormat="1" applyFont="1" applyFill="1" applyBorder="1" applyAlignment="1">
      <alignment horizontal="right"/>
    </xf>
    <xf numFmtId="165" fontId="15" fillId="3" borderId="0" xfId="1" applyNumberFormat="1" applyFont="1" applyFill="1" applyBorder="1" applyAlignment="1">
      <alignment horizontal="right"/>
    </xf>
    <xf numFmtId="0" fontId="13" fillId="0" borderId="0" xfId="1" applyFont="1" applyBorder="1" applyAlignment="1">
      <alignment horizontal="center"/>
    </xf>
    <xf numFmtId="3" fontId="60" fillId="4" borderId="3" xfId="0" applyNumberFormat="1" applyFont="1" applyFill="1" applyBorder="1" applyAlignment="1" applyProtection="1">
      <alignment horizontal="right"/>
      <protection locked="0"/>
    </xf>
    <xf numFmtId="3" fontId="30" fillId="4" borderId="4" xfId="0" applyNumberFormat="1" applyFont="1" applyFill="1" applyBorder="1" applyAlignment="1" applyProtection="1">
      <alignment horizontal="right"/>
      <protection locked="0"/>
    </xf>
    <xf numFmtId="3" fontId="30" fillId="4" borderId="4" xfId="847" applyNumberFormat="1" applyFont="1" applyFill="1" applyBorder="1" applyAlignment="1" applyProtection="1">
      <alignment horizontal="right"/>
      <protection locked="0"/>
    </xf>
    <xf numFmtId="3" fontId="30" fillId="4" borderId="4" xfId="0" applyNumberFormat="1" applyFont="1" applyFill="1" applyBorder="1" applyAlignment="1" applyProtection="1">
      <alignment horizontal="right"/>
    </xf>
    <xf numFmtId="3" fontId="45" fillId="4" borderId="3" xfId="0" applyNumberFormat="1" applyFont="1" applyFill="1" applyBorder="1" applyAlignment="1" applyProtection="1">
      <alignment horizontal="right"/>
      <protection locked="0"/>
    </xf>
    <xf numFmtId="3" fontId="45" fillId="0" borderId="3" xfId="0" applyNumberFormat="1" applyFont="1" applyBorder="1" applyAlignment="1" applyProtection="1">
      <alignment horizontal="right"/>
      <protection locked="0"/>
    </xf>
    <xf numFmtId="3" fontId="45" fillId="0" borderId="3" xfId="0" applyNumberFormat="1" applyFont="1" applyFill="1" applyBorder="1" applyAlignment="1" applyProtection="1">
      <alignment horizontal="right"/>
      <protection locked="0"/>
    </xf>
    <xf numFmtId="3" fontId="30" fillId="0" borderId="4" xfId="7" applyNumberFormat="1" applyFont="1" applyFill="1" applyBorder="1" applyAlignment="1" applyProtection="1">
      <alignment horizontal="right"/>
    </xf>
    <xf numFmtId="3" fontId="30" fillId="0" borderId="4" xfId="0" applyNumberFormat="1" applyFont="1" applyFill="1" applyBorder="1" applyAlignment="1" applyProtection="1">
      <alignment horizontal="right"/>
      <protection locked="0"/>
    </xf>
    <xf numFmtId="3" fontId="30" fillId="0" borderId="3" xfId="0" applyNumberFormat="1" applyFont="1" applyFill="1" applyBorder="1" applyAlignment="1" applyProtection="1">
      <alignment horizontal="right"/>
      <protection locked="0"/>
    </xf>
    <xf numFmtId="3" fontId="30" fillId="0" borderId="4" xfId="0" applyNumberFormat="1" applyFont="1" applyFill="1" applyBorder="1" applyAlignment="1" applyProtection="1">
      <alignment horizontal="right"/>
    </xf>
    <xf numFmtId="3" fontId="30" fillId="0" borderId="3" xfId="845" applyNumberFormat="1" applyFont="1" applyFill="1" applyBorder="1" applyAlignment="1" applyProtection="1">
      <alignment horizontal="right"/>
      <protection locked="0"/>
    </xf>
    <xf numFmtId="3" fontId="30" fillId="0" borderId="3" xfId="0" applyNumberFormat="1" applyFont="1" applyBorder="1" applyAlignment="1" applyProtection="1">
      <alignment horizontal="right"/>
      <protection locked="0"/>
    </xf>
    <xf numFmtId="3" fontId="30" fillId="4" borderId="3" xfId="845" applyNumberFormat="1" applyFont="1" applyFill="1" applyBorder="1" applyAlignment="1" applyProtection="1">
      <alignment horizontal="right"/>
      <protection locked="0"/>
    </xf>
    <xf numFmtId="3" fontId="45" fillId="4" borderId="4" xfId="0" applyNumberFormat="1" applyFont="1" applyFill="1" applyBorder="1" applyAlignment="1" applyProtection="1">
      <alignment horizontal="right"/>
      <protection locked="0"/>
    </xf>
    <xf numFmtId="3" fontId="45" fillId="4" borderId="4" xfId="0" applyNumberFormat="1" applyFont="1" applyFill="1" applyBorder="1" applyAlignment="1" applyProtection="1">
      <alignment horizontal="right"/>
    </xf>
    <xf numFmtId="3" fontId="45" fillId="4" borderId="3" xfId="845" applyNumberFormat="1" applyFont="1" applyFill="1" applyBorder="1" applyAlignment="1" applyProtection="1">
      <alignment horizontal="right"/>
      <protection locked="0"/>
    </xf>
    <xf numFmtId="3" fontId="45" fillId="0" borderId="4" xfId="0" applyNumberFormat="1" applyFont="1" applyFill="1" applyBorder="1" applyAlignment="1" applyProtection="1">
      <alignment horizontal="right"/>
    </xf>
    <xf numFmtId="3" fontId="45" fillId="0" borderId="6" xfId="0" applyNumberFormat="1" applyFont="1" applyBorder="1" applyAlignment="1" applyProtection="1">
      <alignment horizontal="right"/>
      <protection locked="0"/>
    </xf>
    <xf numFmtId="3" fontId="45" fillId="4" borderId="6" xfId="0" applyNumberFormat="1" applyFont="1" applyFill="1" applyBorder="1" applyAlignment="1" applyProtection="1">
      <alignment horizontal="right"/>
      <protection locked="0"/>
    </xf>
    <xf numFmtId="3" fontId="45" fillId="4" borderId="11" xfId="0" applyNumberFormat="1" applyFont="1" applyFill="1" applyBorder="1" applyAlignment="1" applyProtection="1">
      <alignment horizontal="right"/>
    </xf>
    <xf numFmtId="3" fontId="45" fillId="0" borderId="11" xfId="0" applyNumberFormat="1" applyFont="1" applyFill="1" applyBorder="1" applyAlignment="1" applyProtection="1">
      <alignment horizontal="right"/>
    </xf>
    <xf numFmtId="3" fontId="45" fillId="4" borderId="6" xfId="845" applyNumberFormat="1" applyFont="1" applyFill="1" applyBorder="1" applyAlignment="1" applyProtection="1">
      <alignment horizontal="right"/>
      <protection locked="0"/>
    </xf>
    <xf numFmtId="3" fontId="50" fillId="4" borderId="11" xfId="0" applyNumberFormat="1" applyFont="1" applyFill="1" applyBorder="1" applyProtection="1">
      <protection locked="0"/>
    </xf>
    <xf numFmtId="169" fontId="15" fillId="0" borderId="6" xfId="0" applyNumberFormat="1" applyFont="1" applyFill="1" applyBorder="1" applyAlignment="1" applyProtection="1">
      <alignment horizontal="center"/>
      <protection locked="0"/>
    </xf>
    <xf numFmtId="3" fontId="60" fillId="4" borderId="4" xfId="0" applyNumberFormat="1" applyFont="1" applyFill="1" applyBorder="1" applyProtection="1">
      <protection locked="0"/>
    </xf>
    <xf numFmtId="0" fontId="45" fillId="0" borderId="4" xfId="0" applyFont="1" applyFill="1" applyBorder="1" applyProtection="1">
      <protection locked="0"/>
    </xf>
    <xf numFmtId="3" fontId="45" fillId="4" borderId="4" xfId="0" applyNumberFormat="1" applyFont="1" applyFill="1" applyBorder="1" applyProtection="1">
      <protection locked="0"/>
    </xf>
    <xf numFmtId="0" fontId="30" fillId="0" borderId="4" xfId="0" applyFont="1" applyFill="1" applyBorder="1" applyProtection="1">
      <protection locked="0"/>
    </xf>
    <xf numFmtId="0" fontId="30" fillId="0" borderId="3" xfId="0" applyFont="1" applyFill="1" applyBorder="1" applyProtection="1">
      <protection locked="0"/>
    </xf>
    <xf numFmtId="0" fontId="19" fillId="0" borderId="3" xfId="0" applyFont="1" applyFill="1" applyBorder="1" applyProtection="1">
      <protection locked="0"/>
    </xf>
    <xf numFmtId="0" fontId="45" fillId="0" borderId="11" xfId="0" applyFont="1" applyFill="1" applyBorder="1" applyProtection="1">
      <protection locked="0"/>
    </xf>
    <xf numFmtId="0" fontId="30" fillId="0" borderId="0" xfId="0" applyFont="1" applyProtection="1">
      <protection locked="0"/>
    </xf>
    <xf numFmtId="0" fontId="0" fillId="0" borderId="0" xfId="0" applyProtection="1">
      <protection locked="0"/>
    </xf>
    <xf numFmtId="0" fontId="19" fillId="0" borderId="0" xfId="0" applyFont="1" applyProtection="1">
      <protection locked="0"/>
    </xf>
    <xf numFmtId="3" fontId="30" fillId="0" borderId="0" xfId="0" applyNumberFormat="1" applyFont="1" applyBorder="1" applyProtection="1">
      <protection locked="0"/>
    </xf>
    <xf numFmtId="0" fontId="61" fillId="0" borderId="0" xfId="0" applyFont="1" applyProtection="1">
      <protection locked="0"/>
    </xf>
    <xf numFmtId="3" fontId="62" fillId="0" borderId="0" xfId="0" applyNumberFormat="1" applyFont="1" applyBorder="1" applyProtection="1">
      <protection locked="0"/>
    </xf>
    <xf numFmtId="0" fontId="41" fillId="0" borderId="0" xfId="0" applyFont="1" applyProtection="1">
      <protection locked="0"/>
    </xf>
    <xf numFmtId="0" fontId="17" fillId="0" borderId="0" xfId="3" applyFont="1" applyFill="1" applyAlignment="1" applyProtection="1">
      <protection locked="0"/>
    </xf>
    <xf numFmtId="0" fontId="57" fillId="0" borderId="0" xfId="0" applyFont="1" applyProtection="1">
      <protection locked="0"/>
    </xf>
    <xf numFmtId="165" fontId="0" fillId="0" borderId="0" xfId="0" applyNumberFormat="1" applyProtection="1">
      <protection locked="0"/>
    </xf>
    <xf numFmtId="3" fontId="58" fillId="4" borderId="12" xfId="0" applyNumberFormat="1" applyFont="1" applyFill="1" applyBorder="1" applyProtection="1">
      <protection locked="0"/>
    </xf>
    <xf numFmtId="3" fontId="59" fillId="4" borderId="0" xfId="0" applyNumberFormat="1" applyFont="1" applyFill="1" applyBorder="1" applyProtection="1">
      <protection locked="0"/>
    </xf>
    <xf numFmtId="165" fontId="0" fillId="0" borderId="0" xfId="0" applyNumberFormat="1" applyBorder="1" applyProtection="1">
      <protection locked="0"/>
    </xf>
    <xf numFmtId="14" fontId="13" fillId="0" borderId="7" xfId="0" applyNumberFormat="1" applyFont="1" applyFill="1" applyBorder="1" applyAlignment="1" applyProtection="1">
      <alignment horizontal="left"/>
      <protection locked="0"/>
    </xf>
    <xf numFmtId="3" fontId="13" fillId="0" borderId="8" xfId="0" quotePrefix="1" applyNumberFormat="1" applyFont="1" applyFill="1" applyBorder="1" applyProtection="1">
      <protection locked="0"/>
    </xf>
    <xf numFmtId="3" fontId="13" fillId="0" borderId="9" xfId="0" quotePrefix="1" applyNumberFormat="1" applyFont="1" applyFill="1" applyBorder="1" applyProtection="1">
      <protection locked="0"/>
    </xf>
    <xf numFmtId="3" fontId="13" fillId="0" borderId="10" xfId="0" quotePrefix="1" applyNumberFormat="1" applyFont="1" applyFill="1" applyBorder="1" applyProtection="1">
      <protection locked="0"/>
    </xf>
    <xf numFmtId="0" fontId="17" fillId="0" borderId="8" xfId="0" applyFont="1" applyBorder="1" applyProtection="1">
      <protection locked="0"/>
    </xf>
    <xf numFmtId="0" fontId="17" fillId="0" borderId="10" xfId="0" applyFont="1" applyBorder="1" applyProtection="1">
      <protection locked="0"/>
    </xf>
    <xf numFmtId="0" fontId="17" fillId="0" borderId="9" xfId="0" applyFont="1" applyBorder="1" applyProtection="1">
      <protection locked="0"/>
    </xf>
    <xf numFmtId="165" fontId="17" fillId="4" borderId="0" xfId="0" applyNumberFormat="1" applyFont="1" applyFill="1" applyBorder="1" applyProtection="1">
      <protection locked="0"/>
    </xf>
    <xf numFmtId="0" fontId="17" fillId="4" borderId="0" xfId="0" applyFont="1" applyFill="1" applyBorder="1" applyProtection="1">
      <protection locked="0"/>
    </xf>
    <xf numFmtId="3" fontId="45" fillId="0" borderId="1" xfId="0" applyNumberFormat="1" applyFont="1" applyFill="1" applyBorder="1" applyProtection="1">
      <protection locked="0"/>
    </xf>
    <xf numFmtId="0" fontId="0" fillId="0" borderId="0" xfId="0" applyBorder="1" applyProtection="1">
      <protection locked="0"/>
    </xf>
    <xf numFmtId="0" fontId="45" fillId="4" borderId="0" xfId="0" applyNumberFormat="1" applyFont="1" applyFill="1" applyBorder="1" applyAlignment="1" applyProtection="1">
      <alignment horizontal="center"/>
      <protection locked="0"/>
    </xf>
    <xf numFmtId="3" fontId="45" fillId="0" borderId="4" xfId="0" applyNumberFormat="1" applyFont="1" applyFill="1" applyBorder="1" applyProtection="1">
      <protection locked="0"/>
    </xf>
    <xf numFmtId="0" fontId="15" fillId="0" borderId="7" xfId="0" applyNumberFormat="1" applyFont="1" applyFill="1" applyBorder="1" applyAlignment="1" applyProtection="1">
      <alignment horizontal="center"/>
      <protection locked="0"/>
    </xf>
    <xf numFmtId="169" fontId="13" fillId="4" borderId="0" xfId="0" applyNumberFormat="1" applyFont="1" applyFill="1" applyBorder="1" applyAlignment="1" applyProtection="1">
      <alignment horizontal="center"/>
      <protection locked="0"/>
    </xf>
    <xf numFmtId="0" fontId="13" fillId="4" borderId="0" xfId="0" applyNumberFormat="1" applyFont="1" applyFill="1" applyBorder="1" applyAlignment="1" applyProtection="1">
      <alignment horizontal="center"/>
      <protection locked="0"/>
    </xf>
    <xf numFmtId="0" fontId="19" fillId="0" borderId="0" xfId="0" applyFont="1" applyBorder="1" applyProtection="1">
      <protection locked="0"/>
    </xf>
    <xf numFmtId="0" fontId="19" fillId="0" borderId="0" xfId="0" applyFont="1" applyFill="1" applyBorder="1" applyProtection="1">
      <protection locked="0"/>
    </xf>
    <xf numFmtId="0" fontId="19" fillId="0" borderId="0" xfId="0" applyFont="1" applyFill="1" applyProtection="1">
      <protection locked="0"/>
    </xf>
    <xf numFmtId="3" fontId="19" fillId="0" borderId="0" xfId="0" applyNumberFormat="1" applyFont="1" applyFill="1" applyProtection="1">
      <protection locked="0"/>
    </xf>
    <xf numFmtId="3" fontId="19" fillId="0" borderId="0" xfId="0" applyNumberFormat="1" applyFont="1" applyProtection="1">
      <protection locked="0"/>
    </xf>
    <xf numFmtId="3" fontId="19" fillId="0" borderId="0" xfId="0" applyNumberFormat="1" applyFont="1" applyBorder="1" applyProtection="1">
      <protection locked="0"/>
    </xf>
    <xf numFmtId="0" fontId="49" fillId="0" borderId="0" xfId="0" applyFont="1" applyBorder="1" applyProtection="1">
      <protection locked="0"/>
    </xf>
    <xf numFmtId="3" fontId="49" fillId="0" borderId="0" xfId="0" applyNumberFormat="1" applyFont="1" applyProtection="1">
      <protection locked="0"/>
    </xf>
    <xf numFmtId="0" fontId="49" fillId="0" borderId="0" xfId="0" applyFont="1" applyProtection="1">
      <protection locked="0"/>
    </xf>
    <xf numFmtId="0" fontId="61" fillId="0" borderId="0" xfId="0" applyFont="1" applyBorder="1" applyProtection="1">
      <protection locked="0"/>
    </xf>
    <xf numFmtId="0" fontId="14" fillId="0" borderId="0" xfId="0" applyFont="1" applyProtection="1">
      <protection locked="0"/>
    </xf>
    <xf numFmtId="0" fontId="63" fillId="0" borderId="0" xfId="0" applyFont="1" applyProtection="1">
      <protection locked="0"/>
    </xf>
    <xf numFmtId="0" fontId="41" fillId="0" borderId="0" xfId="1" applyFont="1" applyProtection="1">
      <protection locked="0"/>
    </xf>
    <xf numFmtId="0" fontId="57" fillId="0" borderId="0" xfId="1" applyFont="1" applyProtection="1">
      <protection locked="0"/>
    </xf>
    <xf numFmtId="0" fontId="19" fillId="0" borderId="0" xfId="1" applyProtection="1">
      <protection locked="0"/>
    </xf>
    <xf numFmtId="0" fontId="19" fillId="0" borderId="0" xfId="1" applyFont="1" applyProtection="1">
      <protection locked="0"/>
    </xf>
    <xf numFmtId="3" fontId="45" fillId="4" borderId="0" xfId="1" applyNumberFormat="1" applyFont="1" applyFill="1" applyProtection="1">
      <protection locked="0"/>
    </xf>
    <xf numFmtId="3" fontId="15" fillId="4" borderId="0" xfId="1" applyNumberFormat="1" applyFont="1" applyFill="1" applyProtection="1">
      <protection locked="0"/>
    </xf>
    <xf numFmtId="14" fontId="13" fillId="0" borderId="7" xfId="1" applyNumberFormat="1" applyFont="1" applyFill="1" applyBorder="1" applyAlignment="1" applyProtection="1">
      <alignment horizontal="left"/>
      <protection locked="0"/>
    </xf>
    <xf numFmtId="3" fontId="13" fillId="0" borderId="8" xfId="1" quotePrefix="1" applyNumberFormat="1" applyFont="1" applyFill="1" applyBorder="1" applyAlignment="1" applyProtection="1">
      <alignment horizontal="center"/>
      <protection locked="0"/>
    </xf>
    <xf numFmtId="3" fontId="13" fillId="0" borderId="9" xfId="1" quotePrefix="1" applyNumberFormat="1" applyFont="1" applyFill="1" applyBorder="1" applyAlignment="1" applyProtection="1">
      <alignment horizontal="center"/>
      <protection locked="0"/>
    </xf>
    <xf numFmtId="3" fontId="13" fillId="0" borderId="10" xfId="1" quotePrefix="1" applyNumberFormat="1" applyFont="1" applyFill="1" applyBorder="1" applyAlignment="1" applyProtection="1">
      <alignment horizontal="center"/>
      <protection locked="0"/>
    </xf>
    <xf numFmtId="0" fontId="17" fillId="0" borderId="8" xfId="1" applyFont="1" applyBorder="1" applyProtection="1">
      <protection locked="0"/>
    </xf>
    <xf numFmtId="0" fontId="17" fillId="0" borderId="10" xfId="1" applyFont="1" applyBorder="1" applyProtection="1">
      <protection locked="0"/>
    </xf>
    <xf numFmtId="0" fontId="17" fillId="0" borderId="9" xfId="1" applyFont="1" applyBorder="1" applyProtection="1">
      <protection locked="0"/>
    </xf>
    <xf numFmtId="0" fontId="17" fillId="4" borderId="10" xfId="1" applyFont="1" applyFill="1" applyBorder="1" applyProtection="1">
      <protection locked="0"/>
    </xf>
    <xf numFmtId="0" fontId="17" fillId="4" borderId="8" xfId="1" applyFont="1" applyFill="1" applyBorder="1" applyProtection="1">
      <protection locked="0"/>
    </xf>
    <xf numFmtId="0" fontId="17" fillId="4" borderId="9" xfId="1" applyFont="1" applyFill="1" applyBorder="1" applyProtection="1">
      <protection locked="0"/>
    </xf>
    <xf numFmtId="0" fontId="19" fillId="0" borderId="9" xfId="1" applyFont="1" applyBorder="1" applyProtection="1">
      <protection locked="0"/>
    </xf>
    <xf numFmtId="3" fontId="45" fillId="0" borderId="1" xfId="1" applyNumberFormat="1" applyFont="1" applyFill="1" applyBorder="1" applyProtection="1">
      <protection locked="0"/>
    </xf>
    <xf numFmtId="3" fontId="45" fillId="0" borderId="4" xfId="1" applyNumberFormat="1" applyFont="1" applyFill="1" applyBorder="1" applyProtection="1">
      <protection locked="0"/>
    </xf>
    <xf numFmtId="0" fontId="15" fillId="0" borderId="7" xfId="1" applyNumberFormat="1" applyFont="1" applyFill="1" applyBorder="1" applyAlignment="1" applyProtection="1">
      <alignment horizontal="center"/>
      <protection locked="0"/>
    </xf>
    <xf numFmtId="3" fontId="50" fillId="4" borderId="6" xfId="1" applyNumberFormat="1" applyFont="1" applyFill="1" applyBorder="1" applyProtection="1">
      <protection locked="0"/>
    </xf>
    <xf numFmtId="169" fontId="15" fillId="0" borderId="6" xfId="1" applyNumberFormat="1" applyFont="1" applyFill="1" applyBorder="1" applyAlignment="1" applyProtection="1">
      <alignment horizontal="center"/>
      <protection locked="0"/>
    </xf>
    <xf numFmtId="3" fontId="30" fillId="4" borderId="1" xfId="1" applyNumberFormat="1" applyFont="1" applyFill="1" applyBorder="1" applyAlignment="1" applyProtection="1">
      <alignment horizontal="right"/>
      <protection locked="0"/>
    </xf>
    <xf numFmtId="3" fontId="30" fillId="4" borderId="7" xfId="1" applyNumberFormat="1" applyFont="1" applyFill="1" applyBorder="1" applyAlignment="1" applyProtection="1">
      <alignment horizontal="right"/>
      <protection locked="0"/>
    </xf>
    <xf numFmtId="3" fontId="30" fillId="4" borderId="1" xfId="15" applyNumberFormat="1" applyFont="1" applyFill="1" applyBorder="1" applyAlignment="1" applyProtection="1">
      <alignment horizontal="right"/>
      <protection locked="0"/>
    </xf>
    <xf numFmtId="0" fontId="30" fillId="4" borderId="7" xfId="1" applyFont="1" applyFill="1" applyBorder="1" applyAlignment="1" applyProtection="1">
      <alignment horizontal="right"/>
      <protection locked="0"/>
    </xf>
    <xf numFmtId="0" fontId="30" fillId="0" borderId="4" xfId="1" applyFont="1" applyFill="1" applyBorder="1" applyProtection="1">
      <protection locked="0"/>
    </xf>
    <xf numFmtId="3" fontId="30" fillId="4" borderId="4" xfId="1" applyNumberFormat="1" applyFont="1" applyFill="1" applyBorder="1" applyAlignment="1" applyProtection="1">
      <alignment horizontal="right"/>
      <protection locked="0"/>
    </xf>
    <xf numFmtId="3" fontId="30" fillId="4" borderId="3" xfId="1" applyNumberFormat="1" applyFont="1" applyFill="1" applyBorder="1" applyAlignment="1" applyProtection="1">
      <alignment horizontal="right"/>
      <protection locked="0"/>
    </xf>
    <xf numFmtId="3" fontId="30" fillId="4" borderId="4" xfId="15" applyNumberFormat="1" applyFont="1" applyFill="1" applyBorder="1" applyAlignment="1" applyProtection="1">
      <alignment horizontal="right"/>
      <protection locked="0"/>
    </xf>
    <xf numFmtId="3" fontId="30" fillId="4" borderId="3" xfId="1" applyNumberFormat="1" applyFont="1" applyFill="1" applyBorder="1" applyAlignment="1" applyProtection="1">
      <alignment horizontal="right"/>
    </xf>
    <xf numFmtId="0" fontId="30" fillId="4" borderId="3" xfId="1" applyFont="1" applyFill="1" applyBorder="1" applyAlignment="1" applyProtection="1">
      <alignment horizontal="right"/>
      <protection locked="0"/>
    </xf>
    <xf numFmtId="3" fontId="30" fillId="0" borderId="3" xfId="1" applyNumberFormat="1" applyFont="1" applyFill="1" applyBorder="1" applyAlignment="1" applyProtection="1">
      <alignment horizontal="right"/>
      <protection locked="0"/>
    </xf>
    <xf numFmtId="0" fontId="30" fillId="0" borderId="3" xfId="1" applyFont="1" applyBorder="1" applyAlignment="1" applyProtection="1">
      <alignment horizontal="right"/>
      <protection locked="0"/>
    </xf>
    <xf numFmtId="166" fontId="30" fillId="0" borderId="3" xfId="847" applyNumberFormat="1" applyFont="1" applyBorder="1" applyAlignment="1" applyProtection="1">
      <alignment horizontal="right"/>
      <protection locked="0"/>
    </xf>
    <xf numFmtId="3" fontId="30" fillId="9" borderId="3" xfId="1" applyNumberFormat="1" applyFont="1" applyFill="1" applyBorder="1" applyAlignment="1" applyProtection="1">
      <alignment horizontal="right"/>
      <protection locked="0"/>
    </xf>
    <xf numFmtId="170" fontId="30" fillId="0" borderId="3" xfId="847" applyNumberFormat="1" applyFont="1" applyBorder="1" applyAlignment="1" applyProtection="1">
      <alignment horizontal="right"/>
      <protection locked="0"/>
    </xf>
    <xf numFmtId="0" fontId="30" fillId="0" borderId="3" xfId="1" applyFont="1" applyFill="1" applyBorder="1" applyAlignment="1" applyProtection="1">
      <alignment horizontal="right"/>
      <protection locked="0"/>
    </xf>
    <xf numFmtId="166" fontId="30" fillId="4" borderId="4" xfId="847" applyNumberFormat="1" applyFont="1" applyFill="1" applyBorder="1" applyAlignment="1" applyProtection="1">
      <alignment horizontal="right"/>
      <protection locked="0"/>
    </xf>
    <xf numFmtId="166" fontId="30" fillId="4" borderId="3" xfId="847" applyNumberFormat="1" applyFont="1" applyFill="1" applyBorder="1" applyAlignment="1" applyProtection="1">
      <alignment horizontal="right"/>
      <protection locked="0"/>
    </xf>
    <xf numFmtId="0" fontId="19" fillId="0" borderId="0" xfId="1" applyFont="1" applyFill="1" applyProtection="1">
      <protection locked="0"/>
    </xf>
    <xf numFmtId="0" fontId="45" fillId="0" borderId="11" xfId="1" applyFont="1" applyFill="1" applyBorder="1" applyProtection="1">
      <protection locked="0"/>
    </xf>
    <xf numFmtId="3" fontId="45" fillId="4" borderId="6" xfId="1" applyNumberFormat="1" applyFont="1" applyFill="1" applyBorder="1" applyAlignment="1" applyProtection="1">
      <alignment horizontal="right"/>
      <protection locked="0"/>
    </xf>
    <xf numFmtId="0" fontId="49" fillId="0" borderId="0" xfId="1" applyFont="1" applyProtection="1">
      <protection locked="0"/>
    </xf>
    <xf numFmtId="0" fontId="45" fillId="0" borderId="4" xfId="1" applyFont="1" applyFill="1" applyBorder="1" applyProtection="1">
      <protection locked="0"/>
    </xf>
    <xf numFmtId="3" fontId="45" fillId="4" borderId="4" xfId="15" applyNumberFormat="1" applyFont="1" applyFill="1" applyBorder="1" applyAlignment="1" applyProtection="1">
      <alignment horizontal="right"/>
      <protection locked="0"/>
    </xf>
    <xf numFmtId="3" fontId="45" fillId="4" borderId="3" xfId="1" applyNumberFormat="1" applyFont="1" applyFill="1" applyBorder="1" applyAlignment="1" applyProtection="1">
      <alignment horizontal="right"/>
      <protection locked="0"/>
    </xf>
    <xf numFmtId="3" fontId="45" fillId="4" borderId="7" xfId="1" applyNumberFormat="1" applyFont="1" applyFill="1" applyBorder="1" applyAlignment="1" applyProtection="1">
      <alignment horizontal="right"/>
      <protection locked="0"/>
    </xf>
    <xf numFmtId="0" fontId="45" fillId="4" borderId="7" xfId="1" applyFont="1" applyFill="1" applyBorder="1" applyAlignment="1" applyProtection="1">
      <alignment horizontal="right"/>
      <protection locked="0"/>
    </xf>
    <xf numFmtId="0" fontId="45" fillId="4" borderId="15" xfId="1" applyFont="1" applyFill="1" applyBorder="1" applyAlignment="1" applyProtection="1">
      <alignment horizontal="right"/>
      <protection locked="0"/>
    </xf>
    <xf numFmtId="0" fontId="49" fillId="0" borderId="7" xfId="1" applyFont="1" applyBorder="1" applyAlignment="1" applyProtection="1">
      <alignment horizontal="right"/>
      <protection locked="0"/>
    </xf>
    <xf numFmtId="0" fontId="45" fillId="4" borderId="3" xfId="1" applyFont="1" applyFill="1" applyBorder="1" applyAlignment="1" applyProtection="1">
      <alignment horizontal="right"/>
      <protection locked="0"/>
    </xf>
    <xf numFmtId="0" fontId="45" fillId="4" borderId="2" xfId="1" applyFont="1" applyFill="1" applyBorder="1" applyAlignment="1" applyProtection="1">
      <alignment horizontal="right"/>
      <protection locked="0"/>
    </xf>
    <xf numFmtId="0" fontId="49" fillId="0" borderId="3" xfId="1" applyFont="1" applyBorder="1" applyAlignment="1" applyProtection="1">
      <alignment horizontal="right"/>
      <protection locked="0"/>
    </xf>
    <xf numFmtId="0" fontId="30" fillId="4" borderId="2" xfId="1" applyFont="1" applyFill="1" applyBorder="1" applyAlignment="1" applyProtection="1">
      <alignment horizontal="right"/>
      <protection locked="0"/>
    </xf>
    <xf numFmtId="0" fontId="30" fillId="0" borderId="0" xfId="1" applyFont="1" applyProtection="1">
      <protection locked="0"/>
    </xf>
    <xf numFmtId="3" fontId="30" fillId="4" borderId="2" xfId="1" applyNumberFormat="1" applyFont="1" applyFill="1" applyBorder="1" applyAlignment="1" applyProtection="1">
      <alignment horizontal="right"/>
      <protection locked="0"/>
    </xf>
    <xf numFmtId="3" fontId="45" fillId="4" borderId="2" xfId="1" applyNumberFormat="1" applyFont="1" applyFill="1" applyBorder="1" applyAlignment="1" applyProtection="1">
      <alignment horizontal="right"/>
      <protection locked="0"/>
    </xf>
    <xf numFmtId="0" fontId="45" fillId="0" borderId="0" xfId="1" applyFont="1" applyProtection="1">
      <protection locked="0"/>
    </xf>
    <xf numFmtId="3" fontId="45" fillId="4" borderId="11" xfId="15" applyNumberFormat="1" applyFont="1" applyFill="1" applyBorder="1" applyAlignment="1" applyProtection="1">
      <alignment horizontal="right"/>
      <protection locked="0"/>
    </xf>
    <xf numFmtId="0" fontId="45" fillId="4" borderId="6" xfId="1" applyFont="1" applyFill="1" applyBorder="1" applyAlignment="1" applyProtection="1">
      <alignment horizontal="right"/>
      <protection locked="0"/>
    </xf>
    <xf numFmtId="0" fontId="45" fillId="4" borderId="5" xfId="1" applyFont="1" applyFill="1" applyBorder="1" applyAlignment="1" applyProtection="1">
      <alignment horizontal="right"/>
      <protection locked="0"/>
    </xf>
    <xf numFmtId="0" fontId="45" fillId="0" borderId="6" xfId="1" applyFont="1" applyBorder="1" applyAlignment="1" applyProtection="1">
      <alignment horizontal="right"/>
      <protection locked="0"/>
    </xf>
    <xf numFmtId="0" fontId="45" fillId="0" borderId="7" xfId="1" applyFont="1" applyFill="1" applyBorder="1" applyProtection="1">
      <protection locked="0"/>
    </xf>
    <xf numFmtId="3" fontId="45" fillId="4" borderId="1" xfId="14" applyNumberFormat="1" applyFont="1" applyFill="1" applyBorder="1" applyAlignment="1" applyProtection="1">
      <alignment horizontal="right"/>
      <protection locked="0"/>
    </xf>
    <xf numFmtId="3" fontId="45" fillId="4" borderId="1" xfId="1" applyNumberFormat="1" applyFont="1" applyFill="1" applyBorder="1" applyAlignment="1" applyProtection="1">
      <alignment horizontal="right"/>
      <protection locked="0"/>
    </xf>
    <xf numFmtId="0" fontId="45" fillId="4" borderId="1" xfId="1" applyFont="1" applyFill="1" applyBorder="1" applyAlignment="1" applyProtection="1">
      <alignment horizontal="right"/>
      <protection locked="0"/>
    </xf>
    <xf numFmtId="0" fontId="45" fillId="0" borderId="7" xfId="1" applyFont="1" applyBorder="1" applyAlignment="1" applyProtection="1">
      <alignment horizontal="right"/>
      <protection locked="0"/>
    </xf>
    <xf numFmtId="0" fontId="30" fillId="0" borderId="3" xfId="1" applyFont="1" applyFill="1" applyBorder="1" applyProtection="1">
      <protection locked="0"/>
    </xf>
    <xf numFmtId="0" fontId="45" fillId="0" borderId="0" xfId="1" applyFont="1" applyFill="1" applyProtection="1">
      <protection locked="0"/>
    </xf>
    <xf numFmtId="0" fontId="30" fillId="0" borderId="0" xfId="1" applyFont="1" applyFill="1" applyProtection="1">
      <protection locked="0"/>
    </xf>
    <xf numFmtId="0" fontId="61" fillId="0" borderId="0" xfId="1" applyFont="1" applyBorder="1" applyProtection="1">
      <protection locked="0"/>
    </xf>
    <xf numFmtId="0" fontId="61" fillId="0" borderId="0" xfId="1" applyFont="1" applyProtection="1">
      <protection locked="0"/>
    </xf>
    <xf numFmtId="0" fontId="19" fillId="0" borderId="0" xfId="1" applyBorder="1" applyProtection="1">
      <protection locked="0"/>
    </xf>
    <xf numFmtId="0" fontId="41" fillId="0" borderId="0" xfId="7" applyFont="1" applyFill="1" applyProtection="1">
      <protection locked="0"/>
    </xf>
    <xf numFmtId="0" fontId="30" fillId="0" borderId="0" xfId="7" applyFont="1" applyFill="1" applyProtection="1">
      <protection locked="0"/>
    </xf>
    <xf numFmtId="0" fontId="19" fillId="0" borderId="0" xfId="7" applyFont="1" applyFill="1" applyProtection="1">
      <protection locked="0"/>
    </xf>
    <xf numFmtId="0" fontId="41" fillId="0" borderId="0" xfId="7" applyFont="1" applyFill="1" applyBorder="1" applyProtection="1">
      <protection locked="0"/>
    </xf>
    <xf numFmtId="0" fontId="45" fillId="0" borderId="0" xfId="7" applyFont="1" applyFill="1" applyBorder="1" applyProtection="1">
      <protection locked="0"/>
    </xf>
    <xf numFmtId="0" fontId="45" fillId="0" borderId="12" xfId="7" applyFont="1" applyFill="1" applyBorder="1" applyProtection="1">
      <protection locked="0"/>
    </xf>
    <xf numFmtId="14" fontId="13" fillId="0" borderId="3" xfId="7" applyNumberFormat="1" applyFont="1" applyFill="1" applyBorder="1" applyAlignment="1" applyProtection="1">
      <alignment horizontal="left"/>
      <protection locked="0"/>
    </xf>
    <xf numFmtId="0" fontId="17" fillId="0" borderId="8" xfId="7" applyFont="1" applyFill="1" applyBorder="1" applyProtection="1">
      <protection locked="0"/>
    </xf>
    <xf numFmtId="0" fontId="17" fillId="0" borderId="9" xfId="7" applyFont="1" applyFill="1" applyBorder="1" applyProtection="1">
      <protection locked="0"/>
    </xf>
    <xf numFmtId="0" fontId="17" fillId="0" borderId="10" xfId="7" applyFont="1" applyFill="1" applyBorder="1" applyProtection="1">
      <protection locked="0"/>
    </xf>
    <xf numFmtId="3" fontId="45" fillId="0" borderId="1" xfId="7" applyNumberFormat="1" applyFont="1" applyFill="1" applyBorder="1" applyProtection="1">
      <protection locked="0"/>
    </xf>
    <xf numFmtId="3" fontId="45" fillId="0" borderId="4" xfId="7" applyNumberFormat="1" applyFont="1" applyFill="1" applyBorder="1" applyProtection="1">
      <protection locked="0"/>
    </xf>
    <xf numFmtId="0" fontId="15" fillId="0" borderId="1" xfId="7" applyNumberFormat="1" applyFont="1" applyFill="1" applyBorder="1" applyAlignment="1" applyProtection="1">
      <alignment horizontal="center"/>
      <protection locked="0"/>
    </xf>
    <xf numFmtId="0" fontId="15" fillId="0" borderId="7" xfId="7" applyNumberFormat="1" applyFont="1" applyFill="1" applyBorder="1" applyAlignment="1" applyProtection="1">
      <alignment horizontal="center"/>
      <protection locked="0"/>
    </xf>
    <xf numFmtId="3" fontId="50" fillId="0" borderId="11" xfId="7" applyNumberFormat="1" applyFont="1" applyFill="1" applyBorder="1" applyProtection="1">
      <protection locked="0"/>
    </xf>
    <xf numFmtId="0" fontId="13" fillId="0" borderId="6" xfId="7" applyFont="1" applyFill="1" applyBorder="1" applyAlignment="1" applyProtection="1">
      <alignment horizontal="center"/>
      <protection locked="0"/>
    </xf>
    <xf numFmtId="169" fontId="15" fillId="0" borderId="6" xfId="7" applyNumberFormat="1" applyFont="1" applyFill="1" applyBorder="1" applyAlignment="1" applyProtection="1">
      <alignment horizontal="center"/>
      <protection locked="0"/>
    </xf>
    <xf numFmtId="3" fontId="50" fillId="0" borderId="7" xfId="7" applyNumberFormat="1" applyFont="1" applyFill="1" applyBorder="1" applyProtection="1">
      <protection locked="0"/>
    </xf>
    <xf numFmtId="0" fontId="13" fillId="0" borderId="4" xfId="7" applyFont="1" applyFill="1" applyBorder="1" applyAlignment="1" applyProtection="1">
      <alignment horizontal="center"/>
    </xf>
    <xf numFmtId="169" fontId="15" fillId="0" borderId="4" xfId="7" applyNumberFormat="1" applyFont="1" applyFill="1" applyBorder="1" applyAlignment="1" applyProtection="1">
      <alignment horizontal="center"/>
      <protection locked="0"/>
    </xf>
    <xf numFmtId="169" fontId="15" fillId="0" borderId="3" xfId="7" applyNumberFormat="1" applyFont="1" applyFill="1" applyBorder="1" applyAlignment="1" applyProtection="1">
      <alignment horizontal="center"/>
      <protection locked="0"/>
    </xf>
    <xf numFmtId="0" fontId="13" fillId="0" borderId="4" xfId="7" applyFont="1" applyFill="1" applyBorder="1" applyAlignment="1" applyProtection="1">
      <alignment horizontal="center"/>
      <protection locked="0"/>
    </xf>
    <xf numFmtId="0" fontId="45" fillId="0" borderId="3" xfId="7" applyFont="1" applyFill="1" applyBorder="1" applyProtection="1">
      <protection locked="0"/>
    </xf>
    <xf numFmtId="3" fontId="45" fillId="0" borderId="4" xfId="7" applyNumberFormat="1" applyFont="1" applyFill="1" applyBorder="1" applyAlignment="1" applyProtection="1">
      <alignment horizontal="right"/>
    </xf>
    <xf numFmtId="169" fontId="45" fillId="0" borderId="4" xfId="7" applyNumberFormat="1" applyFont="1" applyFill="1" applyBorder="1" applyAlignment="1" applyProtection="1">
      <alignment horizontal="right"/>
      <protection locked="0"/>
    </xf>
    <xf numFmtId="169" fontId="45" fillId="0" borderId="3" xfId="7" applyNumberFormat="1" applyFont="1" applyFill="1" applyBorder="1" applyAlignment="1" applyProtection="1">
      <alignment horizontal="right"/>
      <protection locked="0"/>
    </xf>
    <xf numFmtId="1" fontId="45" fillId="0" borderId="3" xfId="7" applyNumberFormat="1" applyFont="1" applyFill="1" applyBorder="1" applyAlignment="1" applyProtection="1">
      <alignment horizontal="right"/>
      <protection locked="0"/>
    </xf>
    <xf numFmtId="0" fontId="45" fillId="0" borderId="4" xfId="7" applyNumberFormat="1" applyFont="1" applyFill="1" applyBorder="1" applyAlignment="1" applyProtection="1">
      <alignment horizontal="right"/>
      <protection locked="0"/>
    </xf>
    <xf numFmtId="0" fontId="30" fillId="0" borderId="3" xfId="7" applyFont="1" applyFill="1" applyBorder="1" applyProtection="1">
      <protection locked="0"/>
    </xf>
    <xf numFmtId="3" fontId="30" fillId="0" borderId="4" xfId="1" applyNumberFormat="1" applyFont="1" applyFill="1" applyBorder="1" applyAlignment="1" applyProtection="1">
      <alignment horizontal="right"/>
      <protection locked="0"/>
    </xf>
    <xf numFmtId="169" fontId="30" fillId="0" borderId="4" xfId="7" applyNumberFormat="1" applyFont="1" applyFill="1" applyBorder="1" applyAlignment="1" applyProtection="1">
      <alignment horizontal="right"/>
      <protection locked="0"/>
    </xf>
    <xf numFmtId="1" fontId="30" fillId="0" borderId="3" xfId="7" applyNumberFormat="1" applyFont="1" applyFill="1" applyBorder="1" applyAlignment="1" applyProtection="1">
      <alignment horizontal="right"/>
      <protection locked="0"/>
    </xf>
    <xf numFmtId="169" fontId="30" fillId="0" borderId="3" xfId="7" applyNumberFormat="1" applyFont="1" applyFill="1" applyBorder="1" applyAlignment="1" applyProtection="1">
      <alignment horizontal="right"/>
      <protection locked="0"/>
    </xf>
    <xf numFmtId="1" fontId="30" fillId="0" borderId="4" xfId="7" applyNumberFormat="1" applyFont="1" applyFill="1" applyBorder="1" applyAlignment="1" applyProtection="1">
      <alignment horizontal="right"/>
      <protection locked="0"/>
    </xf>
    <xf numFmtId="1" fontId="45" fillId="0" borderId="4" xfId="7" applyNumberFormat="1" applyFont="1" applyFill="1" applyBorder="1" applyAlignment="1" applyProtection="1">
      <alignment horizontal="right"/>
      <protection locked="0"/>
    </xf>
    <xf numFmtId="0" fontId="45" fillId="0" borderId="0" xfId="7" applyFont="1" applyFill="1" applyProtection="1">
      <protection locked="0"/>
    </xf>
    <xf numFmtId="3" fontId="30" fillId="0" borderId="4" xfId="7" applyNumberFormat="1" applyFont="1" applyFill="1" applyBorder="1" applyAlignment="1" applyProtection="1">
      <alignment horizontal="right"/>
      <protection locked="0"/>
    </xf>
    <xf numFmtId="3" fontId="30" fillId="0" borderId="3" xfId="7" applyNumberFormat="1" applyFont="1" applyFill="1" applyBorder="1" applyAlignment="1" applyProtection="1">
      <alignment horizontal="right"/>
      <protection locked="0"/>
    </xf>
    <xf numFmtId="3" fontId="45" fillId="0" borderId="4" xfId="7" applyNumberFormat="1" applyFont="1" applyFill="1" applyBorder="1" applyAlignment="1" applyProtection="1">
      <alignment horizontal="right"/>
      <protection locked="0"/>
    </xf>
    <xf numFmtId="3" fontId="45" fillId="0" borderId="3" xfId="7" applyNumberFormat="1" applyFont="1" applyFill="1" applyBorder="1" applyAlignment="1" applyProtection="1">
      <alignment horizontal="right"/>
      <protection locked="0"/>
    </xf>
    <xf numFmtId="0" fontId="30" fillId="0" borderId="6" xfId="7" applyFont="1" applyFill="1" applyBorder="1" applyProtection="1">
      <protection locked="0"/>
    </xf>
    <xf numFmtId="3" fontId="30" fillId="0" borderId="11" xfId="7" applyNumberFormat="1" applyFont="1" applyFill="1" applyBorder="1" applyAlignment="1" applyProtection="1">
      <alignment horizontal="right"/>
    </xf>
    <xf numFmtId="3" fontId="30" fillId="0" borderId="11" xfId="7" applyNumberFormat="1" applyFont="1" applyFill="1" applyBorder="1" applyAlignment="1" applyProtection="1">
      <alignment horizontal="right"/>
      <protection locked="0"/>
    </xf>
    <xf numFmtId="1" fontId="30" fillId="0" borderId="6" xfId="7" applyNumberFormat="1" applyFont="1" applyFill="1" applyBorder="1" applyAlignment="1" applyProtection="1">
      <alignment horizontal="right"/>
      <protection locked="0"/>
    </xf>
    <xf numFmtId="3" fontId="30" fillId="0" borderId="6" xfId="7" applyNumberFormat="1" applyFont="1" applyFill="1" applyBorder="1" applyAlignment="1" applyProtection="1">
      <alignment horizontal="right"/>
      <protection locked="0"/>
    </xf>
    <xf numFmtId="0" fontId="30" fillId="0" borderId="7" xfId="7" applyFont="1" applyFill="1" applyBorder="1" applyProtection="1">
      <protection locked="0"/>
    </xf>
    <xf numFmtId="3" fontId="30" fillId="0" borderId="1" xfId="7" applyNumberFormat="1" applyFont="1" applyFill="1" applyBorder="1" applyAlignment="1" applyProtection="1">
      <alignment horizontal="right"/>
    </xf>
    <xf numFmtId="3" fontId="30" fillId="0" borderId="1" xfId="7" applyNumberFormat="1" applyFont="1" applyFill="1" applyBorder="1" applyAlignment="1" applyProtection="1">
      <alignment horizontal="right"/>
      <protection locked="0"/>
    </xf>
    <xf numFmtId="1" fontId="30" fillId="0" borderId="7" xfId="7" applyNumberFormat="1" applyFont="1" applyFill="1" applyBorder="1" applyAlignment="1" applyProtection="1">
      <alignment horizontal="right"/>
      <protection locked="0"/>
    </xf>
    <xf numFmtId="3" fontId="30" fillId="0" borderId="7" xfId="7" applyNumberFormat="1" applyFont="1" applyFill="1" applyBorder="1" applyAlignment="1" applyProtection="1">
      <alignment horizontal="right"/>
      <protection locked="0"/>
    </xf>
    <xf numFmtId="0" fontId="30" fillId="0" borderId="4" xfId="7" applyFont="1" applyFill="1" applyBorder="1" applyAlignment="1" applyProtection="1">
      <alignment horizontal="right"/>
      <protection locked="0"/>
    </xf>
    <xf numFmtId="0" fontId="30" fillId="0" borderId="3" xfId="7" applyFont="1" applyFill="1" applyBorder="1" applyAlignment="1" applyProtection="1">
      <alignment horizontal="right"/>
      <protection locked="0"/>
    </xf>
    <xf numFmtId="3" fontId="45" fillId="0" borderId="4" xfId="1" applyNumberFormat="1" applyFont="1" applyFill="1" applyBorder="1" applyAlignment="1" applyProtection="1">
      <alignment horizontal="right"/>
    </xf>
    <xf numFmtId="0" fontId="46" fillId="0" borderId="0" xfId="7" applyFont="1" applyFill="1" applyProtection="1">
      <protection locked="0"/>
    </xf>
    <xf numFmtId="0" fontId="46" fillId="0" borderId="0" xfId="7" applyFont="1" applyFill="1" applyProtection="1"/>
    <xf numFmtId="0" fontId="46" fillId="0" borderId="0" xfId="1" applyFont="1" applyFill="1" applyProtection="1">
      <protection locked="0"/>
    </xf>
    <xf numFmtId="0" fontId="30" fillId="0" borderId="0" xfId="848" applyFont="1" applyFill="1" applyProtection="1">
      <protection locked="0"/>
    </xf>
    <xf numFmtId="0" fontId="14" fillId="0" borderId="0" xfId="848" applyFill="1" applyProtection="1">
      <protection locked="0"/>
    </xf>
    <xf numFmtId="0" fontId="41" fillId="0" borderId="0" xfId="848" applyFont="1" applyFill="1" applyBorder="1" applyProtection="1">
      <protection locked="0"/>
    </xf>
    <xf numFmtId="0" fontId="45" fillId="0" borderId="0" xfId="848" applyFont="1" applyFill="1" applyBorder="1" applyProtection="1">
      <protection locked="0"/>
    </xf>
    <xf numFmtId="0" fontId="45" fillId="0" borderId="12" xfId="848" applyFont="1" applyFill="1" applyBorder="1" applyProtection="1">
      <protection locked="0"/>
    </xf>
    <xf numFmtId="0" fontId="30" fillId="0" borderId="0" xfId="848" applyFont="1" applyFill="1" applyBorder="1" applyProtection="1">
      <protection locked="0"/>
    </xf>
    <xf numFmtId="14" fontId="13" fillId="0" borderId="3" xfId="848" applyNumberFormat="1" applyFont="1" applyFill="1" applyBorder="1" applyAlignment="1" applyProtection="1">
      <alignment horizontal="left"/>
      <protection locked="0"/>
    </xf>
    <xf numFmtId="0" fontId="17" fillId="0" borderId="8" xfId="848" applyFont="1" applyFill="1" applyBorder="1" applyProtection="1">
      <protection locked="0"/>
    </xf>
    <xf numFmtId="0" fontId="17" fillId="0" borderId="9" xfId="848" applyFont="1" applyFill="1" applyBorder="1" applyProtection="1">
      <protection locked="0"/>
    </xf>
    <xf numFmtId="0" fontId="17" fillId="0" borderId="10" xfId="848" applyFont="1" applyFill="1" applyBorder="1" applyProtection="1">
      <protection locked="0"/>
    </xf>
    <xf numFmtId="3" fontId="45" fillId="0" borderId="1" xfId="848" applyNumberFormat="1" applyFont="1" applyFill="1" applyBorder="1" applyProtection="1">
      <protection locked="0"/>
    </xf>
    <xf numFmtId="3" fontId="45" fillId="0" borderId="4" xfId="848" applyNumberFormat="1" applyFont="1" applyFill="1" applyBorder="1" applyProtection="1">
      <protection locked="0"/>
    </xf>
    <xf numFmtId="3" fontId="50" fillId="0" borderId="11" xfId="848" applyNumberFormat="1" applyFont="1" applyFill="1" applyBorder="1" applyProtection="1">
      <protection locked="0"/>
    </xf>
    <xf numFmtId="3" fontId="73" fillId="0" borderId="7" xfId="848" applyNumberFormat="1" applyFont="1" applyFill="1" applyBorder="1" applyProtection="1">
      <protection locked="0"/>
    </xf>
    <xf numFmtId="169" fontId="15" fillId="0" borderId="4" xfId="848" applyNumberFormat="1" applyFont="1" applyFill="1" applyBorder="1" applyAlignment="1" applyProtection="1">
      <alignment horizontal="right"/>
      <protection locked="0"/>
    </xf>
    <xf numFmtId="169" fontId="15" fillId="0" borderId="3" xfId="848" applyNumberFormat="1" applyFont="1" applyFill="1" applyBorder="1" applyAlignment="1" applyProtection="1">
      <alignment horizontal="right"/>
      <protection locked="0"/>
    </xf>
    <xf numFmtId="169" fontId="15" fillId="0" borderId="7" xfId="848" applyNumberFormat="1" applyFont="1" applyFill="1" applyBorder="1" applyAlignment="1" applyProtection="1">
      <alignment horizontal="right"/>
      <protection locked="0"/>
    </xf>
    <xf numFmtId="1" fontId="15" fillId="0" borderId="3" xfId="848" applyNumberFormat="1" applyFont="1" applyFill="1" applyBorder="1" applyAlignment="1" applyProtection="1">
      <alignment horizontal="right"/>
      <protection locked="0"/>
    </xf>
    <xf numFmtId="0" fontId="15" fillId="0" borderId="4" xfId="7" applyNumberFormat="1" applyFont="1" applyFill="1" applyBorder="1" applyAlignment="1" applyProtection="1">
      <alignment horizontal="right"/>
      <protection locked="0"/>
    </xf>
    <xf numFmtId="3" fontId="45" fillId="0" borderId="4" xfId="848" applyNumberFormat="1" applyFont="1" applyFill="1" applyBorder="1" applyAlignment="1" applyProtection="1">
      <alignment horizontal="right"/>
      <protection locked="0"/>
    </xf>
    <xf numFmtId="3" fontId="45" fillId="0" borderId="3" xfId="848" applyNumberFormat="1" applyFont="1" applyFill="1" applyBorder="1" applyAlignment="1" applyProtection="1">
      <alignment horizontal="right"/>
      <protection locked="0"/>
    </xf>
    <xf numFmtId="3" fontId="30" fillId="0" borderId="4" xfId="848" applyNumberFormat="1" applyFont="1" applyFill="1" applyBorder="1" applyAlignment="1" applyProtection="1">
      <alignment horizontal="right"/>
      <protection locked="0"/>
    </xf>
    <xf numFmtId="3" fontId="30" fillId="0" borderId="3" xfId="848" applyNumberFormat="1" applyFont="1" applyFill="1" applyBorder="1" applyAlignment="1" applyProtection="1">
      <alignment horizontal="right"/>
      <protection locked="0"/>
    </xf>
    <xf numFmtId="0" fontId="14" fillId="0" borderId="0" xfId="848" applyFont="1" applyFill="1" applyProtection="1">
      <protection locked="0"/>
    </xf>
    <xf numFmtId="0" fontId="45" fillId="0" borderId="0" xfId="848" applyNumberFormat="1" applyFont="1" applyFill="1" applyBorder="1" applyProtection="1">
      <protection locked="0"/>
    </xf>
    <xf numFmtId="0" fontId="45" fillId="0" borderId="0" xfId="848" applyFont="1" applyFill="1" applyProtection="1">
      <protection locked="0"/>
    </xf>
    <xf numFmtId="0" fontId="13" fillId="0" borderId="0" xfId="848" applyFont="1" applyFill="1" applyProtection="1">
      <protection locked="0"/>
    </xf>
    <xf numFmtId="0" fontId="74" fillId="0" borderId="3" xfId="7" applyFont="1" applyFill="1" applyBorder="1" applyProtection="1">
      <protection locked="0"/>
    </xf>
    <xf numFmtId="0" fontId="51" fillId="0" borderId="3" xfId="7" applyFont="1" applyFill="1" applyBorder="1" applyProtection="1">
      <protection locked="0"/>
    </xf>
    <xf numFmtId="0" fontId="46" fillId="0" borderId="0" xfId="848" applyFont="1" applyFill="1" applyBorder="1" applyProtection="1">
      <protection locked="0"/>
    </xf>
    <xf numFmtId="0" fontId="46" fillId="0" borderId="0" xfId="848" applyFont="1" applyFill="1" applyProtection="1">
      <protection locked="0"/>
    </xf>
    <xf numFmtId="0" fontId="21" fillId="0" borderId="0" xfId="848" applyFont="1" applyFill="1" applyProtection="1">
      <protection locked="0"/>
    </xf>
    <xf numFmtId="0" fontId="69" fillId="0" borderId="0" xfId="848" applyFont="1" applyFill="1" applyBorder="1" applyProtection="1">
      <protection locked="0"/>
    </xf>
    <xf numFmtId="0" fontId="69" fillId="0" borderId="0" xfId="848" applyFont="1" applyFill="1" applyProtection="1">
      <protection locked="0"/>
    </xf>
    <xf numFmtId="0" fontId="71" fillId="0" borderId="0" xfId="848" applyFont="1" applyFill="1" applyProtection="1">
      <protection locked="0"/>
    </xf>
    <xf numFmtId="3" fontId="30" fillId="0" borderId="11" xfId="848" applyNumberFormat="1" applyFont="1" applyFill="1" applyBorder="1" applyAlignment="1" applyProtection="1">
      <alignment horizontal="right"/>
      <protection locked="0"/>
    </xf>
    <xf numFmtId="3" fontId="30" fillId="0" borderId="6" xfId="848" applyNumberFormat="1" applyFont="1" applyFill="1" applyBorder="1" applyAlignment="1" applyProtection="1">
      <alignment horizontal="right"/>
      <protection locked="0"/>
    </xf>
    <xf numFmtId="3" fontId="30" fillId="0" borderId="0" xfId="848" applyNumberFormat="1" applyFont="1" applyFill="1" applyBorder="1" applyProtection="1">
      <protection locked="0"/>
    </xf>
    <xf numFmtId="0" fontId="75" fillId="0" borderId="0" xfId="848" applyFont="1" applyFill="1" applyProtection="1">
      <protection locked="0"/>
    </xf>
    <xf numFmtId="0" fontId="61" fillId="0" borderId="0" xfId="848" applyFont="1" applyFill="1" applyProtection="1">
      <protection locked="0"/>
    </xf>
    <xf numFmtId="0" fontId="61" fillId="0" borderId="0" xfId="848" applyFont="1" applyFill="1" applyBorder="1" applyProtection="1">
      <protection locked="0"/>
    </xf>
    <xf numFmtId="0" fontId="61" fillId="0" borderId="0" xfId="1" applyFont="1" applyFill="1" applyProtection="1">
      <protection locked="0"/>
    </xf>
    <xf numFmtId="0" fontId="61" fillId="0" borderId="0" xfId="1" applyFont="1" applyFill="1" applyBorder="1" applyProtection="1">
      <protection locked="0"/>
    </xf>
    <xf numFmtId="0" fontId="75" fillId="0" borderId="0" xfId="848" applyFont="1" applyFill="1" applyBorder="1" applyProtection="1">
      <protection locked="0"/>
    </xf>
    <xf numFmtId="166" fontId="14" fillId="0" borderId="0" xfId="848" applyNumberFormat="1" applyFill="1" applyProtection="1">
      <protection locked="0"/>
    </xf>
    <xf numFmtId="0" fontId="14" fillId="0" borderId="0" xfId="848" applyFill="1" applyBorder="1" applyProtection="1">
      <protection locked="0"/>
    </xf>
    <xf numFmtId="49" fontId="60" fillId="0" borderId="12" xfId="7" applyNumberFormat="1" applyFont="1" applyFill="1" applyBorder="1" applyProtection="1">
      <protection locked="0"/>
    </xf>
    <xf numFmtId="14" fontId="13" fillId="0" borderId="13" xfId="848" applyNumberFormat="1" applyFont="1" applyFill="1" applyBorder="1" applyAlignment="1" applyProtection="1">
      <alignment horizontal="left"/>
      <protection locked="0"/>
    </xf>
    <xf numFmtId="49" fontId="45" fillId="0" borderId="3" xfId="7" applyNumberFormat="1" applyFont="1" applyFill="1" applyBorder="1" applyProtection="1">
      <protection locked="0"/>
    </xf>
    <xf numFmtId="3" fontId="15" fillId="0" borderId="4" xfId="7" applyNumberFormat="1" applyFont="1" applyFill="1" applyBorder="1" applyAlignment="1" applyProtection="1">
      <alignment horizontal="right"/>
      <protection locked="0"/>
    </xf>
    <xf numFmtId="3" fontId="15" fillId="0" borderId="4" xfId="848" applyNumberFormat="1" applyFont="1" applyFill="1" applyBorder="1" applyAlignment="1" applyProtection="1">
      <alignment horizontal="right"/>
      <protection locked="0"/>
    </xf>
    <xf numFmtId="3" fontId="15" fillId="0" borderId="3" xfId="848" applyNumberFormat="1" applyFont="1" applyFill="1" applyBorder="1" applyAlignment="1" applyProtection="1">
      <alignment horizontal="right"/>
      <protection locked="0"/>
    </xf>
    <xf numFmtId="1" fontId="30" fillId="0" borderId="0" xfId="848" applyNumberFormat="1" applyFont="1" applyFill="1" applyBorder="1" applyProtection="1">
      <protection locked="0"/>
    </xf>
    <xf numFmtId="1" fontId="45" fillId="0" borderId="0" xfId="848" applyNumberFormat="1" applyFont="1" applyFill="1" applyBorder="1" applyProtection="1">
      <protection locked="0"/>
    </xf>
    <xf numFmtId="0" fontId="30" fillId="0" borderId="0" xfId="848" applyNumberFormat="1" applyFont="1" applyFill="1" applyBorder="1" applyProtection="1">
      <protection locked="0"/>
    </xf>
    <xf numFmtId="0" fontId="19" fillId="0" borderId="0" xfId="848" applyFont="1" applyFill="1" applyProtection="1">
      <protection locked="0"/>
    </xf>
    <xf numFmtId="0" fontId="41" fillId="0" borderId="0" xfId="1" applyFont="1" applyFill="1" applyProtection="1">
      <protection locked="0"/>
    </xf>
    <xf numFmtId="0" fontId="19" fillId="0" borderId="0" xfId="1" applyFill="1" applyProtection="1">
      <protection locked="0"/>
    </xf>
    <xf numFmtId="165" fontId="19" fillId="0" borderId="0" xfId="1" applyNumberFormat="1" applyFill="1" applyProtection="1">
      <protection locked="0"/>
    </xf>
    <xf numFmtId="0" fontId="60" fillId="0" borderId="12" xfId="1" applyFont="1" applyFill="1" applyBorder="1" applyProtection="1">
      <protection locked="0"/>
    </xf>
    <xf numFmtId="165" fontId="19" fillId="0" borderId="0" xfId="1" applyNumberFormat="1" applyFill="1" applyBorder="1" applyProtection="1">
      <protection locked="0"/>
    </xf>
    <xf numFmtId="14" fontId="13" fillId="0" borderId="4" xfId="1" applyNumberFormat="1" applyFont="1" applyFill="1" applyBorder="1" applyAlignment="1" applyProtection="1">
      <alignment horizontal="left"/>
      <protection locked="0"/>
    </xf>
    <xf numFmtId="0" fontId="17" fillId="0" borderId="10" xfId="1" applyFont="1" applyFill="1" applyBorder="1" applyProtection="1">
      <protection locked="0"/>
    </xf>
    <xf numFmtId="0" fontId="17" fillId="0" borderId="8" xfId="1" applyFont="1" applyFill="1" applyBorder="1" applyProtection="1">
      <protection locked="0"/>
    </xf>
    <xf numFmtId="0" fontId="17" fillId="0" borderId="9" xfId="1" applyFont="1" applyFill="1" applyBorder="1" applyProtection="1">
      <protection locked="0"/>
    </xf>
    <xf numFmtId="165" fontId="17" fillId="0" borderId="0" xfId="1" applyNumberFormat="1" applyFont="1" applyFill="1" applyBorder="1" applyProtection="1">
      <protection locked="0"/>
    </xf>
    <xf numFmtId="0" fontId="17" fillId="0" borderId="0" xfId="1" applyFont="1" applyFill="1" applyBorder="1" applyProtection="1">
      <protection locked="0"/>
    </xf>
    <xf numFmtId="0" fontId="19" fillId="0" borderId="0" xfId="1" applyFill="1" applyBorder="1" applyProtection="1">
      <protection locked="0"/>
    </xf>
    <xf numFmtId="0" fontId="45" fillId="0" borderId="0" xfId="1" applyNumberFormat="1" applyFont="1" applyFill="1" applyBorder="1" applyAlignment="1" applyProtection="1">
      <alignment horizontal="center"/>
      <protection locked="0"/>
    </xf>
    <xf numFmtId="0" fontId="15" fillId="0" borderId="1" xfId="1" applyNumberFormat="1" applyFont="1" applyFill="1" applyBorder="1" applyAlignment="1" applyProtection="1">
      <alignment horizontal="center"/>
      <protection locked="0"/>
    </xf>
    <xf numFmtId="3" fontId="50" fillId="0" borderId="11" xfId="1" applyNumberFormat="1" applyFont="1" applyFill="1" applyBorder="1" applyProtection="1">
      <protection locked="0"/>
    </xf>
    <xf numFmtId="0" fontId="13" fillId="0" borderId="6" xfId="1" applyFont="1" applyFill="1" applyBorder="1" applyAlignment="1" applyProtection="1">
      <alignment horizontal="center"/>
      <protection locked="0"/>
    </xf>
    <xf numFmtId="169" fontId="13" fillId="0" borderId="0" xfId="1" applyNumberFormat="1" applyFont="1" applyFill="1" applyBorder="1" applyAlignment="1" applyProtection="1">
      <alignment horizontal="center"/>
      <protection locked="0"/>
    </xf>
    <xf numFmtId="0" fontId="13" fillId="0" borderId="0" xfId="1" applyNumberFormat="1" applyFont="1" applyFill="1" applyBorder="1" applyAlignment="1" applyProtection="1">
      <alignment horizontal="center"/>
      <protection locked="0"/>
    </xf>
    <xf numFmtId="3" fontId="30" fillId="0" borderId="4" xfId="1" applyNumberFormat="1" applyFont="1" applyFill="1" applyBorder="1" applyAlignment="1" applyProtection="1">
      <alignment horizontal="right"/>
    </xf>
    <xf numFmtId="3" fontId="30" fillId="0" borderId="7" xfId="1" applyNumberFormat="1" applyFont="1" applyFill="1" applyBorder="1" applyAlignment="1" applyProtection="1">
      <alignment horizontal="right"/>
      <protection locked="0"/>
    </xf>
    <xf numFmtId="0" fontId="19" fillId="0" borderId="0" xfId="1" applyFont="1" applyFill="1" applyBorder="1" applyProtection="1">
      <protection locked="0"/>
    </xf>
    <xf numFmtId="3" fontId="30" fillId="0" borderId="2" xfId="1" applyNumberFormat="1" applyFont="1" applyFill="1" applyBorder="1" applyAlignment="1" applyProtection="1">
      <alignment horizontal="right"/>
      <protection locked="0"/>
    </xf>
    <xf numFmtId="49" fontId="45" fillId="0" borderId="4" xfId="1" applyNumberFormat="1" applyFont="1" applyFill="1" applyBorder="1" applyProtection="1">
      <protection locked="0"/>
    </xf>
    <xf numFmtId="3" fontId="45" fillId="0" borderId="3" xfId="1" applyNumberFormat="1" applyFont="1" applyFill="1" applyBorder="1" applyAlignment="1" applyProtection="1">
      <alignment horizontal="right"/>
      <protection locked="0"/>
    </xf>
    <xf numFmtId="3" fontId="45" fillId="0" borderId="2" xfId="1" applyNumberFormat="1" applyFont="1" applyFill="1" applyBorder="1" applyAlignment="1" applyProtection="1">
      <alignment horizontal="right"/>
      <protection locked="0"/>
    </xf>
    <xf numFmtId="3" fontId="45" fillId="0" borderId="3" xfId="1" applyNumberFormat="1" applyFont="1" applyFill="1" applyBorder="1" applyAlignment="1" applyProtection="1">
      <alignment horizontal="right"/>
    </xf>
    <xf numFmtId="0" fontId="45" fillId="0" borderId="0" xfId="7" applyNumberFormat="1" applyFont="1" applyFill="1" applyProtection="1">
      <protection locked="0"/>
    </xf>
    <xf numFmtId="0" fontId="49" fillId="0" borderId="0" xfId="1" applyFont="1" applyFill="1" applyBorder="1" applyProtection="1">
      <protection locked="0"/>
    </xf>
    <xf numFmtId="0" fontId="49" fillId="0" borderId="0" xfId="1" applyFont="1" applyFill="1" applyProtection="1">
      <protection locked="0"/>
    </xf>
    <xf numFmtId="0" fontId="30" fillId="0" borderId="11" xfId="1" applyFont="1" applyFill="1" applyBorder="1" applyProtection="1">
      <protection locked="0"/>
    </xf>
    <xf numFmtId="3" fontId="30" fillId="0" borderId="6" xfId="1" applyNumberFormat="1" applyFont="1" applyFill="1" applyBorder="1" applyAlignment="1" applyProtection="1">
      <alignment horizontal="right"/>
      <protection locked="0"/>
    </xf>
    <xf numFmtId="3" fontId="30" fillId="0" borderId="6" xfId="1" applyNumberFormat="1" applyFont="1" applyFill="1" applyBorder="1" applyAlignment="1" applyProtection="1">
      <alignment horizontal="right"/>
    </xf>
    <xf numFmtId="3" fontId="30" fillId="0" borderId="0" xfId="1" applyNumberFormat="1" applyFont="1" applyFill="1" applyBorder="1" applyAlignment="1" applyProtection="1">
      <alignment horizontal="right"/>
      <protection locked="0"/>
    </xf>
    <xf numFmtId="0" fontId="14" fillId="0" borderId="0" xfId="845" applyFill="1" applyProtection="1">
      <protection locked="0"/>
    </xf>
    <xf numFmtId="0" fontId="41" fillId="0" borderId="0" xfId="845" applyFont="1" applyFill="1" applyProtection="1">
      <protection locked="0"/>
    </xf>
    <xf numFmtId="0" fontId="45" fillId="0" borderId="0" xfId="1" applyFont="1" applyFill="1" applyBorder="1" applyProtection="1">
      <protection locked="0"/>
    </xf>
    <xf numFmtId="0" fontId="14" fillId="0" borderId="0" xfId="845" applyFill="1" applyBorder="1" applyProtection="1">
      <protection locked="0"/>
    </xf>
    <xf numFmtId="14" fontId="13" fillId="0" borderId="13" xfId="845" applyNumberFormat="1" applyFont="1" applyFill="1" applyBorder="1" applyAlignment="1" applyProtection="1">
      <alignment horizontal="left"/>
      <protection locked="0"/>
    </xf>
    <xf numFmtId="0" fontId="17" fillId="0" borderId="10" xfId="845" applyFont="1" applyFill="1" applyBorder="1" applyProtection="1">
      <protection locked="0"/>
    </xf>
    <xf numFmtId="0" fontId="17" fillId="0" borderId="8" xfId="845" applyFont="1" applyFill="1" applyBorder="1" applyProtection="1">
      <protection locked="0"/>
    </xf>
    <xf numFmtId="0" fontId="17" fillId="0" borderId="9" xfId="845" applyFont="1" applyFill="1" applyBorder="1" applyProtection="1">
      <protection locked="0"/>
    </xf>
    <xf numFmtId="3" fontId="45" fillId="0" borderId="1" xfId="845" applyNumberFormat="1" applyFont="1" applyFill="1" applyBorder="1" applyProtection="1">
      <protection locked="0"/>
    </xf>
    <xf numFmtId="3" fontId="45" fillId="0" borderId="4" xfId="845" applyNumberFormat="1" applyFont="1" applyFill="1" applyBorder="1" applyProtection="1">
      <protection locked="0"/>
    </xf>
    <xf numFmtId="3" fontId="50" fillId="0" borderId="11" xfId="845" applyNumberFormat="1" applyFont="1" applyFill="1" applyBorder="1" applyProtection="1">
      <protection locked="0"/>
    </xf>
    <xf numFmtId="0" fontId="45" fillId="0" borderId="4" xfId="845" applyFont="1" applyFill="1" applyBorder="1" applyProtection="1">
      <protection locked="0"/>
    </xf>
    <xf numFmtId="3" fontId="30" fillId="0" borderId="3" xfId="845" applyNumberFormat="1" applyFont="1" applyFill="1" applyBorder="1" applyAlignment="1" applyProtection="1">
      <alignment horizontal="right"/>
    </xf>
    <xf numFmtId="3" fontId="30" fillId="0" borderId="4" xfId="845" applyNumberFormat="1" applyFont="1" applyFill="1" applyBorder="1" applyAlignment="1" applyProtection="1">
      <alignment horizontal="right"/>
    </xf>
    <xf numFmtId="3" fontId="30" fillId="0" borderId="4" xfId="845" applyNumberFormat="1" applyFont="1" applyFill="1" applyBorder="1" applyAlignment="1" applyProtection="1">
      <alignment horizontal="right"/>
      <protection locked="0"/>
    </xf>
    <xf numFmtId="0" fontId="30" fillId="0" borderId="3" xfId="845" applyFont="1" applyFill="1" applyBorder="1" applyAlignment="1" applyProtection="1">
      <alignment horizontal="right"/>
      <protection locked="0"/>
    </xf>
    <xf numFmtId="0" fontId="14" fillId="0" borderId="0" xfId="845" applyFont="1" applyFill="1" applyBorder="1" applyProtection="1">
      <protection locked="0"/>
    </xf>
    <xf numFmtId="0" fontId="14" fillId="0" borderId="0" xfId="845" applyFont="1" applyFill="1" applyProtection="1">
      <protection locked="0"/>
    </xf>
    <xf numFmtId="3" fontId="45" fillId="0" borderId="3" xfId="845" applyNumberFormat="1" applyFont="1" applyFill="1" applyBorder="1" applyAlignment="1" applyProtection="1">
      <alignment horizontal="right"/>
    </xf>
    <xf numFmtId="3" fontId="45" fillId="0" borderId="3" xfId="845" applyNumberFormat="1" applyFont="1" applyFill="1" applyBorder="1" applyAlignment="1" applyProtection="1">
      <alignment horizontal="right"/>
      <protection locked="0"/>
    </xf>
    <xf numFmtId="3" fontId="45" fillId="0" borderId="4" xfId="845" applyNumberFormat="1" applyFont="1" applyFill="1" applyBorder="1" applyAlignment="1" applyProtection="1">
      <alignment horizontal="right"/>
    </xf>
    <xf numFmtId="3" fontId="45" fillId="0" borderId="4" xfId="845" applyNumberFormat="1" applyFont="1" applyFill="1" applyBorder="1" applyAlignment="1" applyProtection="1">
      <alignment horizontal="right"/>
      <protection locked="0"/>
    </xf>
    <xf numFmtId="0" fontId="45" fillId="0" borderId="3" xfId="845" applyFont="1" applyFill="1" applyBorder="1" applyAlignment="1" applyProtection="1">
      <alignment horizontal="right"/>
      <protection locked="0"/>
    </xf>
    <xf numFmtId="0" fontId="45" fillId="0" borderId="0" xfId="845" applyFont="1" applyFill="1" applyBorder="1" applyProtection="1">
      <protection locked="0"/>
    </xf>
    <xf numFmtId="0" fontId="45" fillId="0" borderId="0" xfId="845" applyFont="1" applyFill="1" applyProtection="1">
      <protection locked="0"/>
    </xf>
    <xf numFmtId="1" fontId="45" fillId="0" borderId="3" xfId="845" applyNumberFormat="1" applyFont="1" applyFill="1" applyBorder="1" applyAlignment="1" applyProtection="1">
      <alignment horizontal="right"/>
      <protection locked="0"/>
    </xf>
    <xf numFmtId="3" fontId="45" fillId="2" borderId="3" xfId="845" applyNumberFormat="1" applyFont="1" applyFill="1" applyBorder="1" applyAlignment="1" applyProtection="1">
      <alignment horizontal="right"/>
      <protection locked="0"/>
    </xf>
    <xf numFmtId="1" fontId="30" fillId="0" borderId="3" xfId="845" applyNumberFormat="1" applyFont="1" applyFill="1" applyBorder="1" applyAlignment="1" applyProtection="1">
      <alignment horizontal="right"/>
      <protection locked="0"/>
    </xf>
    <xf numFmtId="3" fontId="30" fillId="2" borderId="3" xfId="845" applyNumberFormat="1" applyFont="1" applyFill="1" applyBorder="1" applyAlignment="1" applyProtection="1">
      <alignment horizontal="right"/>
      <protection locked="0"/>
    </xf>
    <xf numFmtId="0" fontId="30" fillId="0" borderId="0" xfId="845" applyFont="1" applyFill="1" applyBorder="1" applyProtection="1">
      <protection locked="0"/>
    </xf>
    <xf numFmtId="0" fontId="30" fillId="0" borderId="0" xfId="845" applyFont="1" applyFill="1" applyProtection="1">
      <protection locked="0"/>
    </xf>
    <xf numFmtId="49" fontId="45" fillId="0" borderId="3" xfId="1" applyNumberFormat="1" applyFont="1" applyFill="1" applyBorder="1" applyProtection="1">
      <protection locked="0"/>
    </xf>
    <xf numFmtId="3" fontId="30" fillId="2" borderId="3" xfId="845" applyNumberFormat="1" applyFont="1" applyFill="1" applyBorder="1" applyAlignment="1" applyProtection="1">
      <alignment horizontal="right"/>
    </xf>
    <xf numFmtId="3" fontId="30" fillId="0" borderId="6" xfId="845" applyNumberFormat="1" applyFont="1" applyFill="1" applyBorder="1" applyAlignment="1" applyProtection="1">
      <alignment horizontal="right"/>
    </xf>
    <xf numFmtId="3" fontId="30" fillId="0" borderId="6" xfId="845" applyNumberFormat="1" applyFont="1" applyFill="1" applyBorder="1" applyAlignment="1" applyProtection="1">
      <alignment horizontal="right"/>
      <protection locked="0"/>
    </xf>
    <xf numFmtId="0" fontId="61" fillId="0" borderId="0" xfId="845" applyFont="1" applyFill="1" applyProtection="1">
      <protection locked="0"/>
    </xf>
    <xf numFmtId="0" fontId="61" fillId="0" borderId="0" xfId="845" applyFont="1" applyFill="1" applyProtection="1"/>
    <xf numFmtId="0" fontId="36" fillId="0" borderId="0" xfId="1" applyFont="1" applyFill="1" applyProtection="1">
      <protection locked="0"/>
    </xf>
    <xf numFmtId="0" fontId="61" fillId="0" borderId="0" xfId="845" applyFont="1" applyFill="1" applyBorder="1" applyProtection="1">
      <protection locked="0"/>
    </xf>
    <xf numFmtId="0" fontId="36" fillId="0" borderId="0" xfId="1" applyFont="1" applyFill="1" applyBorder="1" applyProtection="1">
      <protection locked="0"/>
    </xf>
    <xf numFmtId="165" fontId="19" fillId="0" borderId="0" xfId="1" applyNumberFormat="1" applyProtection="1">
      <protection locked="0"/>
    </xf>
    <xf numFmtId="3" fontId="58" fillId="4" borderId="0" xfId="1" applyNumberFormat="1" applyFont="1" applyFill="1" applyProtection="1">
      <protection locked="0"/>
    </xf>
    <xf numFmtId="165" fontId="19" fillId="0" borderId="0" xfId="1" applyNumberFormat="1" applyBorder="1" applyProtection="1">
      <protection locked="0"/>
    </xf>
    <xf numFmtId="0" fontId="69" fillId="0" borderId="8" xfId="1" applyFont="1" applyBorder="1" applyAlignment="1" applyProtection="1">
      <alignment horizontal="center"/>
      <protection locked="0"/>
    </xf>
    <xf numFmtId="165" fontId="17" fillId="4" borderId="0" xfId="1" applyNumberFormat="1" applyFont="1" applyFill="1" applyBorder="1" applyProtection="1">
      <protection locked="0"/>
    </xf>
    <xf numFmtId="0" fontId="17" fillId="4" borderId="0" xfId="1" applyFont="1" applyFill="1" applyBorder="1" applyProtection="1">
      <protection locked="0"/>
    </xf>
    <xf numFmtId="0" fontId="45" fillId="4" borderId="0" xfId="1" applyNumberFormat="1" applyFont="1" applyFill="1" applyBorder="1" applyAlignment="1" applyProtection="1">
      <alignment horizontal="center"/>
      <protection locked="0"/>
    </xf>
    <xf numFmtId="3" fontId="50" fillId="4" borderId="11" xfId="1" applyNumberFormat="1" applyFont="1" applyFill="1" applyBorder="1" applyProtection="1">
      <protection locked="0"/>
    </xf>
    <xf numFmtId="169" fontId="13" fillId="4" borderId="0" xfId="1" applyNumberFormat="1" applyFont="1" applyFill="1" applyBorder="1" applyAlignment="1" applyProtection="1">
      <alignment horizontal="center"/>
      <protection locked="0"/>
    </xf>
    <xf numFmtId="0" fontId="13" fillId="4" borderId="0" xfId="1" applyNumberFormat="1" applyFont="1" applyFill="1" applyBorder="1" applyAlignment="1" applyProtection="1">
      <alignment horizontal="center"/>
      <protection locked="0"/>
    </xf>
    <xf numFmtId="0" fontId="45" fillId="0" borderId="3" xfId="1" applyFont="1" applyBorder="1" applyProtection="1">
      <protection locked="0"/>
    </xf>
    <xf numFmtId="4" fontId="30" fillId="4" borderId="3" xfId="1" applyNumberFormat="1" applyFont="1" applyFill="1" applyBorder="1" applyAlignment="1" applyProtection="1">
      <alignment horizontal="right"/>
    </xf>
    <xf numFmtId="4" fontId="30" fillId="4" borderId="3" xfId="1" applyNumberFormat="1" applyFont="1" applyFill="1" applyBorder="1" applyAlignment="1" applyProtection="1">
      <alignment horizontal="right"/>
      <protection locked="0"/>
    </xf>
    <xf numFmtId="4" fontId="30" fillId="4" borderId="7" xfId="1" applyNumberFormat="1" applyFont="1" applyFill="1" applyBorder="1" applyAlignment="1" applyProtection="1">
      <alignment horizontal="right"/>
      <protection locked="0"/>
    </xf>
    <xf numFmtId="0" fontId="36" fillId="0" borderId="0" xfId="1" applyFont="1" applyBorder="1" applyProtection="1">
      <protection locked="0"/>
    </xf>
    <xf numFmtId="0" fontId="36" fillId="0" borderId="0" xfId="1" applyFont="1" applyProtection="1">
      <protection locked="0"/>
    </xf>
    <xf numFmtId="4" fontId="30" fillId="0" borderId="3" xfId="1" applyNumberFormat="1" applyFont="1" applyFill="1" applyBorder="1" applyAlignment="1" applyProtection="1">
      <alignment horizontal="right"/>
    </xf>
    <xf numFmtId="4" fontId="30" fillId="0" borderId="3" xfId="1" applyNumberFormat="1" applyFont="1" applyFill="1" applyBorder="1" applyAlignment="1" applyProtection="1">
      <alignment horizontal="right"/>
      <protection locked="0"/>
    </xf>
    <xf numFmtId="0" fontId="53" fillId="0" borderId="0" xfId="1" applyFont="1" applyBorder="1" applyProtection="1">
      <protection locked="0"/>
    </xf>
    <xf numFmtId="0" fontId="53" fillId="0" borderId="0" xfId="1" applyFont="1" applyProtection="1">
      <protection locked="0"/>
    </xf>
    <xf numFmtId="3" fontId="30" fillId="4" borderId="6" xfId="1" applyNumberFormat="1" applyFont="1" applyFill="1" applyBorder="1" applyAlignment="1" applyProtection="1">
      <alignment horizontal="right"/>
    </xf>
    <xf numFmtId="3" fontId="30" fillId="4" borderId="6" xfId="1" applyNumberFormat="1" applyFont="1" applyFill="1" applyBorder="1" applyAlignment="1" applyProtection="1">
      <alignment horizontal="right"/>
      <protection locked="0"/>
    </xf>
    <xf numFmtId="4" fontId="30" fillId="0" borderId="2" xfId="1" applyNumberFormat="1" applyFont="1" applyFill="1" applyBorder="1" applyAlignment="1" applyProtection="1">
      <alignment horizontal="right"/>
      <protection locked="0"/>
    </xf>
    <xf numFmtId="4" fontId="30" fillId="0" borderId="4" xfId="1" applyNumberFormat="1" applyFont="1" applyFill="1" applyBorder="1" applyAlignment="1" applyProtection="1">
      <alignment horizontal="right"/>
      <protection locked="0"/>
    </xf>
    <xf numFmtId="4" fontId="45" fillId="0" borderId="3" xfId="1" applyNumberFormat="1" applyFont="1" applyFill="1" applyBorder="1" applyAlignment="1" applyProtection="1">
      <alignment horizontal="right"/>
      <protection locked="0"/>
    </xf>
    <xf numFmtId="4" fontId="45" fillId="0" borderId="2" xfId="1" applyNumberFormat="1" applyFont="1" applyFill="1" applyBorder="1" applyAlignment="1" applyProtection="1">
      <alignment horizontal="right"/>
      <protection locked="0"/>
    </xf>
    <xf numFmtId="4" fontId="30" fillId="0" borderId="2" xfId="1" applyNumberFormat="1" applyFont="1" applyFill="1" applyBorder="1" applyAlignment="1" applyProtection="1">
      <alignment horizontal="right"/>
    </xf>
    <xf numFmtId="4" fontId="30" fillId="0" borderId="0" xfId="1" applyNumberFormat="1" applyFont="1" applyFill="1" applyBorder="1" applyAlignment="1" applyProtection="1">
      <alignment horizontal="right"/>
      <protection locked="0"/>
    </xf>
    <xf numFmtId="4" fontId="30" fillId="0" borderId="0" xfId="1" applyNumberFormat="1" applyFont="1" applyFill="1" applyBorder="1" applyAlignment="1" applyProtection="1">
      <alignment horizontal="right"/>
    </xf>
    <xf numFmtId="4" fontId="30" fillId="0" borderId="4" xfId="1" applyNumberFormat="1" applyFont="1" applyFill="1" applyBorder="1" applyAlignment="1" applyProtection="1">
      <alignment horizontal="right"/>
    </xf>
    <xf numFmtId="4" fontId="30" fillId="0" borderId="6" xfId="1" applyNumberFormat="1" applyFont="1" applyFill="1" applyBorder="1" applyAlignment="1" applyProtection="1">
      <alignment horizontal="right"/>
      <protection locked="0"/>
    </xf>
    <xf numFmtId="4" fontId="30" fillId="0" borderId="6" xfId="1" applyNumberFormat="1" applyFont="1" applyFill="1" applyBorder="1" applyAlignment="1" applyProtection="1">
      <alignment horizontal="right"/>
    </xf>
    <xf numFmtId="4" fontId="30" fillId="0" borderId="5" xfId="1" applyNumberFormat="1" applyFont="1" applyFill="1" applyBorder="1" applyAlignment="1" applyProtection="1">
      <alignment horizontal="right"/>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0" xfId="1" applyNumberFormat="1" applyFont="1" applyBorder="1" applyAlignment="1">
      <alignment horizontal="center"/>
    </xf>
    <xf numFmtId="3" fontId="13" fillId="0" borderId="12" xfId="1" applyNumberFormat="1" applyFont="1" applyBorder="1" applyAlignment="1">
      <alignment horizontal="center"/>
    </xf>
    <xf numFmtId="3" fontId="13" fillId="0" borderId="0" xfId="1" applyNumberFormat="1" applyFont="1" applyFill="1" applyBorder="1" applyAlignment="1">
      <alignment horizontal="center"/>
    </xf>
    <xf numFmtId="0" fontId="17" fillId="0" borderId="6" xfId="0" applyFont="1" applyFill="1" applyBorder="1"/>
    <xf numFmtId="3" fontId="17" fillId="0" borderId="3" xfId="847" applyNumberFormat="1" applyFont="1" applyBorder="1" applyAlignment="1">
      <alignment horizontal="left"/>
    </xf>
    <xf numFmtId="0" fontId="15" fillId="0" borderId="6" xfId="1" applyFont="1" applyFill="1" applyBorder="1"/>
    <xf numFmtId="3" fontId="17" fillId="0" borderId="3" xfId="847" applyNumberFormat="1" applyFont="1" applyFill="1" applyBorder="1" applyAlignment="1">
      <alignment horizontal="left"/>
    </xf>
    <xf numFmtId="0" fontId="15" fillId="0" borderId="4" xfId="1" applyFont="1" applyFill="1" applyBorder="1"/>
    <xf numFmtId="0" fontId="15" fillId="0" borderId="11" xfId="1" applyFont="1" applyFill="1" applyBorder="1"/>
    <xf numFmtId="3" fontId="30" fillId="4" borderId="1" xfId="0" applyNumberFormat="1" applyFont="1" applyFill="1" applyBorder="1" applyAlignment="1" applyProtection="1">
      <alignment horizontal="right"/>
      <protection locked="0"/>
    </xf>
    <xf numFmtId="3" fontId="45" fillId="0" borderId="6" xfId="0" applyNumberFormat="1" applyFont="1" applyFill="1" applyBorder="1" applyAlignment="1" applyProtection="1">
      <alignment horizontal="right"/>
      <protection locked="0"/>
    </xf>
    <xf numFmtId="0" fontId="30" fillId="0" borderId="3" xfId="0" applyFont="1" applyBorder="1" applyAlignment="1" applyProtection="1">
      <alignment horizontal="right"/>
      <protection locked="0"/>
    </xf>
    <xf numFmtId="3" fontId="30" fillId="4" borderId="7" xfId="0" applyNumberFormat="1" applyFont="1" applyFill="1" applyBorder="1" applyAlignment="1" applyProtection="1">
      <alignment horizontal="right"/>
      <protection locked="0"/>
    </xf>
    <xf numFmtId="1" fontId="30" fillId="0" borderId="3" xfId="0" applyNumberFormat="1" applyFont="1" applyBorder="1" applyAlignment="1" applyProtection="1">
      <alignment horizontal="right"/>
      <protection locked="0"/>
    </xf>
    <xf numFmtId="0" fontId="45" fillId="0" borderId="4" xfId="7" applyFont="1" applyFill="1" applyBorder="1" applyProtection="1">
      <protection locked="0"/>
    </xf>
    <xf numFmtId="0" fontId="45" fillId="0" borderId="4" xfId="7" applyFont="1" applyFill="1" applyBorder="1" applyAlignment="1" applyProtection="1">
      <alignment horizontal="center"/>
      <protection locked="0"/>
    </xf>
    <xf numFmtId="0" fontId="30" fillId="0" borderId="4" xfId="7" applyFont="1" applyFill="1" applyBorder="1" applyAlignment="1" applyProtection="1">
      <alignment horizontal="center"/>
      <protection locked="0"/>
    </xf>
    <xf numFmtId="0" fontId="30" fillId="0" borderId="4" xfId="7" applyFont="1" applyFill="1" applyBorder="1" applyAlignment="1" applyProtection="1">
      <alignment horizontal="left"/>
      <protection locked="0"/>
    </xf>
    <xf numFmtId="0" fontId="30" fillId="0" borderId="0" xfId="7" applyFont="1" applyProtection="1">
      <protection locked="0"/>
    </xf>
    <xf numFmtId="4" fontId="30" fillId="4" borderId="4" xfId="7" applyNumberFormat="1" applyFont="1" applyFill="1" applyBorder="1" applyAlignment="1" applyProtection="1">
      <alignment horizontal="right"/>
      <protection locked="0"/>
    </xf>
    <xf numFmtId="3" fontId="30" fillId="4" borderId="4" xfId="7" applyNumberFormat="1" applyFont="1" applyFill="1" applyBorder="1" applyAlignment="1" applyProtection="1">
      <alignment horizontal="right"/>
      <protection locked="0"/>
    </xf>
    <xf numFmtId="3" fontId="30" fillId="4" borderId="11" xfId="7" applyNumberFormat="1" applyFont="1" applyFill="1" applyBorder="1" applyAlignment="1" applyProtection="1">
      <alignment horizontal="right"/>
      <protection locked="0"/>
    </xf>
    <xf numFmtId="4" fontId="30" fillId="0" borderId="4" xfId="7" applyNumberFormat="1" applyFont="1" applyFill="1" applyBorder="1" applyAlignment="1" applyProtection="1">
      <alignment horizontal="right"/>
      <protection locked="0"/>
    </xf>
    <xf numFmtId="4" fontId="45" fillId="0" borderId="3" xfId="7" applyNumberFormat="1" applyFont="1" applyFill="1" applyBorder="1" applyAlignment="1" applyProtection="1">
      <alignment horizontal="right"/>
      <protection locked="0"/>
    </xf>
    <xf numFmtId="4" fontId="30" fillId="0" borderId="3" xfId="7" applyNumberFormat="1" applyFont="1" applyFill="1" applyBorder="1" applyAlignment="1" applyProtection="1">
      <alignment horizontal="right"/>
      <protection locked="0"/>
    </xf>
    <xf numFmtId="0" fontId="51" fillId="0" borderId="6" xfId="1" applyFont="1" applyFill="1" applyBorder="1" applyProtection="1">
      <protection locked="0"/>
    </xf>
    <xf numFmtId="4" fontId="30" fillId="4" borderId="3" xfId="7" applyNumberFormat="1" applyFont="1" applyFill="1" applyBorder="1" applyAlignment="1" applyProtection="1">
      <alignment horizontal="right"/>
      <protection locked="0"/>
    </xf>
    <xf numFmtId="3" fontId="30" fillId="4" borderId="3" xfId="7" applyNumberFormat="1" applyFont="1" applyFill="1" applyBorder="1" applyAlignment="1" applyProtection="1">
      <alignment horizontal="right"/>
      <protection locked="0"/>
    </xf>
    <xf numFmtId="4" fontId="45" fillId="0" borderId="4" xfId="7" applyNumberFormat="1" applyFont="1" applyFill="1" applyBorder="1" applyAlignment="1" applyProtection="1">
      <alignment horizontal="right"/>
      <protection locked="0"/>
    </xf>
    <xf numFmtId="3" fontId="30" fillId="4" borderId="6" xfId="7" applyNumberFormat="1" applyFont="1" applyFill="1" applyBorder="1" applyAlignment="1" applyProtection="1">
      <alignment horizontal="right"/>
      <protection locked="0"/>
    </xf>
    <xf numFmtId="4" fontId="30" fillId="4" borderId="3" xfId="0" applyNumberFormat="1" applyFont="1" applyFill="1" applyBorder="1" applyAlignment="1" applyProtection="1">
      <alignment horizontal="right"/>
      <protection locked="0"/>
    </xf>
    <xf numFmtId="1" fontId="13" fillId="0" borderId="11" xfId="1" applyNumberFormat="1" applyFont="1" applyFill="1" applyBorder="1" applyAlignment="1">
      <alignment horizontal="center"/>
    </xf>
    <xf numFmtId="3" fontId="13" fillId="0" borderId="0" xfId="1" applyNumberFormat="1" applyFont="1" applyFill="1" applyBorder="1" applyAlignment="1">
      <alignment horizontal="center"/>
    </xf>
    <xf numFmtId="3" fontId="13" fillId="0" borderId="12" xfId="1" applyNumberFormat="1" applyFont="1" applyFill="1" applyBorder="1"/>
    <xf numFmtId="3" fontId="14" fillId="0" borderId="0" xfId="1" applyNumberFormat="1" applyFont="1" applyFill="1" applyBorder="1" applyAlignment="1">
      <alignment horizontal="center"/>
    </xf>
    <xf numFmtId="3" fontId="30" fillId="4" borderId="1" xfId="0" applyNumberFormat="1" applyFont="1" applyFill="1" applyBorder="1" applyAlignment="1">
      <alignment horizontal="right"/>
    </xf>
    <xf numFmtId="3" fontId="30" fillId="4" borderId="4" xfId="0" applyNumberFormat="1" applyFont="1" applyFill="1" applyBorder="1" applyAlignment="1">
      <alignment horizontal="right"/>
    </xf>
    <xf numFmtId="3" fontId="30" fillId="4" borderId="3" xfId="0" applyNumberFormat="1" applyFont="1" applyFill="1" applyBorder="1" applyAlignment="1">
      <alignment horizontal="right"/>
    </xf>
    <xf numFmtId="3" fontId="45" fillId="4" borderId="4" xfId="15" applyNumberFormat="1" applyFont="1" applyFill="1" applyBorder="1" applyAlignment="1">
      <alignment horizontal="right"/>
    </xf>
    <xf numFmtId="3" fontId="30" fillId="4" borderId="4" xfId="15" applyNumberFormat="1" applyFont="1" applyFill="1" applyBorder="1" applyAlignment="1">
      <alignment horizontal="right"/>
    </xf>
    <xf numFmtId="3" fontId="45" fillId="4" borderId="11" xfId="15" applyNumberFormat="1" applyFont="1" applyFill="1" applyBorder="1" applyAlignment="1">
      <alignment horizontal="right"/>
    </xf>
    <xf numFmtId="3" fontId="45" fillId="4" borderId="1" xfId="14" applyNumberFormat="1" applyFont="1" applyFill="1" applyBorder="1" applyAlignment="1">
      <alignment horizontal="right"/>
    </xf>
    <xf numFmtId="3" fontId="30" fillId="0" borderId="3" xfId="0" applyNumberFormat="1" applyFont="1" applyBorder="1" applyProtection="1">
      <protection locked="0"/>
    </xf>
    <xf numFmtId="3" fontId="30" fillId="0" borderId="6" xfId="0" applyNumberFormat="1" applyFont="1" applyBorder="1"/>
    <xf numFmtId="3" fontId="30" fillId="0" borderId="6" xfId="0" applyNumberFormat="1" applyFont="1" applyBorder="1" applyProtection="1">
      <protection locked="0"/>
    </xf>
    <xf numFmtId="0" fontId="13" fillId="0" borderId="4" xfId="7" applyFont="1" applyBorder="1" applyAlignment="1">
      <alignment horizontal="center"/>
    </xf>
    <xf numFmtId="0" fontId="13" fillId="0" borderId="4" xfId="7" applyFont="1" applyBorder="1" applyAlignment="1" applyProtection="1">
      <alignment horizontal="center"/>
      <protection locked="0"/>
    </xf>
    <xf numFmtId="0" fontId="45" fillId="0" borderId="4" xfId="7" applyFont="1" applyBorder="1" applyAlignment="1">
      <alignment horizontal="right"/>
    </xf>
    <xf numFmtId="3" fontId="45" fillId="0" borderId="4" xfId="7" applyNumberFormat="1" applyFont="1" applyBorder="1" applyAlignment="1" applyProtection="1">
      <alignment horizontal="right"/>
      <protection locked="0"/>
    </xf>
    <xf numFmtId="0" fontId="30" fillId="0" borderId="4" xfId="7" applyFont="1" applyBorder="1" applyAlignment="1">
      <alignment horizontal="right"/>
    </xf>
    <xf numFmtId="3" fontId="30" fillId="0" borderId="4" xfId="7" applyNumberFormat="1" applyFont="1" applyBorder="1" applyAlignment="1" applyProtection="1">
      <alignment horizontal="right"/>
      <protection locked="0"/>
    </xf>
    <xf numFmtId="3" fontId="30" fillId="0" borderId="4" xfId="7" applyNumberFormat="1" applyFont="1" applyBorder="1" applyAlignment="1">
      <alignment horizontal="right"/>
    </xf>
    <xf numFmtId="3" fontId="45" fillId="0" borderId="4" xfId="7" applyNumberFormat="1" applyFont="1" applyBorder="1" applyAlignment="1">
      <alignment horizontal="right"/>
    </xf>
    <xf numFmtId="3" fontId="30" fillId="0" borderId="11" xfId="7" applyNumberFormat="1" applyFont="1" applyBorder="1" applyAlignment="1">
      <alignment horizontal="right"/>
    </xf>
    <xf numFmtId="3" fontId="30" fillId="0" borderId="11" xfId="7" applyNumberFormat="1" applyFont="1" applyBorder="1" applyAlignment="1" applyProtection="1">
      <alignment horizontal="right"/>
      <protection locked="0"/>
    </xf>
    <xf numFmtId="3" fontId="30" fillId="0" borderId="1" xfId="7" applyNumberFormat="1" applyFont="1" applyBorder="1" applyAlignment="1">
      <alignment horizontal="right"/>
    </xf>
    <xf numFmtId="3" fontId="30" fillId="0" borderId="1" xfId="7" applyNumberFormat="1" applyFont="1" applyBorder="1" applyAlignment="1" applyProtection="1">
      <alignment horizontal="right"/>
      <protection locked="0"/>
    </xf>
    <xf numFmtId="0" fontId="15" fillId="0" borderId="4" xfId="7" applyFont="1" applyBorder="1" applyAlignment="1">
      <alignment horizontal="right"/>
    </xf>
    <xf numFmtId="0" fontId="15" fillId="0" borderId="4" xfId="7" applyFont="1" applyBorder="1" applyAlignment="1" applyProtection="1">
      <alignment horizontal="right"/>
      <protection locked="0"/>
    </xf>
    <xf numFmtId="3" fontId="30" fillId="0" borderId="4" xfId="848" applyNumberFormat="1" applyFont="1" applyBorder="1" applyAlignment="1">
      <alignment horizontal="right"/>
    </xf>
    <xf numFmtId="3" fontId="30" fillId="0" borderId="4" xfId="848" applyNumberFormat="1" applyFont="1" applyBorder="1" applyAlignment="1" applyProtection="1">
      <alignment horizontal="right"/>
      <protection locked="0"/>
    </xf>
    <xf numFmtId="3" fontId="45" fillId="0" borderId="4" xfId="848" applyNumberFormat="1" applyFont="1" applyBorder="1" applyAlignment="1">
      <alignment horizontal="right"/>
    </xf>
    <xf numFmtId="3" fontId="45" fillId="0" borderId="4" xfId="848" applyNumberFormat="1" applyFont="1" applyBorder="1" applyAlignment="1" applyProtection="1">
      <alignment horizontal="right"/>
      <protection locked="0"/>
    </xf>
    <xf numFmtId="3" fontId="30" fillId="0" borderId="11" xfId="848" applyNumberFormat="1" applyFont="1" applyBorder="1" applyAlignment="1">
      <alignment horizontal="right"/>
    </xf>
    <xf numFmtId="3" fontId="30" fillId="0" borderId="11" xfId="848" applyNumberFormat="1" applyFont="1" applyBorder="1" applyAlignment="1" applyProtection="1">
      <alignment horizontal="right"/>
      <protection locked="0"/>
    </xf>
    <xf numFmtId="3" fontId="15" fillId="0" borderId="4" xfId="7" applyNumberFormat="1" applyFont="1" applyBorder="1" applyAlignment="1">
      <alignment horizontal="right"/>
    </xf>
    <xf numFmtId="3" fontId="15" fillId="0" borderId="4" xfId="7" applyNumberFormat="1" applyFont="1" applyBorder="1" applyAlignment="1" applyProtection="1">
      <alignment horizontal="right"/>
      <protection locked="0"/>
    </xf>
    <xf numFmtId="3" fontId="30" fillId="0" borderId="6" xfId="848" applyNumberFormat="1" applyFont="1" applyBorder="1" applyAlignment="1" applyProtection="1">
      <alignment horizontal="right"/>
      <protection locked="0"/>
    </xf>
    <xf numFmtId="3" fontId="30" fillId="0" borderId="4" xfId="0" applyNumberFormat="1" applyFont="1" applyBorder="1" applyAlignment="1" applyProtection="1">
      <alignment horizontal="right"/>
      <protection locked="0"/>
    </xf>
    <xf numFmtId="3" fontId="30" fillId="0" borderId="7" xfId="7" applyNumberFormat="1" applyFont="1" applyBorder="1" applyAlignment="1">
      <alignment horizontal="right"/>
    </xf>
    <xf numFmtId="3" fontId="30" fillId="0" borderId="7" xfId="7" applyNumberFormat="1" applyFont="1" applyBorder="1" applyAlignment="1" applyProtection="1">
      <alignment horizontal="right"/>
      <protection locked="0"/>
    </xf>
    <xf numFmtId="3" fontId="30" fillId="0" borderId="2" xfId="7" applyNumberFormat="1" applyFont="1" applyBorder="1" applyAlignment="1">
      <alignment horizontal="right"/>
    </xf>
    <xf numFmtId="3" fontId="30" fillId="0" borderId="2" xfId="7" applyNumberFormat="1" applyFont="1" applyBorder="1" applyAlignment="1" applyProtection="1">
      <alignment horizontal="right"/>
      <protection locked="0"/>
    </xf>
    <xf numFmtId="3" fontId="45" fillId="0" borderId="3" xfId="7" applyNumberFormat="1" applyFont="1" applyBorder="1" applyAlignment="1">
      <alignment horizontal="right"/>
    </xf>
    <xf numFmtId="3" fontId="45" fillId="0" borderId="3" xfId="7" applyNumberFormat="1" applyFont="1" applyBorder="1" applyAlignment="1" applyProtection="1">
      <alignment horizontal="right"/>
      <protection locked="0"/>
    </xf>
    <xf numFmtId="3" fontId="30" fillId="0" borderId="3" xfId="7" applyNumberFormat="1" applyFont="1" applyBorder="1" applyAlignment="1">
      <alignment horizontal="right"/>
    </xf>
    <xf numFmtId="3" fontId="30" fillId="0" borderId="3" xfId="7" applyNumberFormat="1" applyFont="1" applyBorder="1" applyAlignment="1" applyProtection="1">
      <alignment horizontal="right"/>
      <protection locked="0"/>
    </xf>
    <xf numFmtId="3" fontId="30" fillId="0" borderId="6" xfId="7" applyNumberFormat="1" applyFont="1" applyBorder="1" applyAlignment="1">
      <alignment horizontal="right"/>
    </xf>
    <xf numFmtId="3" fontId="30" fillId="0" borderId="6" xfId="7" applyNumberFormat="1" applyFont="1" applyBorder="1" applyAlignment="1" applyProtection="1">
      <alignment horizontal="right"/>
      <protection locked="0"/>
    </xf>
    <xf numFmtId="3" fontId="30" fillId="0" borderId="3" xfId="848" applyNumberFormat="1" applyFont="1" applyBorder="1" applyAlignment="1">
      <alignment horizontal="right"/>
    </xf>
    <xf numFmtId="3" fontId="30" fillId="0" borderId="3" xfId="848" applyNumberFormat="1" applyFont="1" applyBorder="1" applyAlignment="1" applyProtection="1">
      <alignment horizontal="right"/>
      <protection locked="0"/>
    </xf>
    <xf numFmtId="3" fontId="45" fillId="0" borderId="3" xfId="848" applyNumberFormat="1" applyFont="1" applyBorder="1" applyAlignment="1">
      <alignment horizontal="right"/>
    </xf>
    <xf numFmtId="3" fontId="45" fillId="0" borderId="3" xfId="848" applyNumberFormat="1" applyFont="1" applyBorder="1" applyAlignment="1" applyProtection="1">
      <alignment horizontal="right"/>
      <protection locked="0"/>
    </xf>
    <xf numFmtId="3" fontId="30" fillId="0" borderId="6" xfId="848" applyNumberFormat="1" applyFont="1" applyBorder="1" applyAlignment="1">
      <alignment horizontal="right"/>
    </xf>
    <xf numFmtId="4" fontId="30" fillId="4" borderId="4" xfId="7" applyNumberFormat="1" applyFont="1" applyFill="1" applyBorder="1" applyAlignment="1">
      <alignment horizontal="right"/>
    </xf>
    <xf numFmtId="3" fontId="30" fillId="4" borderId="4" xfId="7" applyNumberFormat="1" applyFont="1" applyFill="1" applyBorder="1" applyAlignment="1">
      <alignment horizontal="right"/>
    </xf>
    <xf numFmtId="3" fontId="30" fillId="4" borderId="11" xfId="7" applyNumberFormat="1" applyFont="1" applyFill="1" applyBorder="1" applyAlignment="1">
      <alignment horizontal="right"/>
    </xf>
    <xf numFmtId="4" fontId="30" fillId="0" borderId="4" xfId="7" applyNumberFormat="1" applyFont="1" applyBorder="1" applyAlignment="1" applyProtection="1">
      <alignment horizontal="right"/>
      <protection locked="0"/>
    </xf>
    <xf numFmtId="4" fontId="45" fillId="0" borderId="3" xfId="7" applyNumberFormat="1" applyFont="1" applyBorder="1" applyAlignment="1" applyProtection="1">
      <alignment horizontal="right"/>
      <protection locked="0"/>
    </xf>
    <xf numFmtId="4" fontId="30" fillId="0" borderId="3" xfId="7" applyNumberFormat="1" applyFont="1" applyBorder="1" applyAlignment="1" applyProtection="1">
      <alignment horizontal="right"/>
      <protection locked="0"/>
    </xf>
    <xf numFmtId="4" fontId="30" fillId="0" borderId="6" xfId="7" applyNumberFormat="1" applyFont="1" applyBorder="1" applyAlignment="1" applyProtection="1">
      <alignment horizontal="right"/>
      <protection locked="0"/>
    </xf>
    <xf numFmtId="3" fontId="30" fillId="10" borderId="3" xfId="0" applyNumberFormat="1" applyFont="1" applyFill="1" applyBorder="1" applyAlignment="1">
      <alignment horizontal="right"/>
    </xf>
    <xf numFmtId="3" fontId="30" fillId="4" borderId="0" xfId="0" applyNumberFormat="1" applyFont="1" applyFill="1" applyAlignment="1" applyProtection="1">
      <alignment horizontal="right"/>
      <protection locked="0"/>
    </xf>
    <xf numFmtId="0" fontId="13" fillId="0" borderId="6" xfId="7" applyFont="1" applyBorder="1" applyAlignment="1" applyProtection="1">
      <alignment horizontal="center"/>
      <protection locked="0"/>
    </xf>
    <xf numFmtId="0" fontId="13" fillId="0" borderId="6" xfId="0" applyFont="1" applyBorder="1" applyAlignment="1" applyProtection="1">
      <alignment horizontal="center"/>
      <protection locked="0"/>
    </xf>
    <xf numFmtId="3" fontId="60" fillId="4" borderId="3" xfId="0" applyNumberFormat="1" applyFont="1" applyFill="1" applyBorder="1" applyAlignment="1">
      <alignment horizontal="right"/>
    </xf>
    <xf numFmtId="3" fontId="45" fillId="4" borderId="3" xfId="0" applyNumberFormat="1" applyFont="1" applyFill="1" applyBorder="1" applyAlignment="1">
      <alignment horizontal="right"/>
    </xf>
    <xf numFmtId="3" fontId="45" fillId="4" borderId="4" xfId="0" applyNumberFormat="1" applyFont="1" applyFill="1" applyBorder="1" applyAlignment="1">
      <alignment horizontal="right"/>
    </xf>
    <xf numFmtId="3" fontId="45" fillId="4" borderId="6" xfId="0" applyNumberFormat="1" applyFont="1" applyFill="1" applyBorder="1" applyAlignment="1">
      <alignment horizontal="right"/>
    </xf>
    <xf numFmtId="4" fontId="30" fillId="4" borderId="3" xfId="7" applyNumberFormat="1" applyFont="1" applyFill="1" applyBorder="1" applyAlignment="1">
      <alignment horizontal="right"/>
    </xf>
    <xf numFmtId="3" fontId="30" fillId="4" borderId="2" xfId="7" applyNumberFormat="1" applyFont="1" applyFill="1" applyBorder="1" applyAlignment="1">
      <alignment horizontal="right"/>
    </xf>
    <xf numFmtId="3" fontId="30" fillId="4" borderId="6" xfId="7" applyNumberFormat="1" applyFont="1" applyFill="1" applyBorder="1" applyAlignment="1">
      <alignment horizontal="right"/>
    </xf>
    <xf numFmtId="4" fontId="45" fillId="0" borderId="4" xfId="7" applyNumberFormat="1" applyFont="1" applyBorder="1" applyAlignment="1" applyProtection="1">
      <alignment horizontal="right"/>
      <protection locked="0"/>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 xfId="7" applyNumberFormat="1" applyFont="1" applyFill="1" applyBorder="1" applyAlignment="1" applyProtection="1">
      <alignment horizontal="center"/>
      <protection locked="0"/>
    </xf>
    <xf numFmtId="0" fontId="45" fillId="0" borderId="14" xfId="7" applyNumberFormat="1" applyFont="1" applyFill="1" applyBorder="1" applyAlignment="1" applyProtection="1">
      <alignment horizontal="center"/>
      <protection locked="0"/>
    </xf>
    <xf numFmtId="0" fontId="45" fillId="0" borderId="15" xfId="7" applyNumberFormat="1" applyFont="1" applyFill="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166" fontId="30" fillId="4" borderId="3" xfId="847" applyNumberFormat="1" applyFont="1" applyFill="1" applyBorder="1" applyAlignment="1">
      <alignment horizontal="right"/>
    </xf>
    <xf numFmtId="0" fontId="30" fillId="0" borderId="3" xfId="0" applyFont="1" applyBorder="1" applyAlignment="1">
      <alignment horizontal="right"/>
    </xf>
    <xf numFmtId="169" fontId="15" fillId="0" borderId="4" xfId="848" applyNumberFormat="1" applyFont="1" applyBorder="1" applyAlignment="1">
      <alignment horizontal="right"/>
    </xf>
    <xf numFmtId="4" fontId="30" fillId="4" borderId="3" xfId="0" applyNumberFormat="1" applyFont="1" applyFill="1" applyBorder="1" applyAlignment="1">
      <alignment horizontal="right"/>
    </xf>
    <xf numFmtId="3" fontId="30" fillId="4" borderId="3" xfId="7" applyNumberFormat="1" applyFont="1" applyFill="1" applyBorder="1" applyAlignment="1">
      <alignment horizontal="right"/>
    </xf>
    <xf numFmtId="4" fontId="30" fillId="0" borderId="11" xfId="7" applyNumberFormat="1" applyFont="1" applyBorder="1" applyAlignment="1" applyProtection="1">
      <alignment horizontal="right"/>
      <protection locked="0"/>
    </xf>
    <xf numFmtId="0" fontId="13" fillId="0" borderId="11" xfId="0" applyFont="1" applyBorder="1" applyAlignment="1" applyProtection="1">
      <alignment horizontal="center"/>
      <protection locked="0"/>
    </xf>
    <xf numFmtId="1" fontId="30" fillId="0" borderId="4" xfId="7" applyNumberFormat="1" applyFont="1" applyBorder="1" applyAlignment="1">
      <alignment horizontal="right"/>
    </xf>
    <xf numFmtId="1" fontId="45" fillId="0" borderId="4" xfId="7" applyNumberFormat="1" applyFont="1" applyBorder="1" applyAlignment="1">
      <alignment horizontal="right"/>
    </xf>
    <xf numFmtId="1" fontId="30" fillId="0" borderId="11" xfId="7" applyNumberFormat="1" applyFont="1" applyBorder="1" applyAlignment="1">
      <alignment horizontal="right"/>
    </xf>
    <xf numFmtId="1" fontId="30" fillId="0" borderId="1" xfId="7" applyNumberFormat="1" applyFont="1" applyBorder="1" applyAlignment="1">
      <alignment horizontal="right"/>
    </xf>
    <xf numFmtId="4" fontId="30" fillId="0" borderId="3" xfId="7" applyNumberFormat="1" applyFont="1" applyBorder="1" applyAlignment="1">
      <alignment horizontal="right"/>
    </xf>
    <xf numFmtId="170" fontId="30" fillId="0" borderId="3" xfId="847" applyNumberFormat="1" applyFont="1" applyBorder="1" applyAlignment="1">
      <alignment horizontal="right"/>
    </xf>
    <xf numFmtId="166" fontId="45" fillId="0" borderId="4" xfId="847" applyNumberFormat="1" applyFont="1" applyBorder="1" applyAlignment="1">
      <alignment horizontal="right"/>
    </xf>
    <xf numFmtId="166" fontId="30" fillId="0" borderId="4" xfId="847" applyNumberFormat="1" applyFont="1" applyBorder="1" applyAlignment="1">
      <alignment horizontal="right"/>
    </xf>
    <xf numFmtId="166" fontId="15" fillId="0" borderId="4" xfId="847" applyNumberFormat="1" applyFont="1" applyBorder="1" applyAlignment="1">
      <alignment horizontal="right"/>
    </xf>
    <xf numFmtId="166" fontId="30" fillId="0" borderId="11" xfId="847" applyNumberFormat="1" applyFont="1" applyBorder="1" applyAlignment="1">
      <alignment horizontal="right"/>
    </xf>
    <xf numFmtId="4" fontId="30" fillId="0" borderId="4" xfId="7" applyNumberFormat="1" applyFont="1" applyBorder="1" applyAlignment="1">
      <alignment horizontal="right"/>
    </xf>
    <xf numFmtId="3" fontId="15" fillId="0" borderId="4" xfId="7" applyNumberFormat="1" applyFont="1" applyBorder="1" applyAlignment="1">
      <alignment horizontal="center"/>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 xfId="7" applyNumberFormat="1" applyFont="1" applyFill="1" applyBorder="1" applyAlignment="1" applyProtection="1">
      <alignment horizontal="center"/>
      <protection locked="0"/>
    </xf>
    <xf numFmtId="0" fontId="45" fillId="0" borderId="14" xfId="7" applyNumberFormat="1" applyFont="1" applyFill="1" applyBorder="1" applyAlignment="1" applyProtection="1">
      <alignment horizontal="center"/>
      <protection locked="0"/>
    </xf>
    <xf numFmtId="0" fontId="45" fillId="0" borderId="15" xfId="7" applyNumberFormat="1" applyFont="1" applyFill="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1" fontId="30" fillId="0" borderId="3" xfId="0" applyNumberFormat="1" applyFont="1" applyBorder="1" applyAlignment="1">
      <alignment horizontal="right"/>
    </xf>
    <xf numFmtId="3" fontId="30" fillId="0" borderId="3" xfId="0" applyNumberFormat="1" applyFont="1" applyFill="1" applyBorder="1" applyAlignment="1">
      <alignment horizontal="right"/>
    </xf>
    <xf numFmtId="3" fontId="45" fillId="0" borderId="4" xfId="15" applyNumberFormat="1" applyFont="1" applyFill="1" applyBorder="1" applyAlignment="1">
      <alignment horizontal="right"/>
    </xf>
    <xf numFmtId="3" fontId="30" fillId="0" borderId="4" xfId="15" applyNumberFormat="1" applyFont="1" applyFill="1" applyBorder="1" applyAlignment="1">
      <alignment horizontal="right"/>
    </xf>
    <xf numFmtId="3" fontId="45" fillId="0" borderId="4" xfId="15" applyNumberFormat="1" applyFont="1" applyFill="1" applyBorder="1" applyAlignment="1" applyProtection="1">
      <alignment horizontal="right"/>
      <protection locked="0"/>
    </xf>
    <xf numFmtId="3" fontId="45" fillId="0" borderId="11" xfId="15" applyNumberFormat="1" applyFont="1" applyFill="1" applyBorder="1" applyAlignment="1" applyProtection="1">
      <alignment horizontal="right"/>
      <protection locked="0"/>
    </xf>
    <xf numFmtId="3" fontId="45" fillId="0" borderId="1" xfId="14" applyNumberFormat="1" applyFont="1" applyFill="1" applyBorder="1" applyAlignment="1">
      <alignment horizontal="right"/>
    </xf>
    <xf numFmtId="3" fontId="30" fillId="0" borderId="3" xfId="0" applyNumberFormat="1" applyFont="1" applyFill="1" applyBorder="1" applyProtection="1">
      <protection locked="0"/>
    </xf>
    <xf numFmtId="3" fontId="30" fillId="0" borderId="6" xfId="0" applyNumberFormat="1" applyFont="1" applyFill="1" applyBorder="1" applyProtection="1">
      <protection locked="0"/>
    </xf>
    <xf numFmtId="0" fontId="13" fillId="0" borderId="4" xfId="7" applyFont="1" applyFill="1" applyBorder="1" applyAlignment="1">
      <alignment horizontal="center"/>
    </xf>
    <xf numFmtId="0" fontId="45" fillId="0" borderId="4" xfId="7" applyFont="1" applyFill="1" applyBorder="1" applyAlignment="1">
      <alignment horizontal="right"/>
    </xf>
    <xf numFmtId="0" fontId="30" fillId="0" borderId="4" xfId="7" applyFont="1" applyFill="1" applyBorder="1" applyAlignment="1">
      <alignment horizontal="right"/>
    </xf>
    <xf numFmtId="3" fontId="30" fillId="0" borderId="4" xfId="7" applyNumberFormat="1" applyFont="1" applyFill="1" applyBorder="1" applyAlignment="1">
      <alignment horizontal="right"/>
    </xf>
    <xf numFmtId="3" fontId="45" fillId="0" borderId="4" xfId="7" applyNumberFormat="1" applyFont="1" applyFill="1" applyBorder="1" applyAlignment="1">
      <alignment horizontal="right"/>
    </xf>
    <xf numFmtId="3" fontId="30" fillId="0" borderId="11" xfId="7" applyNumberFormat="1" applyFont="1" applyFill="1" applyBorder="1" applyAlignment="1">
      <alignment horizontal="right"/>
    </xf>
    <xf numFmtId="3" fontId="30" fillId="0" borderId="1" xfId="7" applyNumberFormat="1" applyFont="1" applyFill="1" applyBorder="1" applyAlignment="1">
      <alignment horizontal="right"/>
    </xf>
    <xf numFmtId="0" fontId="15" fillId="0" borderId="4" xfId="7" applyFont="1" applyFill="1" applyBorder="1" applyAlignment="1">
      <alignment horizontal="right"/>
    </xf>
    <xf numFmtId="0" fontId="15" fillId="0" borderId="4" xfId="7" applyFont="1" applyFill="1" applyBorder="1" applyAlignment="1" applyProtection="1">
      <alignment horizontal="right"/>
      <protection locked="0"/>
    </xf>
    <xf numFmtId="3" fontId="30" fillId="0" borderId="4" xfId="848" applyNumberFormat="1" applyFont="1" applyFill="1" applyBorder="1" applyAlignment="1">
      <alignment horizontal="right"/>
    </xf>
    <xf numFmtId="3" fontId="45" fillId="0" borderId="4" xfId="848" applyNumberFormat="1" applyFont="1" applyFill="1" applyBorder="1" applyAlignment="1">
      <alignment horizontal="right"/>
    </xf>
    <xf numFmtId="3" fontId="30" fillId="0" borderId="11" xfId="848" applyNumberFormat="1" applyFont="1" applyFill="1" applyBorder="1" applyAlignment="1">
      <alignment horizontal="right"/>
    </xf>
    <xf numFmtId="3" fontId="15" fillId="0" borderId="4" xfId="7" applyNumberFormat="1" applyFont="1" applyFill="1" applyBorder="1" applyAlignment="1">
      <alignment horizontal="right"/>
    </xf>
    <xf numFmtId="0" fontId="13" fillId="0" borderId="6" xfId="0" applyFont="1" applyFill="1" applyBorder="1" applyAlignment="1" applyProtection="1">
      <alignment horizontal="center"/>
      <protection locked="0"/>
    </xf>
    <xf numFmtId="3" fontId="60" fillId="0" borderId="3" xfId="0" applyNumberFormat="1" applyFont="1" applyFill="1" applyBorder="1" applyAlignment="1">
      <alignment horizontal="right"/>
    </xf>
    <xf numFmtId="3" fontId="60" fillId="0" borderId="3" xfId="0" applyNumberFormat="1" applyFont="1" applyFill="1" applyBorder="1" applyAlignment="1" applyProtection="1">
      <alignment horizontal="right"/>
      <protection locked="0"/>
    </xf>
    <xf numFmtId="0" fontId="13" fillId="0" borderId="6" xfId="7" applyFont="1" applyBorder="1" applyAlignment="1">
      <alignment horizontal="center"/>
    </xf>
    <xf numFmtId="3" fontId="30" fillId="4" borderId="5" xfId="7" applyNumberFormat="1" applyFont="1" applyFill="1" applyBorder="1" applyAlignment="1">
      <alignment horizontal="right"/>
    </xf>
    <xf numFmtId="3" fontId="30" fillId="4" borderId="1" xfId="15" applyNumberFormat="1" applyFont="1" applyFill="1" applyBorder="1" applyAlignment="1">
      <alignment horizontal="right"/>
    </xf>
    <xf numFmtId="1" fontId="15" fillId="0" borderId="4" xfId="848" applyNumberFormat="1" applyFont="1" applyBorder="1" applyAlignment="1">
      <alignment horizontal="right"/>
    </xf>
    <xf numFmtId="3" fontId="30" fillId="4" borderId="4" xfId="847" applyNumberFormat="1" applyFont="1" applyFill="1" applyBorder="1" applyAlignment="1">
      <alignment horizontal="right"/>
    </xf>
    <xf numFmtId="3" fontId="30" fillId="0" borderId="4" xfId="847" applyNumberFormat="1" applyFont="1" applyBorder="1" applyAlignment="1">
      <alignment horizontal="right"/>
    </xf>
    <xf numFmtId="3" fontId="30" fillId="0" borderId="4" xfId="847" applyNumberFormat="1" applyFont="1" applyBorder="1" applyAlignment="1" applyProtection="1">
      <alignment horizontal="right"/>
      <protection locked="0"/>
    </xf>
    <xf numFmtId="3" fontId="30" fillId="0" borderId="3" xfId="847" applyNumberFormat="1" applyFont="1" applyBorder="1" applyAlignment="1">
      <alignment horizontal="right"/>
    </xf>
    <xf numFmtId="3" fontId="30" fillId="0" borderId="3" xfId="847" applyNumberFormat="1" applyFont="1" applyBorder="1" applyAlignment="1" applyProtection="1">
      <alignment horizontal="right"/>
      <protection locked="0"/>
    </xf>
    <xf numFmtId="166" fontId="30" fillId="0" borderId="3" xfId="847" applyNumberFormat="1" applyFont="1" applyBorder="1" applyAlignment="1">
      <alignment horizontal="right"/>
    </xf>
    <xf numFmtId="166" fontId="30" fillId="4" borderId="4" xfId="847" applyNumberFormat="1" applyFont="1" applyFill="1" applyBorder="1" applyAlignment="1">
      <alignment horizontal="right"/>
    </xf>
    <xf numFmtId="3" fontId="13" fillId="0" borderId="4" xfId="7" applyNumberFormat="1" applyFont="1" applyBorder="1" applyAlignment="1">
      <alignment horizontal="center"/>
    </xf>
    <xf numFmtId="165" fontId="30" fillId="0" borderId="4" xfId="848" applyNumberFormat="1" applyFont="1" applyBorder="1" applyAlignment="1">
      <alignment horizontal="right"/>
    </xf>
    <xf numFmtId="165" fontId="45" fillId="0" borderId="4" xfId="848" applyNumberFormat="1" applyFont="1" applyBorder="1" applyAlignment="1">
      <alignment horizontal="right"/>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 xfId="7" applyNumberFormat="1" applyFont="1" applyFill="1" applyBorder="1" applyAlignment="1" applyProtection="1">
      <alignment horizontal="center"/>
      <protection locked="0"/>
    </xf>
    <xf numFmtId="0" fontId="45" fillId="0" borderId="14" xfId="7" applyNumberFormat="1" applyFont="1" applyFill="1" applyBorder="1" applyAlignment="1" applyProtection="1">
      <alignment horizontal="center"/>
      <protection locked="0"/>
    </xf>
    <xf numFmtId="0" fontId="45" fillId="0" borderId="15" xfId="7" applyNumberFormat="1" applyFont="1" applyFill="1" applyBorder="1" applyAlignment="1" applyProtection="1">
      <alignment horizontal="center"/>
      <protection locked="0"/>
    </xf>
    <xf numFmtId="0" fontId="45" fillId="0" borderId="14" xfId="845" applyNumberFormat="1" applyFont="1" applyFill="1" applyBorder="1" applyAlignment="1" applyProtection="1">
      <alignment horizontal="center"/>
      <protection locked="0"/>
    </xf>
    <xf numFmtId="0" fontId="45" fillId="0" borderId="15" xfId="845" applyNumberFormat="1" applyFont="1" applyFill="1" applyBorder="1" applyAlignment="1" applyProtection="1">
      <alignment horizontal="center"/>
      <protection locked="0"/>
    </xf>
    <xf numFmtId="0" fontId="45" fillId="0" borderId="12" xfId="845" applyNumberFormat="1" applyFont="1" applyFill="1" applyBorder="1" applyAlignment="1" applyProtection="1">
      <alignment horizontal="center"/>
      <protection locked="0"/>
    </xf>
    <xf numFmtId="0" fontId="45" fillId="0" borderId="5" xfId="845" applyNumberFormat="1" applyFont="1" applyFill="1" applyBorder="1" applyAlignment="1" applyProtection="1">
      <alignment horizontal="center"/>
      <protection locked="0"/>
    </xf>
    <xf numFmtId="0" fontId="45" fillId="0" borderId="3" xfId="0" applyFont="1" applyFill="1" applyBorder="1" applyProtection="1">
      <protection locked="0"/>
    </xf>
    <xf numFmtId="0" fontId="45" fillId="0" borderId="6" xfId="0" applyFont="1" applyFill="1" applyBorder="1" applyProtection="1">
      <protection locked="0"/>
    </xf>
    <xf numFmtId="1" fontId="45" fillId="0" borderId="2" xfId="7" applyNumberFormat="1" applyFont="1" applyFill="1" applyBorder="1" applyAlignment="1" applyProtection="1">
      <alignment horizontal="right"/>
      <protection locked="0"/>
    </xf>
    <xf numFmtId="0" fontId="76" fillId="0" borderId="0" xfId="1" applyFont="1" applyFill="1" applyProtection="1">
      <protection locked="0"/>
    </xf>
    <xf numFmtId="3" fontId="17" fillId="0" borderId="8" xfId="1" applyNumberFormat="1" applyFont="1" applyFill="1" applyBorder="1"/>
    <xf numFmtId="3" fontId="15" fillId="0" borderId="6" xfId="1" applyNumberFormat="1" applyFont="1" applyFill="1" applyBorder="1"/>
    <xf numFmtId="3" fontId="15" fillId="0" borderId="11" xfId="1" applyNumberFormat="1" applyFont="1" applyFill="1" applyBorder="1"/>
    <xf numFmtId="3" fontId="30" fillId="4" borderId="7" xfId="0" applyNumberFormat="1" applyFont="1" applyFill="1" applyBorder="1" applyAlignment="1">
      <alignment horizontal="right"/>
    </xf>
    <xf numFmtId="4" fontId="30" fillId="0" borderId="6" xfId="7" applyNumberFormat="1" applyFont="1" applyFill="1" applyBorder="1" applyAlignment="1" applyProtection="1">
      <alignment horizontal="right"/>
      <protection locked="0"/>
    </xf>
    <xf numFmtId="14" fontId="30" fillId="0" borderId="0" xfId="1" applyNumberFormat="1" applyFont="1" applyAlignment="1">
      <alignment horizontal="center"/>
    </xf>
    <xf numFmtId="0" fontId="15" fillId="8" borderId="0" xfId="0" applyFont="1" applyFill="1" applyBorder="1" applyAlignment="1">
      <alignment horizontal="center"/>
    </xf>
    <xf numFmtId="0" fontId="15" fillId="8" borderId="2" xfId="0" applyFont="1" applyFill="1" applyBorder="1" applyAlignment="1">
      <alignment horizontal="center"/>
    </xf>
    <xf numFmtId="0" fontId="45" fillId="0" borderId="12" xfId="0" applyFont="1" applyBorder="1" applyAlignment="1">
      <alignment horizontal="left"/>
    </xf>
    <xf numFmtId="0" fontId="45" fillId="0" borderId="10" xfId="0" applyFont="1" applyBorder="1" applyAlignment="1">
      <alignment horizontal="center"/>
    </xf>
    <xf numFmtId="0" fontId="45" fillId="0" borderId="8" xfId="0" applyFont="1" applyBorder="1" applyAlignment="1">
      <alignment horizontal="center"/>
    </xf>
    <xf numFmtId="0" fontId="45" fillId="0" borderId="9" xfId="0" applyFont="1" applyBorder="1" applyAlignment="1">
      <alignment horizontal="center"/>
    </xf>
    <xf numFmtId="0" fontId="15" fillId="8" borderId="4" xfId="0" applyFont="1" applyFill="1" applyBorder="1" applyAlignment="1">
      <alignment horizontal="center"/>
    </xf>
    <xf numFmtId="0" fontId="45" fillId="0" borderId="14" xfId="0" applyFont="1" applyBorder="1" applyAlignment="1">
      <alignment horizontal="center"/>
    </xf>
    <xf numFmtId="0" fontId="45" fillId="0" borderId="15" xfId="0" applyFont="1" applyBorder="1" applyAlignment="1">
      <alignment horizontal="center"/>
    </xf>
    <xf numFmtId="0" fontId="45" fillId="0" borderId="1" xfId="0" applyFont="1" applyBorder="1" applyAlignment="1">
      <alignment horizontal="center"/>
    </xf>
    <xf numFmtId="14" fontId="13" fillId="0" borderId="11" xfId="0" applyNumberFormat="1" applyFont="1" applyFill="1" applyBorder="1" applyAlignment="1">
      <alignment horizontal="center"/>
    </xf>
    <xf numFmtId="14" fontId="13" fillId="0" borderId="12" xfId="0" applyNumberFormat="1" applyFont="1" applyFill="1" applyBorder="1" applyAlignment="1">
      <alignment horizontal="center"/>
    </xf>
    <xf numFmtId="14" fontId="13" fillId="0" borderId="5" xfId="0" applyNumberFormat="1" applyFont="1" applyFill="1" applyBorder="1" applyAlignment="1">
      <alignment horizontal="center"/>
    </xf>
    <xf numFmtId="3" fontId="45" fillId="0" borderId="11" xfId="0" applyNumberFormat="1" applyFont="1" applyBorder="1" applyAlignment="1">
      <alignment horizontal="center"/>
    </xf>
    <xf numFmtId="3" fontId="45" fillId="0" borderId="12" xfId="0" applyNumberFormat="1" applyFont="1" applyBorder="1" applyAlignment="1">
      <alignment horizontal="center"/>
    </xf>
    <xf numFmtId="3" fontId="45" fillId="0" borderId="5" xfId="0" applyNumberFormat="1" applyFont="1" applyBorder="1" applyAlignment="1">
      <alignment horizontal="center"/>
    </xf>
    <xf numFmtId="0" fontId="15" fillId="0" borderId="10" xfId="1" applyFont="1" applyBorder="1" applyAlignment="1">
      <alignment horizontal="center"/>
    </xf>
    <xf numFmtId="0" fontId="15" fillId="0" borderId="8" xfId="1" applyFont="1" applyBorder="1" applyAlignment="1">
      <alignment horizontal="center"/>
    </xf>
    <xf numFmtId="0" fontId="15" fillId="0" borderId="9" xfId="1" applyFont="1" applyBorder="1" applyAlignment="1">
      <alignment horizontal="center"/>
    </xf>
    <xf numFmtId="0" fontId="13" fillId="0" borderId="0" xfId="1" applyFont="1" applyBorder="1" applyAlignment="1">
      <alignment horizontal="center"/>
    </xf>
    <xf numFmtId="0" fontId="13" fillId="0" borderId="0" xfId="1" applyFont="1" applyFill="1" applyBorder="1" applyAlignment="1">
      <alignment horizontal="center"/>
    </xf>
    <xf numFmtId="3" fontId="13" fillId="0" borderId="0"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12" xfId="1" applyNumberFormat="1" applyFont="1" applyBorder="1" applyAlignment="1">
      <alignment horizontal="center"/>
    </xf>
    <xf numFmtId="3" fontId="13" fillId="0" borderId="14" xfId="1" applyNumberFormat="1" applyFont="1" applyFill="1" applyBorder="1" applyAlignment="1">
      <alignment horizontal="center"/>
    </xf>
    <xf numFmtId="3" fontId="13" fillId="0" borderId="0" xfId="1" applyNumberFormat="1" applyFont="1" applyFill="1" applyBorder="1" applyAlignment="1">
      <alignment horizontal="center"/>
    </xf>
    <xf numFmtId="3" fontId="15" fillId="0" borderId="9" xfId="1" applyNumberFormat="1" applyFont="1" applyBorder="1" applyAlignment="1">
      <alignment horizontal="center"/>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1" xfId="1" applyNumberFormat="1" applyFont="1" applyFill="1" applyBorder="1" applyAlignment="1" applyProtection="1">
      <alignment horizontal="center"/>
      <protection locked="0"/>
    </xf>
    <xf numFmtId="0" fontId="45" fillId="0" borderId="12" xfId="1" applyNumberFormat="1" applyFont="1" applyFill="1" applyBorder="1" applyAlignment="1" applyProtection="1">
      <alignment horizontal="center"/>
      <protection locked="0"/>
    </xf>
    <xf numFmtId="0" fontId="45" fillId="0" borderId="5" xfId="1" applyNumberFormat="1" applyFont="1" applyFill="1" applyBorder="1" applyAlignment="1" applyProtection="1">
      <alignment horizontal="center"/>
      <protection locked="0"/>
    </xf>
    <xf numFmtId="0" fontId="45" fillId="0" borderId="1" xfId="1" applyFont="1" applyFill="1" applyBorder="1" applyAlignment="1" applyProtection="1">
      <alignment horizontal="center"/>
      <protection locked="0"/>
    </xf>
    <xf numFmtId="0" fontId="45" fillId="0" borderId="14" xfId="1" applyFont="1" applyFill="1" applyBorder="1" applyAlignment="1" applyProtection="1">
      <alignment horizontal="center"/>
      <protection locked="0"/>
    </xf>
    <xf numFmtId="0" fontId="45" fillId="0" borderId="15" xfId="1" applyFont="1" applyFill="1" applyBorder="1" applyAlignment="1" applyProtection="1">
      <alignment horizontal="center"/>
      <protection locked="0"/>
    </xf>
    <xf numFmtId="0" fontId="45" fillId="0" borderId="11" xfId="1" applyFont="1" applyFill="1" applyBorder="1" applyAlignment="1" applyProtection="1">
      <alignment horizontal="center"/>
      <protection locked="0"/>
    </xf>
    <xf numFmtId="0" fontId="45" fillId="0" borderId="12" xfId="1" applyFont="1" applyFill="1" applyBorder="1" applyAlignment="1" applyProtection="1">
      <alignment horizontal="center"/>
      <protection locked="0"/>
    </xf>
    <xf numFmtId="0" fontId="45" fillId="0" borderId="5" xfId="1" applyFont="1" applyFill="1" applyBorder="1" applyAlignment="1" applyProtection="1">
      <alignment horizontal="center"/>
      <protection locked="0"/>
    </xf>
    <xf numFmtId="0" fontId="45" fillId="0" borderId="1" xfId="7" applyFont="1" applyBorder="1" applyAlignment="1" applyProtection="1">
      <alignment horizontal="center"/>
      <protection locked="0"/>
    </xf>
    <xf numFmtId="0" fontId="45" fillId="0" borderId="14" xfId="7" applyFont="1" applyBorder="1" applyAlignment="1" applyProtection="1">
      <alignment horizontal="center"/>
      <protection locked="0"/>
    </xf>
    <xf numFmtId="0" fontId="45" fillId="0" borderId="15" xfId="7" applyFont="1" applyBorder="1" applyAlignment="1" applyProtection="1">
      <alignment horizontal="center"/>
      <protection locked="0"/>
    </xf>
    <xf numFmtId="0" fontId="45" fillId="0" borderId="1" xfId="7" applyNumberFormat="1" applyFont="1" applyFill="1" applyBorder="1" applyAlignment="1" applyProtection="1">
      <alignment horizontal="center"/>
      <protection locked="0"/>
    </xf>
    <xf numFmtId="0" fontId="45" fillId="0" borderId="14" xfId="7" applyNumberFormat="1" applyFont="1" applyFill="1" applyBorder="1" applyAlignment="1" applyProtection="1">
      <alignment horizontal="center"/>
      <protection locked="0"/>
    </xf>
    <xf numFmtId="0" fontId="45" fillId="0" borderId="15" xfId="7" applyNumberFormat="1" applyFont="1" applyFill="1" applyBorder="1" applyAlignment="1" applyProtection="1">
      <alignment horizontal="center"/>
      <protection locked="0"/>
    </xf>
    <xf numFmtId="0" fontId="45" fillId="0" borderId="11" xfId="7" applyNumberFormat="1" applyFont="1" applyFill="1" applyBorder="1" applyAlignment="1" applyProtection="1">
      <alignment horizontal="center"/>
      <protection locked="0"/>
    </xf>
    <xf numFmtId="0" fontId="45" fillId="0" borderId="12" xfId="7" applyNumberFormat="1" applyFont="1" applyFill="1" applyBorder="1" applyAlignment="1" applyProtection="1">
      <alignment horizontal="center"/>
      <protection locked="0"/>
    </xf>
    <xf numFmtId="0" fontId="45" fillId="0" borderId="5" xfId="7" applyNumberFormat="1" applyFont="1" applyFill="1" applyBorder="1" applyAlignment="1" applyProtection="1">
      <alignment horizontal="center"/>
      <protection locked="0"/>
    </xf>
    <xf numFmtId="0" fontId="45" fillId="0" borderId="11" xfId="7" applyFont="1" applyBorder="1" applyAlignment="1" applyProtection="1">
      <alignment horizontal="center"/>
      <protection locked="0"/>
    </xf>
    <xf numFmtId="0" fontId="45" fillId="0" borderId="12" xfId="7" applyFont="1" applyBorder="1" applyAlignment="1" applyProtection="1">
      <alignment horizontal="center"/>
      <protection locked="0"/>
    </xf>
    <xf numFmtId="0" fontId="45" fillId="0" borderId="5" xfId="7" applyFont="1" applyBorder="1" applyAlignment="1" applyProtection="1">
      <alignment horizontal="center"/>
      <protection locked="0"/>
    </xf>
    <xf numFmtId="0" fontId="45" fillId="0" borderId="11" xfId="848" applyNumberFormat="1" applyFont="1" applyFill="1" applyBorder="1" applyAlignment="1" applyProtection="1">
      <alignment horizontal="center"/>
      <protection locked="0"/>
    </xf>
    <xf numFmtId="0" fontId="45" fillId="0" borderId="12" xfId="848" applyNumberFormat="1" applyFont="1" applyFill="1" applyBorder="1" applyAlignment="1" applyProtection="1">
      <alignment horizontal="center"/>
      <protection locked="0"/>
    </xf>
    <xf numFmtId="0" fontId="45" fillId="0" borderId="5" xfId="848" applyNumberFormat="1" applyFont="1" applyFill="1" applyBorder="1" applyAlignment="1" applyProtection="1">
      <alignment horizontal="center"/>
      <protection locked="0"/>
    </xf>
    <xf numFmtId="0" fontId="45" fillId="4" borderId="0" xfId="0" applyNumberFormat="1" applyFont="1" applyFill="1" applyBorder="1" applyAlignment="1" applyProtection="1">
      <alignment horizontal="center"/>
      <protection locked="0"/>
    </xf>
    <xf numFmtId="0" fontId="45" fillId="0" borderId="11" xfId="0" applyNumberFormat="1" applyFont="1" applyFill="1" applyBorder="1" applyAlignment="1" applyProtection="1">
      <alignment horizontal="center"/>
      <protection locked="0"/>
    </xf>
    <xf numFmtId="0" fontId="45" fillId="0" borderId="12" xfId="0" applyNumberFormat="1" applyFont="1" applyFill="1" applyBorder="1" applyAlignment="1" applyProtection="1">
      <alignment horizontal="center"/>
      <protection locked="0"/>
    </xf>
    <xf numFmtId="0" fontId="45" fillId="0" borderId="5" xfId="0" applyNumberFormat="1" applyFont="1" applyFill="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0" borderId="0" xfId="1" applyNumberFormat="1" applyFont="1" applyFill="1" applyBorder="1" applyAlignment="1" applyProtection="1">
      <alignment horizontal="center"/>
      <protection locked="0"/>
    </xf>
    <xf numFmtId="0" fontId="45" fillId="0" borderId="1" xfId="845" applyNumberFormat="1" applyFont="1" applyFill="1" applyBorder="1" applyAlignment="1" applyProtection="1">
      <alignment horizontal="center"/>
      <protection locked="0"/>
    </xf>
    <xf numFmtId="0" fontId="45" fillId="0" borderId="14" xfId="845" applyNumberFormat="1" applyFont="1" applyFill="1" applyBorder="1" applyAlignment="1" applyProtection="1">
      <alignment horizontal="center"/>
      <protection locked="0"/>
    </xf>
    <xf numFmtId="0" fontId="45" fillId="0" borderId="15" xfId="845" applyNumberFormat="1" applyFont="1" applyFill="1" applyBorder="1" applyAlignment="1" applyProtection="1">
      <alignment horizontal="center"/>
      <protection locked="0"/>
    </xf>
    <xf numFmtId="0" fontId="45" fillId="0" borderId="11" xfId="845" applyNumberFormat="1" applyFont="1" applyFill="1" applyBorder="1" applyAlignment="1" applyProtection="1">
      <alignment horizontal="center"/>
      <protection locked="0"/>
    </xf>
    <xf numFmtId="0" fontId="45" fillId="0" borderId="12" xfId="845" applyNumberFormat="1" applyFont="1" applyFill="1" applyBorder="1" applyAlignment="1" applyProtection="1">
      <alignment horizontal="center"/>
      <protection locked="0"/>
    </xf>
    <xf numFmtId="0" fontId="45" fillId="0" borderId="5" xfId="845" applyNumberFormat="1" applyFont="1" applyFill="1" applyBorder="1" applyAlignment="1" applyProtection="1">
      <alignment horizontal="center"/>
      <protection locked="0"/>
    </xf>
    <xf numFmtId="0" fontId="45" fillId="4" borderId="0" xfId="1" applyNumberFormat="1" applyFont="1" applyFill="1" applyBorder="1" applyAlignment="1" applyProtection="1">
      <alignment horizontal="center"/>
      <protection locked="0"/>
    </xf>
  </cellXfs>
  <cellStyles count="851">
    <cellStyle name="20 % – uthevingsfarge 2" xfId="844" builtinId="34"/>
    <cellStyle name="40% - uthevingsfarge 4 2" xfId="38" xr:uid="{00000000-0005-0000-0000-000001000000}"/>
    <cellStyle name="40% - uthevingsfarge 4 2 10" xfId="771" xr:uid="{00000000-0005-0000-0000-000002000000}"/>
    <cellStyle name="40% - uthevingsfarge 4 2 2" xfId="80" xr:uid="{00000000-0005-0000-0000-000003000000}"/>
    <cellStyle name="40% - uthevingsfarge 4 2 2 2" xfId="173" xr:uid="{00000000-0005-0000-0000-000004000000}"/>
    <cellStyle name="40% - uthevingsfarge 4 2 2 3" xfId="263" xr:uid="{00000000-0005-0000-0000-000005000000}"/>
    <cellStyle name="40% - uthevingsfarge 4 2 2 4" xfId="353" xr:uid="{00000000-0005-0000-0000-000006000000}"/>
    <cellStyle name="40% - uthevingsfarge 4 2 2 5" xfId="443" xr:uid="{00000000-0005-0000-0000-000007000000}"/>
    <cellStyle name="40% - uthevingsfarge 4 2 2 6" xfId="533" xr:uid="{00000000-0005-0000-0000-000008000000}"/>
    <cellStyle name="40% - uthevingsfarge 4 2 2 7" xfId="623" xr:uid="{00000000-0005-0000-0000-000009000000}"/>
    <cellStyle name="40% - uthevingsfarge 4 2 2 8" xfId="713" xr:uid="{00000000-0005-0000-0000-00000A000000}"/>
    <cellStyle name="40% - uthevingsfarge 4 2 2 9" xfId="810" xr:uid="{00000000-0005-0000-0000-00000B000000}"/>
    <cellStyle name="40% - uthevingsfarge 4 2 3" xfId="136" xr:uid="{00000000-0005-0000-0000-00000C000000}"/>
    <cellStyle name="40% - uthevingsfarge 4 2 4" xfId="226" xr:uid="{00000000-0005-0000-0000-00000D000000}"/>
    <cellStyle name="40% - uthevingsfarge 4 2 5" xfId="316" xr:uid="{00000000-0005-0000-0000-00000E000000}"/>
    <cellStyle name="40% - uthevingsfarge 4 2 6" xfId="406" xr:uid="{00000000-0005-0000-0000-00000F000000}"/>
    <cellStyle name="40% - uthevingsfarge 4 2 7" xfId="496" xr:uid="{00000000-0005-0000-0000-000010000000}"/>
    <cellStyle name="40% - uthevingsfarge 4 2 8" xfId="586" xr:uid="{00000000-0005-0000-0000-000011000000}"/>
    <cellStyle name="40% - uthevingsfarge 4 2 9" xfId="676" xr:uid="{00000000-0005-0000-0000-000012000000}"/>
    <cellStyle name="Hyperkobling" xfId="3" builtinId="8"/>
    <cellStyle name="Komma" xfId="2" builtinId="3"/>
    <cellStyle name="Komma 2" xfId="847" xr:uid="{00000000-0005-0000-0000-000015000000}"/>
    <cellStyle name="Komma 2 3" xfId="850" xr:uid="{0D7BB789-C0BC-4F58-B366-11FD845789ED}"/>
    <cellStyle name="Merknad 2" xfId="94" xr:uid="{00000000-0005-0000-0000-000016000000}"/>
    <cellStyle name="Normal" xfId="0" builtinId="0"/>
    <cellStyle name="Normal 10" xfId="31" xr:uid="{00000000-0005-0000-0000-000018000000}"/>
    <cellStyle name="Normal 10 10" xfId="670" xr:uid="{00000000-0005-0000-0000-000019000000}"/>
    <cellStyle name="Normal 10 11" xfId="765" xr:uid="{00000000-0005-0000-0000-00001A000000}"/>
    <cellStyle name="Normal 10 2" xfId="53" xr:uid="{00000000-0005-0000-0000-00001B000000}"/>
    <cellStyle name="Normal 10 2 10" xfId="785" xr:uid="{00000000-0005-0000-0000-00001C000000}"/>
    <cellStyle name="Normal 10 2 2" xfId="93" xr:uid="{00000000-0005-0000-0000-00001D000000}"/>
    <cellStyle name="Normal 10 2 2 10" xfId="823" xr:uid="{00000000-0005-0000-0000-00001E000000}"/>
    <cellStyle name="Normal 10 2 2 2" xfId="6" xr:uid="{00000000-0005-0000-0000-00001F000000}"/>
    <cellStyle name="Normal 10 2 2 2 2" xfId="116" xr:uid="{00000000-0005-0000-0000-000020000000}"/>
    <cellStyle name="Normal 10 2 2 3" xfId="186" xr:uid="{00000000-0005-0000-0000-000021000000}"/>
    <cellStyle name="Normal 10 2 2 4" xfId="276" xr:uid="{00000000-0005-0000-0000-000022000000}"/>
    <cellStyle name="Normal 10 2 2 5" xfId="366" xr:uid="{00000000-0005-0000-0000-000023000000}"/>
    <cellStyle name="Normal 10 2 2 6" xfId="456" xr:uid="{00000000-0005-0000-0000-000024000000}"/>
    <cellStyle name="Normal 10 2 2 7" xfId="546" xr:uid="{00000000-0005-0000-0000-000025000000}"/>
    <cellStyle name="Normal 10 2 2 8" xfId="636" xr:uid="{00000000-0005-0000-0000-000026000000}"/>
    <cellStyle name="Normal 10 2 2 9" xfId="726" xr:uid="{00000000-0005-0000-0000-000027000000}"/>
    <cellStyle name="Normal 10 2 3" xfId="149" xr:uid="{00000000-0005-0000-0000-000028000000}"/>
    <cellStyle name="Normal 10 2 4" xfId="239" xr:uid="{00000000-0005-0000-0000-000029000000}"/>
    <cellStyle name="Normal 10 2 5" xfId="329" xr:uid="{00000000-0005-0000-0000-00002A000000}"/>
    <cellStyle name="Normal 10 2 6" xfId="419" xr:uid="{00000000-0005-0000-0000-00002B000000}"/>
    <cellStyle name="Normal 10 2 7" xfId="509" xr:uid="{00000000-0005-0000-0000-00002C000000}"/>
    <cellStyle name="Normal 10 2 8" xfId="599" xr:uid="{00000000-0005-0000-0000-00002D000000}"/>
    <cellStyle name="Normal 10 2 9" xfId="689" xr:uid="{00000000-0005-0000-0000-00002E000000}"/>
    <cellStyle name="Normal 10 3" xfId="74" xr:uid="{00000000-0005-0000-0000-00002F000000}"/>
    <cellStyle name="Normal 10 3 2" xfId="167" xr:uid="{00000000-0005-0000-0000-000030000000}"/>
    <cellStyle name="Normal 10 3 3" xfId="257" xr:uid="{00000000-0005-0000-0000-000031000000}"/>
    <cellStyle name="Normal 10 3 4" xfId="347" xr:uid="{00000000-0005-0000-0000-000032000000}"/>
    <cellStyle name="Normal 10 3 5" xfId="437" xr:uid="{00000000-0005-0000-0000-000033000000}"/>
    <cellStyle name="Normal 10 3 6" xfId="527" xr:uid="{00000000-0005-0000-0000-000034000000}"/>
    <cellStyle name="Normal 10 3 7" xfId="617" xr:uid="{00000000-0005-0000-0000-000035000000}"/>
    <cellStyle name="Normal 10 3 8" xfId="707" xr:uid="{00000000-0005-0000-0000-000036000000}"/>
    <cellStyle name="Normal 10 3 9" xfId="804" xr:uid="{00000000-0005-0000-0000-000037000000}"/>
    <cellStyle name="Normal 10 4" xfId="130" xr:uid="{00000000-0005-0000-0000-000038000000}"/>
    <cellStyle name="Normal 10 5" xfId="220" xr:uid="{00000000-0005-0000-0000-000039000000}"/>
    <cellStyle name="Normal 10 6" xfId="310" xr:uid="{00000000-0005-0000-0000-00003A000000}"/>
    <cellStyle name="Normal 10 7" xfId="400" xr:uid="{00000000-0005-0000-0000-00003B000000}"/>
    <cellStyle name="Normal 10 8" xfId="490" xr:uid="{00000000-0005-0000-0000-00003C000000}"/>
    <cellStyle name="Normal 10 9" xfId="580" xr:uid="{00000000-0005-0000-0000-00003D000000}"/>
    <cellStyle name="Normal 11" xfId="35" xr:uid="{00000000-0005-0000-0000-00003E000000}"/>
    <cellStyle name="Normal 11 10" xfId="673" xr:uid="{00000000-0005-0000-0000-00003F000000}"/>
    <cellStyle name="Normal 11 11" xfId="768" xr:uid="{00000000-0005-0000-0000-000040000000}"/>
    <cellStyle name="Normal 11 2" xfId="57" xr:uid="{00000000-0005-0000-0000-000041000000}"/>
    <cellStyle name="Normal 11 2 10" xfId="788" xr:uid="{00000000-0005-0000-0000-000042000000}"/>
    <cellStyle name="Normal 11 2 2" xfId="97" xr:uid="{00000000-0005-0000-0000-000043000000}"/>
    <cellStyle name="Normal 11 2 2 2" xfId="189" xr:uid="{00000000-0005-0000-0000-000044000000}"/>
    <cellStyle name="Normal 11 2 2 3" xfId="279" xr:uid="{00000000-0005-0000-0000-000045000000}"/>
    <cellStyle name="Normal 11 2 2 4" xfId="369" xr:uid="{00000000-0005-0000-0000-000046000000}"/>
    <cellStyle name="Normal 11 2 2 5" xfId="459" xr:uid="{00000000-0005-0000-0000-000047000000}"/>
    <cellStyle name="Normal 11 2 2 6" xfId="549" xr:uid="{00000000-0005-0000-0000-000048000000}"/>
    <cellStyle name="Normal 11 2 2 7" xfId="639" xr:uid="{00000000-0005-0000-0000-000049000000}"/>
    <cellStyle name="Normal 11 2 2 8" xfId="729" xr:uid="{00000000-0005-0000-0000-00004A000000}"/>
    <cellStyle name="Normal 11 2 2 9" xfId="826" xr:uid="{00000000-0005-0000-0000-00004B000000}"/>
    <cellStyle name="Normal 11 2 3" xfId="152" xr:uid="{00000000-0005-0000-0000-00004C000000}"/>
    <cellStyle name="Normal 11 2 4" xfId="242" xr:uid="{00000000-0005-0000-0000-00004D000000}"/>
    <cellStyle name="Normal 11 2 5" xfId="332" xr:uid="{00000000-0005-0000-0000-00004E000000}"/>
    <cellStyle name="Normal 11 2 6" xfId="422" xr:uid="{00000000-0005-0000-0000-00004F000000}"/>
    <cellStyle name="Normal 11 2 7" xfId="512" xr:uid="{00000000-0005-0000-0000-000050000000}"/>
    <cellStyle name="Normal 11 2 8" xfId="602" xr:uid="{00000000-0005-0000-0000-000051000000}"/>
    <cellStyle name="Normal 11 2 9" xfId="692" xr:uid="{00000000-0005-0000-0000-000052000000}"/>
    <cellStyle name="Normal 11 3" xfId="77" xr:uid="{00000000-0005-0000-0000-000053000000}"/>
    <cellStyle name="Normal 11 3 2" xfId="170" xr:uid="{00000000-0005-0000-0000-000054000000}"/>
    <cellStyle name="Normal 11 3 3" xfId="260" xr:uid="{00000000-0005-0000-0000-000055000000}"/>
    <cellStyle name="Normal 11 3 4" xfId="350" xr:uid="{00000000-0005-0000-0000-000056000000}"/>
    <cellStyle name="Normal 11 3 5" xfId="440" xr:uid="{00000000-0005-0000-0000-000057000000}"/>
    <cellStyle name="Normal 11 3 6" xfId="530" xr:uid="{00000000-0005-0000-0000-000058000000}"/>
    <cellStyle name="Normal 11 3 7" xfId="620" xr:uid="{00000000-0005-0000-0000-000059000000}"/>
    <cellStyle name="Normal 11 3 8" xfId="710" xr:uid="{00000000-0005-0000-0000-00005A000000}"/>
    <cellStyle name="Normal 11 3 9" xfId="807" xr:uid="{00000000-0005-0000-0000-00005B000000}"/>
    <cellStyle name="Normal 11 4" xfId="133" xr:uid="{00000000-0005-0000-0000-00005C000000}"/>
    <cellStyle name="Normal 11 5" xfId="223" xr:uid="{00000000-0005-0000-0000-00005D000000}"/>
    <cellStyle name="Normal 11 6" xfId="313" xr:uid="{00000000-0005-0000-0000-00005E000000}"/>
    <cellStyle name="Normal 11 7" xfId="403" xr:uid="{00000000-0005-0000-0000-00005F000000}"/>
    <cellStyle name="Normal 11 8" xfId="493" xr:uid="{00000000-0005-0000-0000-000060000000}"/>
    <cellStyle name="Normal 11 9" xfId="583" xr:uid="{00000000-0005-0000-0000-000061000000}"/>
    <cellStyle name="Normal 12" xfId="100" xr:uid="{00000000-0005-0000-0000-000062000000}"/>
    <cellStyle name="Normal 12 2" xfId="192" xr:uid="{00000000-0005-0000-0000-000063000000}"/>
    <cellStyle name="Normal 12 3" xfId="282" xr:uid="{00000000-0005-0000-0000-000064000000}"/>
    <cellStyle name="Normal 12 4" xfId="372" xr:uid="{00000000-0005-0000-0000-000065000000}"/>
    <cellStyle name="Normal 12 5" xfId="462" xr:uid="{00000000-0005-0000-0000-000066000000}"/>
    <cellStyle name="Normal 12 6" xfId="552" xr:uid="{00000000-0005-0000-0000-000067000000}"/>
    <cellStyle name="Normal 12 7" xfId="642" xr:uid="{00000000-0005-0000-0000-000068000000}"/>
    <cellStyle name="Normal 12 8" xfId="732" xr:uid="{00000000-0005-0000-0000-000069000000}"/>
    <cellStyle name="Normal 12 9" xfId="829" xr:uid="{00000000-0005-0000-0000-00006A000000}"/>
    <cellStyle name="Normal 13" xfId="103" xr:uid="{00000000-0005-0000-0000-00006B000000}"/>
    <cellStyle name="Normal 13 2" xfId="195" xr:uid="{00000000-0005-0000-0000-00006C000000}"/>
    <cellStyle name="Normal 13 3" xfId="285" xr:uid="{00000000-0005-0000-0000-00006D000000}"/>
    <cellStyle name="Normal 13 4" xfId="375" xr:uid="{00000000-0005-0000-0000-00006E000000}"/>
    <cellStyle name="Normal 13 5" xfId="465" xr:uid="{00000000-0005-0000-0000-00006F000000}"/>
    <cellStyle name="Normal 13 6" xfId="555" xr:uid="{00000000-0005-0000-0000-000070000000}"/>
    <cellStyle name="Normal 13 7" xfId="645" xr:uid="{00000000-0005-0000-0000-000071000000}"/>
    <cellStyle name="Normal 13 8" xfId="735" xr:uid="{00000000-0005-0000-0000-000072000000}"/>
    <cellStyle name="Normal 13 9" xfId="832" xr:uid="{00000000-0005-0000-0000-000073000000}"/>
    <cellStyle name="Normal 14" xfId="106" xr:uid="{00000000-0005-0000-0000-000074000000}"/>
    <cellStyle name="Normal 14 2" xfId="198" xr:uid="{00000000-0005-0000-0000-000075000000}"/>
    <cellStyle name="Normal 14 3" xfId="288" xr:uid="{00000000-0005-0000-0000-000076000000}"/>
    <cellStyle name="Normal 14 4" xfId="378" xr:uid="{00000000-0005-0000-0000-000077000000}"/>
    <cellStyle name="Normal 14 5" xfId="468" xr:uid="{00000000-0005-0000-0000-000078000000}"/>
    <cellStyle name="Normal 14 6" xfId="558" xr:uid="{00000000-0005-0000-0000-000079000000}"/>
    <cellStyle name="Normal 14 7" xfId="648" xr:uid="{00000000-0005-0000-0000-00007A000000}"/>
    <cellStyle name="Normal 14 8" xfId="738" xr:uid="{00000000-0005-0000-0000-00007B000000}"/>
    <cellStyle name="Normal 14 9" xfId="835" xr:uid="{00000000-0005-0000-0000-00007C000000}"/>
    <cellStyle name="Normal 15" xfId="109" xr:uid="{00000000-0005-0000-0000-00007D000000}"/>
    <cellStyle name="Normal 15 2" xfId="201" xr:uid="{00000000-0005-0000-0000-00007E000000}"/>
    <cellStyle name="Normal 15 3" xfId="291" xr:uid="{00000000-0005-0000-0000-00007F000000}"/>
    <cellStyle name="Normal 15 4" xfId="381" xr:uid="{00000000-0005-0000-0000-000080000000}"/>
    <cellStyle name="Normal 15 5" xfId="471" xr:uid="{00000000-0005-0000-0000-000081000000}"/>
    <cellStyle name="Normal 15 6" xfId="561" xr:uid="{00000000-0005-0000-0000-000082000000}"/>
    <cellStyle name="Normal 15 7" xfId="651" xr:uid="{00000000-0005-0000-0000-000083000000}"/>
    <cellStyle name="Normal 15 8" xfId="741" xr:uid="{00000000-0005-0000-0000-000084000000}"/>
    <cellStyle name="Normal 15 9" xfId="838" xr:uid="{00000000-0005-0000-0000-000085000000}"/>
    <cellStyle name="Normal 16" xfId="112" xr:uid="{00000000-0005-0000-0000-000086000000}"/>
    <cellStyle name="Normal 16 2" xfId="204" xr:uid="{00000000-0005-0000-0000-000087000000}"/>
    <cellStyle name="Normal 16 3" xfId="294" xr:uid="{00000000-0005-0000-0000-000088000000}"/>
    <cellStyle name="Normal 16 4" xfId="384" xr:uid="{00000000-0005-0000-0000-000089000000}"/>
    <cellStyle name="Normal 16 5" xfId="474" xr:uid="{00000000-0005-0000-0000-00008A000000}"/>
    <cellStyle name="Normal 16 6" xfId="564" xr:uid="{00000000-0005-0000-0000-00008B000000}"/>
    <cellStyle name="Normal 16 7" xfId="654" xr:uid="{00000000-0005-0000-0000-00008C000000}"/>
    <cellStyle name="Normal 16 8" xfId="744" xr:uid="{00000000-0005-0000-0000-00008D000000}"/>
    <cellStyle name="Normal 16 9" xfId="841" xr:uid="{00000000-0005-0000-0000-00008E000000}"/>
    <cellStyle name="Normal 17" xfId="8" xr:uid="{00000000-0005-0000-0000-00008F000000}"/>
    <cellStyle name="Normal 18" xfId="10" xr:uid="{00000000-0005-0000-0000-000090000000}"/>
    <cellStyle name="Normal 19" xfId="117" xr:uid="{00000000-0005-0000-0000-000091000000}"/>
    <cellStyle name="Normal 2" xfId="1" xr:uid="{00000000-0005-0000-0000-000092000000}"/>
    <cellStyle name="Normal 2 2" xfId="7" xr:uid="{00000000-0005-0000-0000-000093000000}"/>
    <cellStyle name="Normal 2 3" xfId="20" xr:uid="{00000000-0005-0000-0000-000094000000}"/>
    <cellStyle name="Normal 2 4" xfId="39" xr:uid="{00000000-0005-0000-0000-000095000000}"/>
    <cellStyle name="Normal 2 5" xfId="60" xr:uid="{00000000-0005-0000-0000-000096000000}"/>
    <cellStyle name="Normal 20" xfId="207" xr:uid="{00000000-0005-0000-0000-000097000000}"/>
    <cellStyle name="Normal 21" xfId="297" xr:uid="{00000000-0005-0000-0000-000098000000}"/>
    <cellStyle name="Normal 22" xfId="387" xr:uid="{00000000-0005-0000-0000-000099000000}"/>
    <cellStyle name="Normal 23" xfId="477" xr:uid="{00000000-0005-0000-0000-00009A000000}"/>
    <cellStyle name="Normal 24" xfId="567" xr:uid="{00000000-0005-0000-0000-00009B000000}"/>
    <cellStyle name="Normal 25" xfId="657" xr:uid="{00000000-0005-0000-0000-00009C000000}"/>
    <cellStyle name="Normal 26" xfId="747" xr:uid="{00000000-0005-0000-0000-00009D000000}"/>
    <cellStyle name="Normal 3" xfId="4" xr:uid="{00000000-0005-0000-0000-00009E000000}"/>
    <cellStyle name="Normal 3 10" xfId="104" xr:uid="{00000000-0005-0000-0000-00009F000000}"/>
    <cellStyle name="Normal 3 10 2" xfId="196" xr:uid="{00000000-0005-0000-0000-0000A0000000}"/>
    <cellStyle name="Normal 3 10 3" xfId="286" xr:uid="{00000000-0005-0000-0000-0000A1000000}"/>
    <cellStyle name="Normal 3 10 4" xfId="376" xr:uid="{00000000-0005-0000-0000-0000A2000000}"/>
    <cellStyle name="Normal 3 10 5" xfId="466" xr:uid="{00000000-0005-0000-0000-0000A3000000}"/>
    <cellStyle name="Normal 3 10 6" xfId="556" xr:uid="{00000000-0005-0000-0000-0000A4000000}"/>
    <cellStyle name="Normal 3 10 7" xfId="646" xr:uid="{00000000-0005-0000-0000-0000A5000000}"/>
    <cellStyle name="Normal 3 10 8" xfId="736" xr:uid="{00000000-0005-0000-0000-0000A6000000}"/>
    <cellStyle name="Normal 3 10 9" xfId="833" xr:uid="{00000000-0005-0000-0000-0000A7000000}"/>
    <cellStyle name="Normal 3 11" xfId="107" xr:uid="{00000000-0005-0000-0000-0000A8000000}"/>
    <cellStyle name="Normal 3 11 2" xfId="199" xr:uid="{00000000-0005-0000-0000-0000A9000000}"/>
    <cellStyle name="Normal 3 11 3" xfId="289" xr:uid="{00000000-0005-0000-0000-0000AA000000}"/>
    <cellStyle name="Normal 3 11 4" xfId="379" xr:uid="{00000000-0005-0000-0000-0000AB000000}"/>
    <cellStyle name="Normal 3 11 5" xfId="469" xr:uid="{00000000-0005-0000-0000-0000AC000000}"/>
    <cellStyle name="Normal 3 11 6" xfId="559" xr:uid="{00000000-0005-0000-0000-0000AD000000}"/>
    <cellStyle name="Normal 3 11 7" xfId="649" xr:uid="{00000000-0005-0000-0000-0000AE000000}"/>
    <cellStyle name="Normal 3 11 8" xfId="739" xr:uid="{00000000-0005-0000-0000-0000AF000000}"/>
    <cellStyle name="Normal 3 11 9" xfId="836" xr:uid="{00000000-0005-0000-0000-0000B0000000}"/>
    <cellStyle name="Normal 3 12" xfId="110" xr:uid="{00000000-0005-0000-0000-0000B1000000}"/>
    <cellStyle name="Normal 3 12 2" xfId="202" xr:uid="{00000000-0005-0000-0000-0000B2000000}"/>
    <cellStyle name="Normal 3 12 3" xfId="292" xr:uid="{00000000-0005-0000-0000-0000B3000000}"/>
    <cellStyle name="Normal 3 12 4" xfId="382" xr:uid="{00000000-0005-0000-0000-0000B4000000}"/>
    <cellStyle name="Normal 3 12 5" xfId="472" xr:uid="{00000000-0005-0000-0000-0000B5000000}"/>
    <cellStyle name="Normal 3 12 6" xfId="562" xr:uid="{00000000-0005-0000-0000-0000B6000000}"/>
    <cellStyle name="Normal 3 12 7" xfId="652" xr:uid="{00000000-0005-0000-0000-0000B7000000}"/>
    <cellStyle name="Normal 3 12 8" xfId="742" xr:uid="{00000000-0005-0000-0000-0000B8000000}"/>
    <cellStyle name="Normal 3 12 9" xfId="839" xr:uid="{00000000-0005-0000-0000-0000B9000000}"/>
    <cellStyle name="Normal 3 13" xfId="113" xr:uid="{00000000-0005-0000-0000-0000BA000000}"/>
    <cellStyle name="Normal 3 13 2" xfId="205" xr:uid="{00000000-0005-0000-0000-0000BB000000}"/>
    <cellStyle name="Normal 3 13 3" xfId="295" xr:uid="{00000000-0005-0000-0000-0000BC000000}"/>
    <cellStyle name="Normal 3 13 4" xfId="385" xr:uid="{00000000-0005-0000-0000-0000BD000000}"/>
    <cellStyle name="Normal 3 13 5" xfId="475" xr:uid="{00000000-0005-0000-0000-0000BE000000}"/>
    <cellStyle name="Normal 3 13 6" xfId="565" xr:uid="{00000000-0005-0000-0000-0000BF000000}"/>
    <cellStyle name="Normal 3 13 7" xfId="655" xr:uid="{00000000-0005-0000-0000-0000C0000000}"/>
    <cellStyle name="Normal 3 13 8" xfId="745" xr:uid="{00000000-0005-0000-0000-0000C1000000}"/>
    <cellStyle name="Normal 3 13 9" xfId="842" xr:uid="{00000000-0005-0000-0000-0000C2000000}"/>
    <cellStyle name="Normal 3 14" xfId="11" xr:uid="{00000000-0005-0000-0000-0000C3000000}"/>
    <cellStyle name="Normal 3 15" xfId="118" xr:uid="{00000000-0005-0000-0000-0000C4000000}"/>
    <cellStyle name="Normal 3 16" xfId="208" xr:uid="{00000000-0005-0000-0000-0000C5000000}"/>
    <cellStyle name="Normal 3 17" xfId="298" xr:uid="{00000000-0005-0000-0000-0000C6000000}"/>
    <cellStyle name="Normal 3 18" xfId="388" xr:uid="{00000000-0005-0000-0000-0000C7000000}"/>
    <cellStyle name="Normal 3 19" xfId="478" xr:uid="{00000000-0005-0000-0000-0000C8000000}"/>
    <cellStyle name="Normal 3 2" xfId="23" xr:uid="{00000000-0005-0000-0000-0000C9000000}"/>
    <cellStyle name="Normal 3 2 10" xfId="662" xr:uid="{00000000-0005-0000-0000-0000CA000000}"/>
    <cellStyle name="Normal 3 2 11" xfId="757" xr:uid="{00000000-0005-0000-0000-0000CB000000}"/>
    <cellStyle name="Normal 3 2 2" xfId="45" xr:uid="{00000000-0005-0000-0000-0000CC000000}"/>
    <cellStyle name="Normal 3 2 2 10" xfId="777" xr:uid="{00000000-0005-0000-0000-0000CD000000}"/>
    <cellStyle name="Normal 3 2 2 2" xfId="85" xr:uid="{00000000-0005-0000-0000-0000CE000000}"/>
    <cellStyle name="Normal 3 2 2 2 2" xfId="178" xr:uid="{00000000-0005-0000-0000-0000CF000000}"/>
    <cellStyle name="Normal 3 2 2 2 3" xfId="268" xr:uid="{00000000-0005-0000-0000-0000D0000000}"/>
    <cellStyle name="Normal 3 2 2 2 4" xfId="358" xr:uid="{00000000-0005-0000-0000-0000D1000000}"/>
    <cellStyle name="Normal 3 2 2 2 5" xfId="448" xr:uid="{00000000-0005-0000-0000-0000D2000000}"/>
    <cellStyle name="Normal 3 2 2 2 6" xfId="538" xr:uid="{00000000-0005-0000-0000-0000D3000000}"/>
    <cellStyle name="Normal 3 2 2 2 7" xfId="628" xr:uid="{00000000-0005-0000-0000-0000D4000000}"/>
    <cellStyle name="Normal 3 2 2 2 8" xfId="718" xr:uid="{00000000-0005-0000-0000-0000D5000000}"/>
    <cellStyle name="Normal 3 2 2 2 9" xfId="815" xr:uid="{00000000-0005-0000-0000-0000D6000000}"/>
    <cellStyle name="Normal 3 2 2 3" xfId="141" xr:uid="{00000000-0005-0000-0000-0000D7000000}"/>
    <cellStyle name="Normal 3 2 2 4" xfId="231" xr:uid="{00000000-0005-0000-0000-0000D8000000}"/>
    <cellStyle name="Normal 3 2 2 5" xfId="321" xr:uid="{00000000-0005-0000-0000-0000D9000000}"/>
    <cellStyle name="Normal 3 2 2 6" xfId="411" xr:uid="{00000000-0005-0000-0000-0000DA000000}"/>
    <cellStyle name="Normal 3 2 2 7" xfId="501" xr:uid="{00000000-0005-0000-0000-0000DB000000}"/>
    <cellStyle name="Normal 3 2 2 8" xfId="591" xr:uid="{00000000-0005-0000-0000-0000DC000000}"/>
    <cellStyle name="Normal 3 2 2 9" xfId="681" xr:uid="{00000000-0005-0000-0000-0000DD000000}"/>
    <cellStyle name="Normal 3 2 3" xfId="66" xr:uid="{00000000-0005-0000-0000-0000DE000000}"/>
    <cellStyle name="Normal 3 2 3 2" xfId="159" xr:uid="{00000000-0005-0000-0000-0000DF000000}"/>
    <cellStyle name="Normal 3 2 3 3" xfId="249" xr:uid="{00000000-0005-0000-0000-0000E0000000}"/>
    <cellStyle name="Normal 3 2 3 4" xfId="339" xr:uid="{00000000-0005-0000-0000-0000E1000000}"/>
    <cellStyle name="Normal 3 2 3 5" xfId="429" xr:uid="{00000000-0005-0000-0000-0000E2000000}"/>
    <cellStyle name="Normal 3 2 3 6" xfId="519" xr:uid="{00000000-0005-0000-0000-0000E3000000}"/>
    <cellStyle name="Normal 3 2 3 7" xfId="609" xr:uid="{00000000-0005-0000-0000-0000E4000000}"/>
    <cellStyle name="Normal 3 2 3 8" xfId="699" xr:uid="{00000000-0005-0000-0000-0000E5000000}"/>
    <cellStyle name="Normal 3 2 3 9" xfId="796" xr:uid="{00000000-0005-0000-0000-0000E6000000}"/>
    <cellStyle name="Normal 3 2 4" xfId="122" xr:uid="{00000000-0005-0000-0000-0000E7000000}"/>
    <cellStyle name="Normal 3 2 5" xfId="212" xr:uid="{00000000-0005-0000-0000-0000E8000000}"/>
    <cellStyle name="Normal 3 2 6" xfId="302" xr:uid="{00000000-0005-0000-0000-0000E9000000}"/>
    <cellStyle name="Normal 3 2 7" xfId="392" xr:uid="{00000000-0005-0000-0000-0000EA000000}"/>
    <cellStyle name="Normal 3 2 8" xfId="482" xr:uid="{00000000-0005-0000-0000-0000EB000000}"/>
    <cellStyle name="Normal 3 2 9" xfId="572" xr:uid="{00000000-0005-0000-0000-0000EC000000}"/>
    <cellStyle name="Normal 3 20" xfId="568" xr:uid="{00000000-0005-0000-0000-0000ED000000}"/>
    <cellStyle name="Normal 3 21" xfId="658" xr:uid="{00000000-0005-0000-0000-0000EE000000}"/>
    <cellStyle name="Normal 3 22" xfId="748" xr:uid="{00000000-0005-0000-0000-0000EF000000}"/>
    <cellStyle name="Normal 3 3" xfId="26" xr:uid="{00000000-0005-0000-0000-0000F0000000}"/>
    <cellStyle name="Normal 3 3 10" xfId="665" xr:uid="{00000000-0005-0000-0000-0000F1000000}"/>
    <cellStyle name="Normal 3 3 11" xfId="760" xr:uid="{00000000-0005-0000-0000-0000F2000000}"/>
    <cellStyle name="Normal 3 3 2" xfId="48" xr:uid="{00000000-0005-0000-0000-0000F3000000}"/>
    <cellStyle name="Normal 3 3 2 10" xfId="780" xr:uid="{00000000-0005-0000-0000-0000F4000000}"/>
    <cellStyle name="Normal 3 3 2 2" xfId="88" xr:uid="{00000000-0005-0000-0000-0000F5000000}"/>
    <cellStyle name="Normal 3 3 2 2 2" xfId="181" xr:uid="{00000000-0005-0000-0000-0000F6000000}"/>
    <cellStyle name="Normal 3 3 2 2 3" xfId="271" xr:uid="{00000000-0005-0000-0000-0000F7000000}"/>
    <cellStyle name="Normal 3 3 2 2 4" xfId="361" xr:uid="{00000000-0005-0000-0000-0000F8000000}"/>
    <cellStyle name="Normal 3 3 2 2 5" xfId="451" xr:uid="{00000000-0005-0000-0000-0000F9000000}"/>
    <cellStyle name="Normal 3 3 2 2 6" xfId="541" xr:uid="{00000000-0005-0000-0000-0000FA000000}"/>
    <cellStyle name="Normal 3 3 2 2 7" xfId="631" xr:uid="{00000000-0005-0000-0000-0000FB000000}"/>
    <cellStyle name="Normal 3 3 2 2 8" xfId="721" xr:uid="{00000000-0005-0000-0000-0000FC000000}"/>
    <cellStyle name="Normal 3 3 2 2 9" xfId="818" xr:uid="{00000000-0005-0000-0000-0000FD000000}"/>
    <cellStyle name="Normal 3 3 2 3" xfId="144" xr:uid="{00000000-0005-0000-0000-0000FE000000}"/>
    <cellStyle name="Normal 3 3 2 4" xfId="234" xr:uid="{00000000-0005-0000-0000-0000FF000000}"/>
    <cellStyle name="Normal 3 3 2 5" xfId="324" xr:uid="{00000000-0005-0000-0000-000000010000}"/>
    <cellStyle name="Normal 3 3 2 6" xfId="414" xr:uid="{00000000-0005-0000-0000-000001010000}"/>
    <cellStyle name="Normal 3 3 2 7" xfId="504" xr:uid="{00000000-0005-0000-0000-000002010000}"/>
    <cellStyle name="Normal 3 3 2 8" xfId="594" xr:uid="{00000000-0005-0000-0000-000003010000}"/>
    <cellStyle name="Normal 3 3 2 9" xfId="684" xr:uid="{00000000-0005-0000-0000-000004010000}"/>
    <cellStyle name="Normal 3 3 3" xfId="69" xr:uid="{00000000-0005-0000-0000-000005010000}"/>
    <cellStyle name="Normal 3 3 3 2" xfId="162" xr:uid="{00000000-0005-0000-0000-000006010000}"/>
    <cellStyle name="Normal 3 3 3 3" xfId="252" xr:uid="{00000000-0005-0000-0000-000007010000}"/>
    <cellStyle name="Normal 3 3 3 4" xfId="342" xr:uid="{00000000-0005-0000-0000-000008010000}"/>
    <cellStyle name="Normal 3 3 3 5" xfId="432" xr:uid="{00000000-0005-0000-0000-000009010000}"/>
    <cellStyle name="Normal 3 3 3 6" xfId="522" xr:uid="{00000000-0005-0000-0000-00000A010000}"/>
    <cellStyle name="Normal 3 3 3 7" xfId="612" xr:uid="{00000000-0005-0000-0000-00000B010000}"/>
    <cellStyle name="Normal 3 3 3 8" xfId="702" xr:uid="{00000000-0005-0000-0000-00000C010000}"/>
    <cellStyle name="Normal 3 3 3 9" xfId="799" xr:uid="{00000000-0005-0000-0000-00000D010000}"/>
    <cellStyle name="Normal 3 3 4" xfId="125" xr:uid="{00000000-0005-0000-0000-00000E010000}"/>
    <cellStyle name="Normal 3 3 5" xfId="215" xr:uid="{00000000-0005-0000-0000-00000F010000}"/>
    <cellStyle name="Normal 3 3 6" xfId="305" xr:uid="{00000000-0005-0000-0000-000010010000}"/>
    <cellStyle name="Normal 3 3 7" xfId="395" xr:uid="{00000000-0005-0000-0000-000011010000}"/>
    <cellStyle name="Normal 3 3 8" xfId="485" xr:uid="{00000000-0005-0000-0000-000012010000}"/>
    <cellStyle name="Normal 3 3 9" xfId="575" xr:uid="{00000000-0005-0000-0000-000013010000}"/>
    <cellStyle name="Normal 3 4" xfId="29" xr:uid="{00000000-0005-0000-0000-000014010000}"/>
    <cellStyle name="Normal 3 4 10" xfId="668" xr:uid="{00000000-0005-0000-0000-000015010000}"/>
    <cellStyle name="Normal 3 4 11" xfId="763" xr:uid="{00000000-0005-0000-0000-000016010000}"/>
    <cellStyle name="Normal 3 4 2" xfId="51" xr:uid="{00000000-0005-0000-0000-000017010000}"/>
    <cellStyle name="Normal 3 4 2 10" xfId="783" xr:uid="{00000000-0005-0000-0000-000018010000}"/>
    <cellStyle name="Normal 3 4 2 2" xfId="91" xr:uid="{00000000-0005-0000-0000-000019010000}"/>
    <cellStyle name="Normal 3 4 2 2 2" xfId="184" xr:uid="{00000000-0005-0000-0000-00001A010000}"/>
    <cellStyle name="Normal 3 4 2 2 3" xfId="274" xr:uid="{00000000-0005-0000-0000-00001B010000}"/>
    <cellStyle name="Normal 3 4 2 2 4" xfId="364" xr:uid="{00000000-0005-0000-0000-00001C010000}"/>
    <cellStyle name="Normal 3 4 2 2 5" xfId="454" xr:uid="{00000000-0005-0000-0000-00001D010000}"/>
    <cellStyle name="Normal 3 4 2 2 6" xfId="544" xr:uid="{00000000-0005-0000-0000-00001E010000}"/>
    <cellStyle name="Normal 3 4 2 2 7" xfId="634" xr:uid="{00000000-0005-0000-0000-00001F010000}"/>
    <cellStyle name="Normal 3 4 2 2 8" xfId="724" xr:uid="{00000000-0005-0000-0000-000020010000}"/>
    <cellStyle name="Normal 3 4 2 2 9" xfId="821" xr:uid="{00000000-0005-0000-0000-000021010000}"/>
    <cellStyle name="Normal 3 4 2 3" xfId="147" xr:uid="{00000000-0005-0000-0000-000022010000}"/>
    <cellStyle name="Normal 3 4 2 4" xfId="237" xr:uid="{00000000-0005-0000-0000-000023010000}"/>
    <cellStyle name="Normal 3 4 2 5" xfId="327" xr:uid="{00000000-0005-0000-0000-000024010000}"/>
    <cellStyle name="Normal 3 4 2 6" xfId="417" xr:uid="{00000000-0005-0000-0000-000025010000}"/>
    <cellStyle name="Normal 3 4 2 7" xfId="507" xr:uid="{00000000-0005-0000-0000-000026010000}"/>
    <cellStyle name="Normal 3 4 2 8" xfId="597" xr:uid="{00000000-0005-0000-0000-000027010000}"/>
    <cellStyle name="Normal 3 4 2 9" xfId="687" xr:uid="{00000000-0005-0000-0000-000028010000}"/>
    <cellStyle name="Normal 3 4 3" xfId="72" xr:uid="{00000000-0005-0000-0000-000029010000}"/>
    <cellStyle name="Normal 3 4 3 2" xfId="165" xr:uid="{00000000-0005-0000-0000-00002A010000}"/>
    <cellStyle name="Normal 3 4 3 3" xfId="255" xr:uid="{00000000-0005-0000-0000-00002B010000}"/>
    <cellStyle name="Normal 3 4 3 4" xfId="345" xr:uid="{00000000-0005-0000-0000-00002C010000}"/>
    <cellStyle name="Normal 3 4 3 5" xfId="435" xr:uid="{00000000-0005-0000-0000-00002D010000}"/>
    <cellStyle name="Normal 3 4 3 6" xfId="525" xr:uid="{00000000-0005-0000-0000-00002E010000}"/>
    <cellStyle name="Normal 3 4 3 7" xfId="615" xr:uid="{00000000-0005-0000-0000-00002F010000}"/>
    <cellStyle name="Normal 3 4 3 8" xfId="705" xr:uid="{00000000-0005-0000-0000-000030010000}"/>
    <cellStyle name="Normal 3 4 3 9" xfId="802" xr:uid="{00000000-0005-0000-0000-000031010000}"/>
    <cellStyle name="Normal 3 4 4" xfId="128" xr:uid="{00000000-0005-0000-0000-000032010000}"/>
    <cellStyle name="Normal 3 4 5" xfId="218" xr:uid="{00000000-0005-0000-0000-000033010000}"/>
    <cellStyle name="Normal 3 4 6" xfId="308" xr:uid="{00000000-0005-0000-0000-000034010000}"/>
    <cellStyle name="Normal 3 4 7" xfId="398" xr:uid="{00000000-0005-0000-0000-000035010000}"/>
    <cellStyle name="Normal 3 4 8" xfId="488" xr:uid="{00000000-0005-0000-0000-000036010000}"/>
    <cellStyle name="Normal 3 4 9" xfId="578" xr:uid="{00000000-0005-0000-0000-000037010000}"/>
    <cellStyle name="Normal 3 5" xfId="33" xr:uid="{00000000-0005-0000-0000-000038010000}"/>
    <cellStyle name="Normal 3 5 10" xfId="671" xr:uid="{00000000-0005-0000-0000-000039010000}"/>
    <cellStyle name="Normal 3 5 11" xfId="766" xr:uid="{00000000-0005-0000-0000-00003A010000}"/>
    <cellStyle name="Normal 3 5 2" xfId="55" xr:uid="{00000000-0005-0000-0000-00003B010000}"/>
    <cellStyle name="Normal 3 5 2 10" xfId="786" xr:uid="{00000000-0005-0000-0000-00003C010000}"/>
    <cellStyle name="Normal 3 5 2 2" xfId="95" xr:uid="{00000000-0005-0000-0000-00003D010000}"/>
    <cellStyle name="Normal 3 5 2 2 2" xfId="187" xr:uid="{00000000-0005-0000-0000-00003E010000}"/>
    <cellStyle name="Normal 3 5 2 2 3" xfId="277" xr:uid="{00000000-0005-0000-0000-00003F010000}"/>
    <cellStyle name="Normal 3 5 2 2 4" xfId="367" xr:uid="{00000000-0005-0000-0000-000040010000}"/>
    <cellStyle name="Normal 3 5 2 2 5" xfId="457" xr:uid="{00000000-0005-0000-0000-000041010000}"/>
    <cellStyle name="Normal 3 5 2 2 6" xfId="547" xr:uid="{00000000-0005-0000-0000-000042010000}"/>
    <cellStyle name="Normal 3 5 2 2 7" xfId="637" xr:uid="{00000000-0005-0000-0000-000043010000}"/>
    <cellStyle name="Normal 3 5 2 2 8" xfId="727" xr:uid="{00000000-0005-0000-0000-000044010000}"/>
    <cellStyle name="Normal 3 5 2 2 9" xfId="824" xr:uid="{00000000-0005-0000-0000-000045010000}"/>
    <cellStyle name="Normal 3 5 2 3" xfId="150" xr:uid="{00000000-0005-0000-0000-000046010000}"/>
    <cellStyle name="Normal 3 5 2 4" xfId="240" xr:uid="{00000000-0005-0000-0000-000047010000}"/>
    <cellStyle name="Normal 3 5 2 5" xfId="330" xr:uid="{00000000-0005-0000-0000-000048010000}"/>
    <cellStyle name="Normal 3 5 2 6" xfId="420" xr:uid="{00000000-0005-0000-0000-000049010000}"/>
    <cellStyle name="Normal 3 5 2 7" xfId="510" xr:uid="{00000000-0005-0000-0000-00004A010000}"/>
    <cellStyle name="Normal 3 5 2 8" xfId="600" xr:uid="{00000000-0005-0000-0000-00004B010000}"/>
    <cellStyle name="Normal 3 5 2 9" xfId="690" xr:uid="{00000000-0005-0000-0000-00004C010000}"/>
    <cellStyle name="Normal 3 5 3" xfId="75" xr:uid="{00000000-0005-0000-0000-00004D010000}"/>
    <cellStyle name="Normal 3 5 3 2" xfId="168" xr:uid="{00000000-0005-0000-0000-00004E010000}"/>
    <cellStyle name="Normal 3 5 3 3" xfId="258" xr:uid="{00000000-0005-0000-0000-00004F010000}"/>
    <cellStyle name="Normal 3 5 3 4" xfId="348" xr:uid="{00000000-0005-0000-0000-000050010000}"/>
    <cellStyle name="Normal 3 5 3 5" xfId="438" xr:uid="{00000000-0005-0000-0000-000051010000}"/>
    <cellStyle name="Normal 3 5 3 6" xfId="528" xr:uid="{00000000-0005-0000-0000-000052010000}"/>
    <cellStyle name="Normal 3 5 3 7" xfId="618" xr:uid="{00000000-0005-0000-0000-000053010000}"/>
    <cellStyle name="Normal 3 5 3 8" xfId="708" xr:uid="{00000000-0005-0000-0000-000054010000}"/>
    <cellStyle name="Normal 3 5 3 9" xfId="805" xr:uid="{00000000-0005-0000-0000-000055010000}"/>
    <cellStyle name="Normal 3 5 4" xfId="131" xr:uid="{00000000-0005-0000-0000-000056010000}"/>
    <cellStyle name="Normal 3 5 5" xfId="221" xr:uid="{00000000-0005-0000-0000-000057010000}"/>
    <cellStyle name="Normal 3 5 6" xfId="311" xr:uid="{00000000-0005-0000-0000-000058010000}"/>
    <cellStyle name="Normal 3 5 7" xfId="401" xr:uid="{00000000-0005-0000-0000-000059010000}"/>
    <cellStyle name="Normal 3 5 8" xfId="491" xr:uid="{00000000-0005-0000-0000-00005A010000}"/>
    <cellStyle name="Normal 3 5 9" xfId="581" xr:uid="{00000000-0005-0000-0000-00005B010000}"/>
    <cellStyle name="Normal 3 6" xfId="36" xr:uid="{00000000-0005-0000-0000-00005C010000}"/>
    <cellStyle name="Normal 3 6 10" xfId="674" xr:uid="{00000000-0005-0000-0000-00005D010000}"/>
    <cellStyle name="Normal 3 6 11" xfId="769" xr:uid="{00000000-0005-0000-0000-00005E010000}"/>
    <cellStyle name="Normal 3 6 2" xfId="58" xr:uid="{00000000-0005-0000-0000-00005F010000}"/>
    <cellStyle name="Normal 3 6 2 10" xfId="789" xr:uid="{00000000-0005-0000-0000-000060010000}"/>
    <cellStyle name="Normal 3 6 2 2" xfId="98" xr:uid="{00000000-0005-0000-0000-000061010000}"/>
    <cellStyle name="Normal 3 6 2 2 2" xfId="190" xr:uid="{00000000-0005-0000-0000-000062010000}"/>
    <cellStyle name="Normal 3 6 2 2 3" xfId="280" xr:uid="{00000000-0005-0000-0000-000063010000}"/>
    <cellStyle name="Normal 3 6 2 2 4" xfId="370" xr:uid="{00000000-0005-0000-0000-000064010000}"/>
    <cellStyle name="Normal 3 6 2 2 5" xfId="460" xr:uid="{00000000-0005-0000-0000-000065010000}"/>
    <cellStyle name="Normal 3 6 2 2 6" xfId="550" xr:uid="{00000000-0005-0000-0000-000066010000}"/>
    <cellStyle name="Normal 3 6 2 2 7" xfId="640" xr:uid="{00000000-0005-0000-0000-000067010000}"/>
    <cellStyle name="Normal 3 6 2 2 8" xfId="730" xr:uid="{00000000-0005-0000-0000-000068010000}"/>
    <cellStyle name="Normal 3 6 2 2 9" xfId="827" xr:uid="{00000000-0005-0000-0000-000069010000}"/>
    <cellStyle name="Normal 3 6 2 3" xfId="153" xr:uid="{00000000-0005-0000-0000-00006A010000}"/>
    <cellStyle name="Normal 3 6 2 4" xfId="243" xr:uid="{00000000-0005-0000-0000-00006B010000}"/>
    <cellStyle name="Normal 3 6 2 5" xfId="333" xr:uid="{00000000-0005-0000-0000-00006C010000}"/>
    <cellStyle name="Normal 3 6 2 6" xfId="423" xr:uid="{00000000-0005-0000-0000-00006D010000}"/>
    <cellStyle name="Normal 3 6 2 7" xfId="513" xr:uid="{00000000-0005-0000-0000-00006E010000}"/>
    <cellStyle name="Normal 3 6 2 8" xfId="603" xr:uid="{00000000-0005-0000-0000-00006F010000}"/>
    <cellStyle name="Normal 3 6 2 9" xfId="693" xr:uid="{00000000-0005-0000-0000-000070010000}"/>
    <cellStyle name="Normal 3 6 3" xfId="78" xr:uid="{00000000-0005-0000-0000-000071010000}"/>
    <cellStyle name="Normal 3 6 3 2" xfId="171" xr:uid="{00000000-0005-0000-0000-000072010000}"/>
    <cellStyle name="Normal 3 6 3 3" xfId="261" xr:uid="{00000000-0005-0000-0000-000073010000}"/>
    <cellStyle name="Normal 3 6 3 4" xfId="351" xr:uid="{00000000-0005-0000-0000-000074010000}"/>
    <cellStyle name="Normal 3 6 3 5" xfId="441" xr:uid="{00000000-0005-0000-0000-000075010000}"/>
    <cellStyle name="Normal 3 6 3 6" xfId="531" xr:uid="{00000000-0005-0000-0000-000076010000}"/>
    <cellStyle name="Normal 3 6 3 7" xfId="621" xr:uid="{00000000-0005-0000-0000-000077010000}"/>
    <cellStyle name="Normal 3 6 3 8" xfId="711" xr:uid="{00000000-0005-0000-0000-000078010000}"/>
    <cellStyle name="Normal 3 6 3 9" xfId="808" xr:uid="{00000000-0005-0000-0000-000079010000}"/>
    <cellStyle name="Normal 3 6 4" xfId="134" xr:uid="{00000000-0005-0000-0000-00007A010000}"/>
    <cellStyle name="Normal 3 6 5" xfId="224" xr:uid="{00000000-0005-0000-0000-00007B010000}"/>
    <cellStyle name="Normal 3 6 6" xfId="314" xr:uid="{00000000-0005-0000-0000-00007C010000}"/>
    <cellStyle name="Normal 3 6 7" xfId="404" xr:uid="{00000000-0005-0000-0000-00007D010000}"/>
    <cellStyle name="Normal 3 6 8" xfId="494" xr:uid="{00000000-0005-0000-0000-00007E010000}"/>
    <cellStyle name="Normal 3 6 9" xfId="584" xr:uid="{00000000-0005-0000-0000-00007F010000}"/>
    <cellStyle name="Normal 3 7" xfId="42" xr:uid="{00000000-0005-0000-0000-000080010000}"/>
    <cellStyle name="Normal 3 7 10" xfId="774" xr:uid="{00000000-0005-0000-0000-000081010000}"/>
    <cellStyle name="Normal 3 7 2" xfId="82" xr:uid="{00000000-0005-0000-0000-000082010000}"/>
    <cellStyle name="Normal 3 7 2 2" xfId="175" xr:uid="{00000000-0005-0000-0000-000083010000}"/>
    <cellStyle name="Normal 3 7 2 3" xfId="265" xr:uid="{00000000-0005-0000-0000-000084010000}"/>
    <cellStyle name="Normal 3 7 2 4" xfId="355" xr:uid="{00000000-0005-0000-0000-000085010000}"/>
    <cellStyle name="Normal 3 7 2 5" xfId="445" xr:uid="{00000000-0005-0000-0000-000086010000}"/>
    <cellStyle name="Normal 3 7 2 6" xfId="535" xr:uid="{00000000-0005-0000-0000-000087010000}"/>
    <cellStyle name="Normal 3 7 2 7" xfId="625" xr:uid="{00000000-0005-0000-0000-000088010000}"/>
    <cellStyle name="Normal 3 7 2 8" xfId="715" xr:uid="{00000000-0005-0000-0000-000089010000}"/>
    <cellStyle name="Normal 3 7 2 9" xfId="812" xr:uid="{00000000-0005-0000-0000-00008A010000}"/>
    <cellStyle name="Normal 3 7 3" xfId="138" xr:uid="{00000000-0005-0000-0000-00008B010000}"/>
    <cellStyle name="Normal 3 7 4" xfId="228" xr:uid="{00000000-0005-0000-0000-00008C010000}"/>
    <cellStyle name="Normal 3 7 5" xfId="318" xr:uid="{00000000-0005-0000-0000-00008D010000}"/>
    <cellStyle name="Normal 3 7 6" xfId="408" xr:uid="{00000000-0005-0000-0000-00008E010000}"/>
    <cellStyle name="Normal 3 7 7" xfId="498" xr:uid="{00000000-0005-0000-0000-00008F010000}"/>
    <cellStyle name="Normal 3 7 8" xfId="588" xr:uid="{00000000-0005-0000-0000-000090010000}"/>
    <cellStyle name="Normal 3 7 9" xfId="678" xr:uid="{00000000-0005-0000-0000-000091010000}"/>
    <cellStyle name="Normal 3 8" xfId="63" xr:uid="{00000000-0005-0000-0000-000092010000}"/>
    <cellStyle name="Normal 3 8 2" xfId="156" xr:uid="{00000000-0005-0000-0000-000093010000}"/>
    <cellStyle name="Normal 3 8 3" xfId="246" xr:uid="{00000000-0005-0000-0000-000094010000}"/>
    <cellStyle name="Normal 3 8 4" xfId="336" xr:uid="{00000000-0005-0000-0000-000095010000}"/>
    <cellStyle name="Normal 3 8 5" xfId="426" xr:uid="{00000000-0005-0000-0000-000096010000}"/>
    <cellStyle name="Normal 3 8 6" xfId="516" xr:uid="{00000000-0005-0000-0000-000097010000}"/>
    <cellStyle name="Normal 3 8 7" xfId="606" xr:uid="{00000000-0005-0000-0000-000098010000}"/>
    <cellStyle name="Normal 3 8 8" xfId="696" xr:uid="{00000000-0005-0000-0000-000099010000}"/>
    <cellStyle name="Normal 3 8 9" xfId="793" xr:uid="{00000000-0005-0000-0000-00009A010000}"/>
    <cellStyle name="Normal 3 9" xfId="101" xr:uid="{00000000-0005-0000-0000-00009B010000}"/>
    <cellStyle name="Normal 3 9 2" xfId="193" xr:uid="{00000000-0005-0000-0000-00009C010000}"/>
    <cellStyle name="Normal 3 9 3" xfId="283" xr:uid="{00000000-0005-0000-0000-00009D010000}"/>
    <cellStyle name="Normal 3 9 4" xfId="373" xr:uid="{00000000-0005-0000-0000-00009E010000}"/>
    <cellStyle name="Normal 3 9 5" xfId="463" xr:uid="{00000000-0005-0000-0000-00009F010000}"/>
    <cellStyle name="Normal 3 9 6" xfId="553" xr:uid="{00000000-0005-0000-0000-0000A0010000}"/>
    <cellStyle name="Normal 3 9 7" xfId="643" xr:uid="{00000000-0005-0000-0000-0000A1010000}"/>
    <cellStyle name="Normal 3 9 8" xfId="733" xr:uid="{00000000-0005-0000-0000-0000A2010000}"/>
    <cellStyle name="Normal 3 9 9" xfId="830" xr:uid="{00000000-0005-0000-0000-0000A3010000}"/>
    <cellStyle name="Normal 4" xfId="12" xr:uid="{00000000-0005-0000-0000-0000A4010000}"/>
    <cellStyle name="Normal 5" xfId="9" xr:uid="{00000000-0005-0000-0000-0000A5010000}"/>
    <cellStyle name="Normal 5 2" xfId="5" xr:uid="{00000000-0005-0000-0000-0000A6010000}"/>
    <cellStyle name="Normal 5 3" xfId="32" xr:uid="{00000000-0005-0000-0000-0000A7010000}"/>
    <cellStyle name="Normal 5 3 2" xfId="54" xr:uid="{00000000-0005-0000-0000-0000A8010000}"/>
    <cellStyle name="Normal 5 4" xfId="19" xr:uid="{00000000-0005-0000-0000-0000A9010000}"/>
    <cellStyle name="Normal 6" xfId="18" xr:uid="{00000000-0005-0000-0000-0000AA010000}"/>
    <cellStyle name="Normal 6 10" xfId="660" xr:uid="{00000000-0005-0000-0000-0000AB010000}"/>
    <cellStyle name="Normal 6 11" xfId="754" xr:uid="{00000000-0005-0000-0000-0000AC010000}"/>
    <cellStyle name="Normal 6 2" xfId="41" xr:uid="{00000000-0005-0000-0000-0000AD010000}"/>
    <cellStyle name="Normal 6 2 10" xfId="773" xr:uid="{00000000-0005-0000-0000-0000AE010000}"/>
    <cellStyle name="Normal 6 2 2" xfId="81" xr:uid="{00000000-0005-0000-0000-0000AF010000}"/>
    <cellStyle name="Normal 6 2 2 2" xfId="174" xr:uid="{00000000-0005-0000-0000-0000B0010000}"/>
    <cellStyle name="Normal 6 2 2 3" xfId="264" xr:uid="{00000000-0005-0000-0000-0000B1010000}"/>
    <cellStyle name="Normal 6 2 2 4" xfId="354" xr:uid="{00000000-0005-0000-0000-0000B2010000}"/>
    <cellStyle name="Normal 6 2 2 5" xfId="444" xr:uid="{00000000-0005-0000-0000-0000B3010000}"/>
    <cellStyle name="Normal 6 2 2 6" xfId="534" xr:uid="{00000000-0005-0000-0000-0000B4010000}"/>
    <cellStyle name="Normal 6 2 2 7" xfId="624" xr:uid="{00000000-0005-0000-0000-0000B5010000}"/>
    <cellStyle name="Normal 6 2 2 8" xfId="714" xr:uid="{00000000-0005-0000-0000-0000B6010000}"/>
    <cellStyle name="Normal 6 2 2 9" xfId="811" xr:uid="{00000000-0005-0000-0000-0000B7010000}"/>
    <cellStyle name="Normal 6 2 3" xfId="137" xr:uid="{00000000-0005-0000-0000-0000B8010000}"/>
    <cellStyle name="Normal 6 2 4" xfId="227" xr:uid="{00000000-0005-0000-0000-0000B9010000}"/>
    <cellStyle name="Normal 6 2 5" xfId="317" xr:uid="{00000000-0005-0000-0000-0000BA010000}"/>
    <cellStyle name="Normal 6 2 6" xfId="407" xr:uid="{00000000-0005-0000-0000-0000BB010000}"/>
    <cellStyle name="Normal 6 2 7" xfId="497" xr:uid="{00000000-0005-0000-0000-0000BC010000}"/>
    <cellStyle name="Normal 6 2 8" xfId="587" xr:uid="{00000000-0005-0000-0000-0000BD010000}"/>
    <cellStyle name="Normal 6 2 9" xfId="677" xr:uid="{00000000-0005-0000-0000-0000BE010000}"/>
    <cellStyle name="Normal 6 3" xfId="62" xr:uid="{00000000-0005-0000-0000-0000BF010000}"/>
    <cellStyle name="Normal 6 3 2" xfId="155" xr:uid="{00000000-0005-0000-0000-0000C0010000}"/>
    <cellStyle name="Normal 6 3 3" xfId="245" xr:uid="{00000000-0005-0000-0000-0000C1010000}"/>
    <cellStyle name="Normal 6 3 4" xfId="335" xr:uid="{00000000-0005-0000-0000-0000C2010000}"/>
    <cellStyle name="Normal 6 3 5" xfId="425" xr:uid="{00000000-0005-0000-0000-0000C3010000}"/>
    <cellStyle name="Normal 6 3 6" xfId="515" xr:uid="{00000000-0005-0000-0000-0000C4010000}"/>
    <cellStyle name="Normal 6 3 7" xfId="605" xr:uid="{00000000-0005-0000-0000-0000C5010000}"/>
    <cellStyle name="Normal 6 3 8" xfId="695" xr:uid="{00000000-0005-0000-0000-0000C6010000}"/>
    <cellStyle name="Normal 6 3 9" xfId="792" xr:uid="{00000000-0005-0000-0000-0000C7010000}"/>
    <cellStyle name="Normal 6 4" xfId="120" xr:uid="{00000000-0005-0000-0000-0000C8010000}"/>
    <cellStyle name="Normal 6 5" xfId="210" xr:uid="{00000000-0005-0000-0000-0000C9010000}"/>
    <cellStyle name="Normal 6 6" xfId="300" xr:uid="{00000000-0005-0000-0000-0000CA010000}"/>
    <cellStyle name="Normal 6 7" xfId="390" xr:uid="{00000000-0005-0000-0000-0000CB010000}"/>
    <cellStyle name="Normal 6 8" xfId="480" xr:uid="{00000000-0005-0000-0000-0000CC010000}"/>
    <cellStyle name="Normal 6 9" xfId="570" xr:uid="{00000000-0005-0000-0000-0000CD010000}"/>
    <cellStyle name="Normal 7" xfId="22" xr:uid="{00000000-0005-0000-0000-0000CE010000}"/>
    <cellStyle name="Normal 7 10" xfId="661" xr:uid="{00000000-0005-0000-0000-0000CF010000}"/>
    <cellStyle name="Normal 7 11" xfId="756" xr:uid="{00000000-0005-0000-0000-0000D0010000}"/>
    <cellStyle name="Normal 7 2" xfId="44" xr:uid="{00000000-0005-0000-0000-0000D1010000}"/>
    <cellStyle name="Normal 7 2 10" xfId="776" xr:uid="{00000000-0005-0000-0000-0000D2010000}"/>
    <cellStyle name="Normal 7 2 2" xfId="84" xr:uid="{00000000-0005-0000-0000-0000D3010000}"/>
    <cellStyle name="Normal 7 2 2 2" xfId="177" xr:uid="{00000000-0005-0000-0000-0000D4010000}"/>
    <cellStyle name="Normal 7 2 2 3" xfId="267" xr:uid="{00000000-0005-0000-0000-0000D5010000}"/>
    <cellStyle name="Normal 7 2 2 4" xfId="357" xr:uid="{00000000-0005-0000-0000-0000D6010000}"/>
    <cellStyle name="Normal 7 2 2 5" xfId="447" xr:uid="{00000000-0005-0000-0000-0000D7010000}"/>
    <cellStyle name="Normal 7 2 2 6" xfId="537" xr:uid="{00000000-0005-0000-0000-0000D8010000}"/>
    <cellStyle name="Normal 7 2 2 7" xfId="627" xr:uid="{00000000-0005-0000-0000-0000D9010000}"/>
    <cellStyle name="Normal 7 2 2 8" xfId="717" xr:uid="{00000000-0005-0000-0000-0000DA010000}"/>
    <cellStyle name="Normal 7 2 2 9" xfId="814" xr:uid="{00000000-0005-0000-0000-0000DB010000}"/>
    <cellStyle name="Normal 7 2 3" xfId="140" xr:uid="{00000000-0005-0000-0000-0000DC010000}"/>
    <cellStyle name="Normal 7 2 4" xfId="230" xr:uid="{00000000-0005-0000-0000-0000DD010000}"/>
    <cellStyle name="Normal 7 2 5" xfId="320" xr:uid="{00000000-0005-0000-0000-0000DE010000}"/>
    <cellStyle name="Normal 7 2 6" xfId="410" xr:uid="{00000000-0005-0000-0000-0000DF010000}"/>
    <cellStyle name="Normal 7 2 7" xfId="500" xr:uid="{00000000-0005-0000-0000-0000E0010000}"/>
    <cellStyle name="Normal 7 2 8" xfId="590" xr:uid="{00000000-0005-0000-0000-0000E1010000}"/>
    <cellStyle name="Normal 7 2 9" xfId="680" xr:uid="{00000000-0005-0000-0000-0000E2010000}"/>
    <cellStyle name="Normal 7 3" xfId="65" xr:uid="{00000000-0005-0000-0000-0000E3010000}"/>
    <cellStyle name="Normal 7 3 2" xfId="158" xr:uid="{00000000-0005-0000-0000-0000E4010000}"/>
    <cellStyle name="Normal 7 3 3" xfId="248" xr:uid="{00000000-0005-0000-0000-0000E5010000}"/>
    <cellStyle name="Normal 7 3 4" xfId="338" xr:uid="{00000000-0005-0000-0000-0000E6010000}"/>
    <cellStyle name="Normal 7 3 5" xfId="428" xr:uid="{00000000-0005-0000-0000-0000E7010000}"/>
    <cellStyle name="Normal 7 3 6" xfId="518" xr:uid="{00000000-0005-0000-0000-0000E8010000}"/>
    <cellStyle name="Normal 7 3 7" xfId="608" xr:uid="{00000000-0005-0000-0000-0000E9010000}"/>
    <cellStyle name="Normal 7 3 8" xfId="698" xr:uid="{00000000-0005-0000-0000-0000EA010000}"/>
    <cellStyle name="Normal 7 3 9" xfId="795" xr:uid="{00000000-0005-0000-0000-0000EB010000}"/>
    <cellStyle name="Normal 7 4" xfId="121" xr:uid="{00000000-0005-0000-0000-0000EC010000}"/>
    <cellStyle name="Normal 7 5" xfId="211" xr:uid="{00000000-0005-0000-0000-0000ED010000}"/>
    <cellStyle name="Normal 7 6" xfId="301" xr:uid="{00000000-0005-0000-0000-0000EE010000}"/>
    <cellStyle name="Normal 7 7" xfId="391" xr:uid="{00000000-0005-0000-0000-0000EF010000}"/>
    <cellStyle name="Normal 7 8" xfId="481" xr:uid="{00000000-0005-0000-0000-0000F0010000}"/>
    <cellStyle name="Normal 7 9" xfId="571" xr:uid="{00000000-0005-0000-0000-0000F1010000}"/>
    <cellStyle name="Normal 8" xfId="25" xr:uid="{00000000-0005-0000-0000-0000F2010000}"/>
    <cellStyle name="Normal 8 10" xfId="664" xr:uid="{00000000-0005-0000-0000-0000F3010000}"/>
    <cellStyle name="Normal 8 11" xfId="759" xr:uid="{00000000-0005-0000-0000-0000F4010000}"/>
    <cellStyle name="Normal 8 2" xfId="47" xr:uid="{00000000-0005-0000-0000-0000F5010000}"/>
    <cellStyle name="Normal 8 2 10" xfId="779" xr:uid="{00000000-0005-0000-0000-0000F6010000}"/>
    <cellStyle name="Normal 8 2 2" xfId="87" xr:uid="{00000000-0005-0000-0000-0000F7010000}"/>
    <cellStyle name="Normal 8 2 2 2" xfId="180" xr:uid="{00000000-0005-0000-0000-0000F8010000}"/>
    <cellStyle name="Normal 8 2 2 3" xfId="270" xr:uid="{00000000-0005-0000-0000-0000F9010000}"/>
    <cellStyle name="Normal 8 2 2 4" xfId="360" xr:uid="{00000000-0005-0000-0000-0000FA010000}"/>
    <cellStyle name="Normal 8 2 2 5" xfId="450" xr:uid="{00000000-0005-0000-0000-0000FB010000}"/>
    <cellStyle name="Normal 8 2 2 6" xfId="540" xr:uid="{00000000-0005-0000-0000-0000FC010000}"/>
    <cellStyle name="Normal 8 2 2 7" xfId="630" xr:uid="{00000000-0005-0000-0000-0000FD010000}"/>
    <cellStyle name="Normal 8 2 2 8" xfId="720" xr:uid="{00000000-0005-0000-0000-0000FE010000}"/>
    <cellStyle name="Normal 8 2 2 9" xfId="817" xr:uid="{00000000-0005-0000-0000-0000FF010000}"/>
    <cellStyle name="Normal 8 2 3" xfId="143" xr:uid="{00000000-0005-0000-0000-000000020000}"/>
    <cellStyle name="Normal 8 2 4" xfId="233" xr:uid="{00000000-0005-0000-0000-000001020000}"/>
    <cellStyle name="Normal 8 2 5" xfId="323" xr:uid="{00000000-0005-0000-0000-000002020000}"/>
    <cellStyle name="Normal 8 2 6" xfId="413" xr:uid="{00000000-0005-0000-0000-000003020000}"/>
    <cellStyle name="Normal 8 2 7" xfId="503" xr:uid="{00000000-0005-0000-0000-000004020000}"/>
    <cellStyle name="Normal 8 2 8" xfId="593" xr:uid="{00000000-0005-0000-0000-000005020000}"/>
    <cellStyle name="Normal 8 2 9" xfId="683" xr:uid="{00000000-0005-0000-0000-000006020000}"/>
    <cellStyle name="Normal 8 3" xfId="68" xr:uid="{00000000-0005-0000-0000-000007020000}"/>
    <cellStyle name="Normal 8 3 2" xfId="161" xr:uid="{00000000-0005-0000-0000-000008020000}"/>
    <cellStyle name="Normal 8 3 3" xfId="251" xr:uid="{00000000-0005-0000-0000-000009020000}"/>
    <cellStyle name="Normal 8 3 4" xfId="341" xr:uid="{00000000-0005-0000-0000-00000A020000}"/>
    <cellStyle name="Normal 8 3 5" xfId="431" xr:uid="{00000000-0005-0000-0000-00000B020000}"/>
    <cellStyle name="Normal 8 3 6" xfId="521" xr:uid="{00000000-0005-0000-0000-00000C020000}"/>
    <cellStyle name="Normal 8 3 7" xfId="611" xr:uid="{00000000-0005-0000-0000-00000D020000}"/>
    <cellStyle name="Normal 8 3 8" xfId="701" xr:uid="{00000000-0005-0000-0000-00000E020000}"/>
    <cellStyle name="Normal 8 3 9" xfId="798" xr:uid="{00000000-0005-0000-0000-00000F020000}"/>
    <cellStyle name="Normal 8 4" xfId="124" xr:uid="{00000000-0005-0000-0000-000010020000}"/>
    <cellStyle name="Normal 8 5" xfId="214" xr:uid="{00000000-0005-0000-0000-000011020000}"/>
    <cellStyle name="Normal 8 6" xfId="304" xr:uid="{00000000-0005-0000-0000-000012020000}"/>
    <cellStyle name="Normal 8 7" xfId="394" xr:uid="{00000000-0005-0000-0000-000013020000}"/>
    <cellStyle name="Normal 8 8" xfId="484" xr:uid="{00000000-0005-0000-0000-000014020000}"/>
    <cellStyle name="Normal 8 9" xfId="574" xr:uid="{00000000-0005-0000-0000-000015020000}"/>
    <cellStyle name="Normal 9" xfId="28" xr:uid="{00000000-0005-0000-0000-000016020000}"/>
    <cellStyle name="Normal 9 10" xfId="667" xr:uid="{00000000-0005-0000-0000-000017020000}"/>
    <cellStyle name="Normal 9 11" xfId="762" xr:uid="{00000000-0005-0000-0000-000018020000}"/>
    <cellStyle name="Normal 9 2" xfId="50" xr:uid="{00000000-0005-0000-0000-000019020000}"/>
    <cellStyle name="Normal 9 2 10" xfId="782" xr:uid="{00000000-0005-0000-0000-00001A020000}"/>
    <cellStyle name="Normal 9 2 2" xfId="90" xr:uid="{00000000-0005-0000-0000-00001B020000}"/>
    <cellStyle name="Normal 9 2 2 2" xfId="183" xr:uid="{00000000-0005-0000-0000-00001C020000}"/>
    <cellStyle name="Normal 9 2 2 3" xfId="273" xr:uid="{00000000-0005-0000-0000-00001D020000}"/>
    <cellStyle name="Normal 9 2 2 4" xfId="363" xr:uid="{00000000-0005-0000-0000-00001E020000}"/>
    <cellStyle name="Normal 9 2 2 5" xfId="453" xr:uid="{00000000-0005-0000-0000-00001F020000}"/>
    <cellStyle name="Normal 9 2 2 6" xfId="543" xr:uid="{00000000-0005-0000-0000-000020020000}"/>
    <cellStyle name="Normal 9 2 2 7" xfId="633" xr:uid="{00000000-0005-0000-0000-000021020000}"/>
    <cellStyle name="Normal 9 2 2 8" xfId="723" xr:uid="{00000000-0005-0000-0000-000022020000}"/>
    <cellStyle name="Normal 9 2 2 9" xfId="820" xr:uid="{00000000-0005-0000-0000-000023020000}"/>
    <cellStyle name="Normal 9 2 3" xfId="146" xr:uid="{00000000-0005-0000-0000-000024020000}"/>
    <cellStyle name="Normal 9 2 4" xfId="236" xr:uid="{00000000-0005-0000-0000-000025020000}"/>
    <cellStyle name="Normal 9 2 5" xfId="326" xr:uid="{00000000-0005-0000-0000-000026020000}"/>
    <cellStyle name="Normal 9 2 6" xfId="416" xr:uid="{00000000-0005-0000-0000-000027020000}"/>
    <cellStyle name="Normal 9 2 7" xfId="506" xr:uid="{00000000-0005-0000-0000-000028020000}"/>
    <cellStyle name="Normal 9 2 8" xfId="596" xr:uid="{00000000-0005-0000-0000-000029020000}"/>
    <cellStyle name="Normal 9 2 9" xfId="686" xr:uid="{00000000-0005-0000-0000-00002A020000}"/>
    <cellStyle name="Normal 9 3" xfId="71" xr:uid="{00000000-0005-0000-0000-00002B020000}"/>
    <cellStyle name="Normal 9 3 2" xfId="164" xr:uid="{00000000-0005-0000-0000-00002C020000}"/>
    <cellStyle name="Normal 9 3 3" xfId="254" xr:uid="{00000000-0005-0000-0000-00002D020000}"/>
    <cellStyle name="Normal 9 3 4" xfId="344" xr:uid="{00000000-0005-0000-0000-00002E020000}"/>
    <cellStyle name="Normal 9 3 5" xfId="434" xr:uid="{00000000-0005-0000-0000-00002F020000}"/>
    <cellStyle name="Normal 9 3 6" xfId="524" xr:uid="{00000000-0005-0000-0000-000030020000}"/>
    <cellStyle name="Normal 9 3 7" xfId="614" xr:uid="{00000000-0005-0000-0000-000031020000}"/>
    <cellStyle name="Normal 9 3 8" xfId="704" xr:uid="{00000000-0005-0000-0000-000032020000}"/>
    <cellStyle name="Normal 9 3 9" xfId="801" xr:uid="{00000000-0005-0000-0000-000033020000}"/>
    <cellStyle name="Normal 9 4" xfId="127" xr:uid="{00000000-0005-0000-0000-000034020000}"/>
    <cellStyle name="Normal 9 5" xfId="217" xr:uid="{00000000-0005-0000-0000-000035020000}"/>
    <cellStyle name="Normal 9 6" xfId="307" xr:uid="{00000000-0005-0000-0000-000036020000}"/>
    <cellStyle name="Normal 9 7" xfId="397" xr:uid="{00000000-0005-0000-0000-000037020000}"/>
    <cellStyle name="Normal 9 8" xfId="487" xr:uid="{00000000-0005-0000-0000-000038020000}"/>
    <cellStyle name="Normal 9 9" xfId="577" xr:uid="{00000000-0005-0000-0000-000039020000}"/>
    <cellStyle name="Normal_Forslag" xfId="845" xr:uid="{00000000-0005-0000-0000-00003A020000}"/>
    <cellStyle name="Normal_Forslag 2" xfId="848" xr:uid="{00000000-0005-0000-0000-00003B020000}"/>
    <cellStyle name="Tusenskille 2" xfId="14" xr:uid="{00000000-0005-0000-0000-00003C020000}"/>
    <cellStyle name="Tusenskille 2 2" xfId="15" xr:uid="{00000000-0005-0000-0000-00003D020000}"/>
    <cellStyle name="Tusenskille 2 2 2" xfId="751" xr:uid="{00000000-0005-0000-0000-00003E020000}"/>
    <cellStyle name="Tusenskille 2 2 3" xfId="849" xr:uid="{F77FA10F-B946-43D0-BDB2-55CEFCE8EA1F}"/>
    <cellStyle name="Tusenskille 2 3" xfId="21" xr:uid="{00000000-0005-0000-0000-00003F020000}"/>
    <cellStyle name="Tusenskille 2 3 2" xfId="755" xr:uid="{00000000-0005-0000-0000-000040020000}"/>
    <cellStyle name="Tusenskille 2 4" xfId="40" xr:uid="{00000000-0005-0000-0000-000041020000}"/>
    <cellStyle name="Tusenskille 2 4 2" xfId="772" xr:uid="{00000000-0005-0000-0000-000042020000}"/>
    <cellStyle name="Tusenskille 2 5" xfId="61" xr:uid="{00000000-0005-0000-0000-000043020000}"/>
    <cellStyle name="Tusenskille 2 5 2" xfId="791" xr:uid="{00000000-0005-0000-0000-000044020000}"/>
    <cellStyle name="Tusenskille 2 6" xfId="750" xr:uid="{00000000-0005-0000-0000-000045020000}"/>
    <cellStyle name="Tusenskille 3" xfId="16" xr:uid="{00000000-0005-0000-0000-000046020000}"/>
    <cellStyle name="Tusenskille 3 10" xfId="105" xr:uid="{00000000-0005-0000-0000-000047020000}"/>
    <cellStyle name="Tusenskille 3 10 2" xfId="197" xr:uid="{00000000-0005-0000-0000-000048020000}"/>
    <cellStyle name="Tusenskille 3 10 3" xfId="287" xr:uid="{00000000-0005-0000-0000-000049020000}"/>
    <cellStyle name="Tusenskille 3 10 4" xfId="377" xr:uid="{00000000-0005-0000-0000-00004A020000}"/>
    <cellStyle name="Tusenskille 3 10 5" xfId="467" xr:uid="{00000000-0005-0000-0000-00004B020000}"/>
    <cellStyle name="Tusenskille 3 10 6" xfId="557" xr:uid="{00000000-0005-0000-0000-00004C020000}"/>
    <cellStyle name="Tusenskille 3 10 7" xfId="647" xr:uid="{00000000-0005-0000-0000-00004D020000}"/>
    <cellStyle name="Tusenskille 3 10 8" xfId="737" xr:uid="{00000000-0005-0000-0000-00004E020000}"/>
    <cellStyle name="Tusenskille 3 10 9" xfId="834" xr:uid="{00000000-0005-0000-0000-00004F020000}"/>
    <cellStyle name="Tusenskille 3 11" xfId="108" xr:uid="{00000000-0005-0000-0000-000050020000}"/>
    <cellStyle name="Tusenskille 3 11 2" xfId="200" xr:uid="{00000000-0005-0000-0000-000051020000}"/>
    <cellStyle name="Tusenskille 3 11 3" xfId="290" xr:uid="{00000000-0005-0000-0000-000052020000}"/>
    <cellStyle name="Tusenskille 3 11 4" xfId="380" xr:uid="{00000000-0005-0000-0000-000053020000}"/>
    <cellStyle name="Tusenskille 3 11 5" xfId="470" xr:uid="{00000000-0005-0000-0000-000054020000}"/>
    <cellStyle name="Tusenskille 3 11 6" xfId="560" xr:uid="{00000000-0005-0000-0000-000055020000}"/>
    <cellStyle name="Tusenskille 3 11 7" xfId="650" xr:uid="{00000000-0005-0000-0000-000056020000}"/>
    <cellStyle name="Tusenskille 3 11 8" xfId="740" xr:uid="{00000000-0005-0000-0000-000057020000}"/>
    <cellStyle name="Tusenskille 3 11 9" xfId="837" xr:uid="{00000000-0005-0000-0000-000058020000}"/>
    <cellStyle name="Tusenskille 3 12" xfId="111" xr:uid="{00000000-0005-0000-0000-000059020000}"/>
    <cellStyle name="Tusenskille 3 12 2" xfId="203" xr:uid="{00000000-0005-0000-0000-00005A020000}"/>
    <cellStyle name="Tusenskille 3 12 3" xfId="293" xr:uid="{00000000-0005-0000-0000-00005B020000}"/>
    <cellStyle name="Tusenskille 3 12 4" xfId="383" xr:uid="{00000000-0005-0000-0000-00005C020000}"/>
    <cellStyle name="Tusenskille 3 12 5" xfId="473" xr:uid="{00000000-0005-0000-0000-00005D020000}"/>
    <cellStyle name="Tusenskille 3 12 6" xfId="563" xr:uid="{00000000-0005-0000-0000-00005E020000}"/>
    <cellStyle name="Tusenskille 3 12 7" xfId="653" xr:uid="{00000000-0005-0000-0000-00005F020000}"/>
    <cellStyle name="Tusenskille 3 12 8" xfId="743" xr:uid="{00000000-0005-0000-0000-000060020000}"/>
    <cellStyle name="Tusenskille 3 12 9" xfId="840" xr:uid="{00000000-0005-0000-0000-000061020000}"/>
    <cellStyle name="Tusenskille 3 13" xfId="114" xr:uid="{00000000-0005-0000-0000-000062020000}"/>
    <cellStyle name="Tusenskille 3 13 2" xfId="206" xr:uid="{00000000-0005-0000-0000-000063020000}"/>
    <cellStyle name="Tusenskille 3 13 3" xfId="296" xr:uid="{00000000-0005-0000-0000-000064020000}"/>
    <cellStyle name="Tusenskille 3 13 4" xfId="386" xr:uid="{00000000-0005-0000-0000-000065020000}"/>
    <cellStyle name="Tusenskille 3 13 5" xfId="476" xr:uid="{00000000-0005-0000-0000-000066020000}"/>
    <cellStyle name="Tusenskille 3 13 6" xfId="566" xr:uid="{00000000-0005-0000-0000-000067020000}"/>
    <cellStyle name="Tusenskille 3 13 7" xfId="656" xr:uid="{00000000-0005-0000-0000-000068020000}"/>
    <cellStyle name="Tusenskille 3 13 8" xfId="746" xr:uid="{00000000-0005-0000-0000-000069020000}"/>
    <cellStyle name="Tusenskille 3 13 9" xfId="843" xr:uid="{00000000-0005-0000-0000-00006A020000}"/>
    <cellStyle name="Tusenskille 3 14" xfId="119" xr:uid="{00000000-0005-0000-0000-00006B020000}"/>
    <cellStyle name="Tusenskille 3 15" xfId="209" xr:uid="{00000000-0005-0000-0000-00006C020000}"/>
    <cellStyle name="Tusenskille 3 16" xfId="299" xr:uid="{00000000-0005-0000-0000-00006D020000}"/>
    <cellStyle name="Tusenskille 3 17" xfId="389" xr:uid="{00000000-0005-0000-0000-00006E020000}"/>
    <cellStyle name="Tusenskille 3 18" xfId="479" xr:uid="{00000000-0005-0000-0000-00006F020000}"/>
    <cellStyle name="Tusenskille 3 19" xfId="569" xr:uid="{00000000-0005-0000-0000-000070020000}"/>
    <cellStyle name="Tusenskille 3 2" xfId="24" xr:uid="{00000000-0005-0000-0000-000071020000}"/>
    <cellStyle name="Tusenskille 3 2 10" xfId="663" xr:uid="{00000000-0005-0000-0000-000072020000}"/>
    <cellStyle name="Tusenskille 3 2 11" xfId="758" xr:uid="{00000000-0005-0000-0000-000073020000}"/>
    <cellStyle name="Tusenskille 3 2 2" xfId="46" xr:uid="{00000000-0005-0000-0000-000074020000}"/>
    <cellStyle name="Tusenskille 3 2 2 10" xfId="778" xr:uid="{00000000-0005-0000-0000-000075020000}"/>
    <cellStyle name="Tusenskille 3 2 2 2" xfId="86" xr:uid="{00000000-0005-0000-0000-000076020000}"/>
    <cellStyle name="Tusenskille 3 2 2 2 2" xfId="179" xr:uid="{00000000-0005-0000-0000-000077020000}"/>
    <cellStyle name="Tusenskille 3 2 2 2 3" xfId="269" xr:uid="{00000000-0005-0000-0000-000078020000}"/>
    <cellStyle name="Tusenskille 3 2 2 2 4" xfId="359" xr:uid="{00000000-0005-0000-0000-000079020000}"/>
    <cellStyle name="Tusenskille 3 2 2 2 5" xfId="449" xr:uid="{00000000-0005-0000-0000-00007A020000}"/>
    <cellStyle name="Tusenskille 3 2 2 2 6" xfId="539" xr:uid="{00000000-0005-0000-0000-00007B020000}"/>
    <cellStyle name="Tusenskille 3 2 2 2 7" xfId="629" xr:uid="{00000000-0005-0000-0000-00007C020000}"/>
    <cellStyle name="Tusenskille 3 2 2 2 8" xfId="719" xr:uid="{00000000-0005-0000-0000-00007D020000}"/>
    <cellStyle name="Tusenskille 3 2 2 2 9" xfId="816" xr:uid="{00000000-0005-0000-0000-00007E020000}"/>
    <cellStyle name="Tusenskille 3 2 2 3" xfId="142" xr:uid="{00000000-0005-0000-0000-00007F020000}"/>
    <cellStyle name="Tusenskille 3 2 2 4" xfId="232" xr:uid="{00000000-0005-0000-0000-000080020000}"/>
    <cellStyle name="Tusenskille 3 2 2 5" xfId="322" xr:uid="{00000000-0005-0000-0000-000081020000}"/>
    <cellStyle name="Tusenskille 3 2 2 6" xfId="412" xr:uid="{00000000-0005-0000-0000-000082020000}"/>
    <cellStyle name="Tusenskille 3 2 2 7" xfId="502" xr:uid="{00000000-0005-0000-0000-000083020000}"/>
    <cellStyle name="Tusenskille 3 2 2 8" xfId="592" xr:uid="{00000000-0005-0000-0000-000084020000}"/>
    <cellStyle name="Tusenskille 3 2 2 9" xfId="682" xr:uid="{00000000-0005-0000-0000-000085020000}"/>
    <cellStyle name="Tusenskille 3 2 3" xfId="67" xr:uid="{00000000-0005-0000-0000-000086020000}"/>
    <cellStyle name="Tusenskille 3 2 3 2" xfId="160" xr:uid="{00000000-0005-0000-0000-000087020000}"/>
    <cellStyle name="Tusenskille 3 2 3 3" xfId="250" xr:uid="{00000000-0005-0000-0000-000088020000}"/>
    <cellStyle name="Tusenskille 3 2 3 4" xfId="340" xr:uid="{00000000-0005-0000-0000-000089020000}"/>
    <cellStyle name="Tusenskille 3 2 3 5" xfId="430" xr:uid="{00000000-0005-0000-0000-00008A020000}"/>
    <cellStyle name="Tusenskille 3 2 3 6" xfId="520" xr:uid="{00000000-0005-0000-0000-00008B020000}"/>
    <cellStyle name="Tusenskille 3 2 3 7" xfId="610" xr:uid="{00000000-0005-0000-0000-00008C020000}"/>
    <cellStyle name="Tusenskille 3 2 3 8" xfId="700" xr:uid="{00000000-0005-0000-0000-00008D020000}"/>
    <cellStyle name="Tusenskille 3 2 3 9" xfId="797" xr:uid="{00000000-0005-0000-0000-00008E020000}"/>
    <cellStyle name="Tusenskille 3 2 4" xfId="123" xr:uid="{00000000-0005-0000-0000-00008F020000}"/>
    <cellStyle name="Tusenskille 3 2 5" xfId="213" xr:uid="{00000000-0005-0000-0000-000090020000}"/>
    <cellStyle name="Tusenskille 3 2 6" xfId="303" xr:uid="{00000000-0005-0000-0000-000091020000}"/>
    <cellStyle name="Tusenskille 3 2 7" xfId="393" xr:uid="{00000000-0005-0000-0000-000092020000}"/>
    <cellStyle name="Tusenskille 3 2 8" xfId="483" xr:uid="{00000000-0005-0000-0000-000093020000}"/>
    <cellStyle name="Tusenskille 3 2 9" xfId="573" xr:uid="{00000000-0005-0000-0000-000094020000}"/>
    <cellStyle name="Tusenskille 3 20" xfId="659" xr:uid="{00000000-0005-0000-0000-000095020000}"/>
    <cellStyle name="Tusenskille 3 21" xfId="752" xr:uid="{00000000-0005-0000-0000-000096020000}"/>
    <cellStyle name="Tusenskille 3 3" xfId="27" xr:uid="{00000000-0005-0000-0000-000097020000}"/>
    <cellStyle name="Tusenskille 3 3 10" xfId="666" xr:uid="{00000000-0005-0000-0000-000098020000}"/>
    <cellStyle name="Tusenskille 3 3 11" xfId="761" xr:uid="{00000000-0005-0000-0000-000099020000}"/>
    <cellStyle name="Tusenskille 3 3 2" xfId="49" xr:uid="{00000000-0005-0000-0000-00009A020000}"/>
    <cellStyle name="Tusenskille 3 3 2 10" xfId="781" xr:uid="{00000000-0005-0000-0000-00009B020000}"/>
    <cellStyle name="Tusenskille 3 3 2 2" xfId="89" xr:uid="{00000000-0005-0000-0000-00009C020000}"/>
    <cellStyle name="Tusenskille 3 3 2 2 2" xfId="182" xr:uid="{00000000-0005-0000-0000-00009D020000}"/>
    <cellStyle name="Tusenskille 3 3 2 2 3" xfId="272" xr:uid="{00000000-0005-0000-0000-00009E020000}"/>
    <cellStyle name="Tusenskille 3 3 2 2 4" xfId="362" xr:uid="{00000000-0005-0000-0000-00009F020000}"/>
    <cellStyle name="Tusenskille 3 3 2 2 5" xfId="452" xr:uid="{00000000-0005-0000-0000-0000A0020000}"/>
    <cellStyle name="Tusenskille 3 3 2 2 6" xfId="542" xr:uid="{00000000-0005-0000-0000-0000A1020000}"/>
    <cellStyle name="Tusenskille 3 3 2 2 7" xfId="632" xr:uid="{00000000-0005-0000-0000-0000A2020000}"/>
    <cellStyle name="Tusenskille 3 3 2 2 8" xfId="722" xr:uid="{00000000-0005-0000-0000-0000A3020000}"/>
    <cellStyle name="Tusenskille 3 3 2 2 9" xfId="819" xr:uid="{00000000-0005-0000-0000-0000A4020000}"/>
    <cellStyle name="Tusenskille 3 3 2 3" xfId="145" xr:uid="{00000000-0005-0000-0000-0000A5020000}"/>
    <cellStyle name="Tusenskille 3 3 2 4" xfId="235" xr:uid="{00000000-0005-0000-0000-0000A6020000}"/>
    <cellStyle name="Tusenskille 3 3 2 5" xfId="325" xr:uid="{00000000-0005-0000-0000-0000A7020000}"/>
    <cellStyle name="Tusenskille 3 3 2 6" xfId="415" xr:uid="{00000000-0005-0000-0000-0000A8020000}"/>
    <cellStyle name="Tusenskille 3 3 2 7" xfId="505" xr:uid="{00000000-0005-0000-0000-0000A9020000}"/>
    <cellStyle name="Tusenskille 3 3 2 8" xfId="595" xr:uid="{00000000-0005-0000-0000-0000AA020000}"/>
    <cellStyle name="Tusenskille 3 3 2 9" xfId="685" xr:uid="{00000000-0005-0000-0000-0000AB020000}"/>
    <cellStyle name="Tusenskille 3 3 3" xfId="70" xr:uid="{00000000-0005-0000-0000-0000AC020000}"/>
    <cellStyle name="Tusenskille 3 3 3 2" xfId="163" xr:uid="{00000000-0005-0000-0000-0000AD020000}"/>
    <cellStyle name="Tusenskille 3 3 3 3" xfId="253" xr:uid="{00000000-0005-0000-0000-0000AE020000}"/>
    <cellStyle name="Tusenskille 3 3 3 4" xfId="343" xr:uid="{00000000-0005-0000-0000-0000AF020000}"/>
    <cellStyle name="Tusenskille 3 3 3 5" xfId="433" xr:uid="{00000000-0005-0000-0000-0000B0020000}"/>
    <cellStyle name="Tusenskille 3 3 3 6" xfId="523" xr:uid="{00000000-0005-0000-0000-0000B1020000}"/>
    <cellStyle name="Tusenskille 3 3 3 7" xfId="613" xr:uid="{00000000-0005-0000-0000-0000B2020000}"/>
    <cellStyle name="Tusenskille 3 3 3 8" xfId="703" xr:uid="{00000000-0005-0000-0000-0000B3020000}"/>
    <cellStyle name="Tusenskille 3 3 3 9" xfId="800" xr:uid="{00000000-0005-0000-0000-0000B4020000}"/>
    <cellStyle name="Tusenskille 3 3 4" xfId="126" xr:uid="{00000000-0005-0000-0000-0000B5020000}"/>
    <cellStyle name="Tusenskille 3 3 5" xfId="216" xr:uid="{00000000-0005-0000-0000-0000B6020000}"/>
    <cellStyle name="Tusenskille 3 3 6" xfId="306" xr:uid="{00000000-0005-0000-0000-0000B7020000}"/>
    <cellStyle name="Tusenskille 3 3 7" xfId="396" xr:uid="{00000000-0005-0000-0000-0000B8020000}"/>
    <cellStyle name="Tusenskille 3 3 8" xfId="486" xr:uid="{00000000-0005-0000-0000-0000B9020000}"/>
    <cellStyle name="Tusenskille 3 3 9" xfId="576" xr:uid="{00000000-0005-0000-0000-0000BA020000}"/>
    <cellStyle name="Tusenskille 3 4" xfId="30" xr:uid="{00000000-0005-0000-0000-0000BB020000}"/>
    <cellStyle name="Tusenskille 3 4 10" xfId="669" xr:uid="{00000000-0005-0000-0000-0000BC020000}"/>
    <cellStyle name="Tusenskille 3 4 11" xfId="764" xr:uid="{00000000-0005-0000-0000-0000BD020000}"/>
    <cellStyle name="Tusenskille 3 4 2" xfId="52" xr:uid="{00000000-0005-0000-0000-0000BE020000}"/>
    <cellStyle name="Tusenskille 3 4 2 10" xfId="784" xr:uid="{00000000-0005-0000-0000-0000BF020000}"/>
    <cellStyle name="Tusenskille 3 4 2 2" xfId="92" xr:uid="{00000000-0005-0000-0000-0000C0020000}"/>
    <cellStyle name="Tusenskille 3 4 2 2 2" xfId="185" xr:uid="{00000000-0005-0000-0000-0000C1020000}"/>
    <cellStyle name="Tusenskille 3 4 2 2 3" xfId="275" xr:uid="{00000000-0005-0000-0000-0000C2020000}"/>
    <cellStyle name="Tusenskille 3 4 2 2 4" xfId="365" xr:uid="{00000000-0005-0000-0000-0000C3020000}"/>
    <cellStyle name="Tusenskille 3 4 2 2 5" xfId="455" xr:uid="{00000000-0005-0000-0000-0000C4020000}"/>
    <cellStyle name="Tusenskille 3 4 2 2 6" xfId="545" xr:uid="{00000000-0005-0000-0000-0000C5020000}"/>
    <cellStyle name="Tusenskille 3 4 2 2 7" xfId="635" xr:uid="{00000000-0005-0000-0000-0000C6020000}"/>
    <cellStyle name="Tusenskille 3 4 2 2 8" xfId="725" xr:uid="{00000000-0005-0000-0000-0000C7020000}"/>
    <cellStyle name="Tusenskille 3 4 2 2 9" xfId="822" xr:uid="{00000000-0005-0000-0000-0000C8020000}"/>
    <cellStyle name="Tusenskille 3 4 2 3" xfId="148" xr:uid="{00000000-0005-0000-0000-0000C9020000}"/>
    <cellStyle name="Tusenskille 3 4 2 4" xfId="238" xr:uid="{00000000-0005-0000-0000-0000CA020000}"/>
    <cellStyle name="Tusenskille 3 4 2 5" xfId="328" xr:uid="{00000000-0005-0000-0000-0000CB020000}"/>
    <cellStyle name="Tusenskille 3 4 2 6" xfId="418" xr:uid="{00000000-0005-0000-0000-0000CC020000}"/>
    <cellStyle name="Tusenskille 3 4 2 7" xfId="508" xr:uid="{00000000-0005-0000-0000-0000CD020000}"/>
    <cellStyle name="Tusenskille 3 4 2 8" xfId="598" xr:uid="{00000000-0005-0000-0000-0000CE020000}"/>
    <cellStyle name="Tusenskille 3 4 2 9" xfId="688" xr:uid="{00000000-0005-0000-0000-0000CF020000}"/>
    <cellStyle name="Tusenskille 3 4 3" xfId="73" xr:uid="{00000000-0005-0000-0000-0000D0020000}"/>
    <cellStyle name="Tusenskille 3 4 3 2" xfId="166" xr:uid="{00000000-0005-0000-0000-0000D1020000}"/>
    <cellStyle name="Tusenskille 3 4 3 3" xfId="256" xr:uid="{00000000-0005-0000-0000-0000D2020000}"/>
    <cellStyle name="Tusenskille 3 4 3 4" xfId="346" xr:uid="{00000000-0005-0000-0000-0000D3020000}"/>
    <cellStyle name="Tusenskille 3 4 3 5" xfId="436" xr:uid="{00000000-0005-0000-0000-0000D4020000}"/>
    <cellStyle name="Tusenskille 3 4 3 6" xfId="526" xr:uid="{00000000-0005-0000-0000-0000D5020000}"/>
    <cellStyle name="Tusenskille 3 4 3 7" xfId="616" xr:uid="{00000000-0005-0000-0000-0000D6020000}"/>
    <cellStyle name="Tusenskille 3 4 3 8" xfId="706" xr:uid="{00000000-0005-0000-0000-0000D7020000}"/>
    <cellStyle name="Tusenskille 3 4 3 9" xfId="803" xr:uid="{00000000-0005-0000-0000-0000D8020000}"/>
    <cellStyle name="Tusenskille 3 4 4" xfId="129" xr:uid="{00000000-0005-0000-0000-0000D9020000}"/>
    <cellStyle name="Tusenskille 3 4 5" xfId="219" xr:uid="{00000000-0005-0000-0000-0000DA020000}"/>
    <cellStyle name="Tusenskille 3 4 6" xfId="309" xr:uid="{00000000-0005-0000-0000-0000DB020000}"/>
    <cellStyle name="Tusenskille 3 4 7" xfId="399" xr:uid="{00000000-0005-0000-0000-0000DC020000}"/>
    <cellStyle name="Tusenskille 3 4 8" xfId="489" xr:uid="{00000000-0005-0000-0000-0000DD020000}"/>
    <cellStyle name="Tusenskille 3 4 9" xfId="579" xr:uid="{00000000-0005-0000-0000-0000DE020000}"/>
    <cellStyle name="Tusenskille 3 5" xfId="34" xr:uid="{00000000-0005-0000-0000-0000DF020000}"/>
    <cellStyle name="Tusenskille 3 5 10" xfId="672" xr:uid="{00000000-0005-0000-0000-0000E0020000}"/>
    <cellStyle name="Tusenskille 3 5 11" xfId="767" xr:uid="{00000000-0005-0000-0000-0000E1020000}"/>
    <cellStyle name="Tusenskille 3 5 2" xfId="56" xr:uid="{00000000-0005-0000-0000-0000E2020000}"/>
    <cellStyle name="Tusenskille 3 5 2 10" xfId="787" xr:uid="{00000000-0005-0000-0000-0000E3020000}"/>
    <cellStyle name="Tusenskille 3 5 2 2" xfId="96" xr:uid="{00000000-0005-0000-0000-0000E4020000}"/>
    <cellStyle name="Tusenskille 3 5 2 2 2" xfId="188" xr:uid="{00000000-0005-0000-0000-0000E5020000}"/>
    <cellStyle name="Tusenskille 3 5 2 2 3" xfId="278" xr:uid="{00000000-0005-0000-0000-0000E6020000}"/>
    <cellStyle name="Tusenskille 3 5 2 2 4" xfId="368" xr:uid="{00000000-0005-0000-0000-0000E7020000}"/>
    <cellStyle name="Tusenskille 3 5 2 2 5" xfId="458" xr:uid="{00000000-0005-0000-0000-0000E8020000}"/>
    <cellStyle name="Tusenskille 3 5 2 2 6" xfId="548" xr:uid="{00000000-0005-0000-0000-0000E9020000}"/>
    <cellStyle name="Tusenskille 3 5 2 2 7" xfId="638" xr:uid="{00000000-0005-0000-0000-0000EA020000}"/>
    <cellStyle name="Tusenskille 3 5 2 2 8" xfId="728" xr:uid="{00000000-0005-0000-0000-0000EB020000}"/>
    <cellStyle name="Tusenskille 3 5 2 2 9" xfId="825" xr:uid="{00000000-0005-0000-0000-0000EC020000}"/>
    <cellStyle name="Tusenskille 3 5 2 3" xfId="151" xr:uid="{00000000-0005-0000-0000-0000ED020000}"/>
    <cellStyle name="Tusenskille 3 5 2 4" xfId="241" xr:uid="{00000000-0005-0000-0000-0000EE020000}"/>
    <cellStyle name="Tusenskille 3 5 2 5" xfId="331" xr:uid="{00000000-0005-0000-0000-0000EF020000}"/>
    <cellStyle name="Tusenskille 3 5 2 6" xfId="421" xr:uid="{00000000-0005-0000-0000-0000F0020000}"/>
    <cellStyle name="Tusenskille 3 5 2 7" xfId="511" xr:uid="{00000000-0005-0000-0000-0000F1020000}"/>
    <cellStyle name="Tusenskille 3 5 2 8" xfId="601" xr:uid="{00000000-0005-0000-0000-0000F2020000}"/>
    <cellStyle name="Tusenskille 3 5 2 9" xfId="691" xr:uid="{00000000-0005-0000-0000-0000F3020000}"/>
    <cellStyle name="Tusenskille 3 5 3" xfId="76" xr:uid="{00000000-0005-0000-0000-0000F4020000}"/>
    <cellStyle name="Tusenskille 3 5 3 2" xfId="169" xr:uid="{00000000-0005-0000-0000-0000F5020000}"/>
    <cellStyle name="Tusenskille 3 5 3 3" xfId="259" xr:uid="{00000000-0005-0000-0000-0000F6020000}"/>
    <cellStyle name="Tusenskille 3 5 3 4" xfId="349" xr:uid="{00000000-0005-0000-0000-0000F7020000}"/>
    <cellStyle name="Tusenskille 3 5 3 5" xfId="439" xr:uid="{00000000-0005-0000-0000-0000F8020000}"/>
    <cellStyle name="Tusenskille 3 5 3 6" xfId="529" xr:uid="{00000000-0005-0000-0000-0000F9020000}"/>
    <cellStyle name="Tusenskille 3 5 3 7" xfId="619" xr:uid="{00000000-0005-0000-0000-0000FA020000}"/>
    <cellStyle name="Tusenskille 3 5 3 8" xfId="709" xr:uid="{00000000-0005-0000-0000-0000FB020000}"/>
    <cellStyle name="Tusenskille 3 5 3 9" xfId="806" xr:uid="{00000000-0005-0000-0000-0000FC020000}"/>
    <cellStyle name="Tusenskille 3 5 4" xfId="132" xr:uid="{00000000-0005-0000-0000-0000FD020000}"/>
    <cellStyle name="Tusenskille 3 5 5" xfId="222" xr:uid="{00000000-0005-0000-0000-0000FE020000}"/>
    <cellStyle name="Tusenskille 3 5 6" xfId="312" xr:uid="{00000000-0005-0000-0000-0000FF020000}"/>
    <cellStyle name="Tusenskille 3 5 7" xfId="402" xr:uid="{00000000-0005-0000-0000-000000030000}"/>
    <cellStyle name="Tusenskille 3 5 8" xfId="492" xr:uid="{00000000-0005-0000-0000-000001030000}"/>
    <cellStyle name="Tusenskille 3 5 9" xfId="582" xr:uid="{00000000-0005-0000-0000-000002030000}"/>
    <cellStyle name="Tusenskille 3 6" xfId="37" xr:uid="{00000000-0005-0000-0000-000003030000}"/>
    <cellStyle name="Tusenskille 3 6 10" xfId="675" xr:uid="{00000000-0005-0000-0000-000004030000}"/>
    <cellStyle name="Tusenskille 3 6 11" xfId="770" xr:uid="{00000000-0005-0000-0000-000005030000}"/>
    <cellStyle name="Tusenskille 3 6 2" xfId="59" xr:uid="{00000000-0005-0000-0000-000006030000}"/>
    <cellStyle name="Tusenskille 3 6 2 10" xfId="790" xr:uid="{00000000-0005-0000-0000-000007030000}"/>
    <cellStyle name="Tusenskille 3 6 2 2" xfId="99" xr:uid="{00000000-0005-0000-0000-000008030000}"/>
    <cellStyle name="Tusenskille 3 6 2 2 2" xfId="191" xr:uid="{00000000-0005-0000-0000-000009030000}"/>
    <cellStyle name="Tusenskille 3 6 2 2 3" xfId="281" xr:uid="{00000000-0005-0000-0000-00000A030000}"/>
    <cellStyle name="Tusenskille 3 6 2 2 4" xfId="371" xr:uid="{00000000-0005-0000-0000-00000B030000}"/>
    <cellStyle name="Tusenskille 3 6 2 2 5" xfId="461" xr:uid="{00000000-0005-0000-0000-00000C030000}"/>
    <cellStyle name="Tusenskille 3 6 2 2 6" xfId="551" xr:uid="{00000000-0005-0000-0000-00000D030000}"/>
    <cellStyle name="Tusenskille 3 6 2 2 7" xfId="641" xr:uid="{00000000-0005-0000-0000-00000E030000}"/>
    <cellStyle name="Tusenskille 3 6 2 2 8" xfId="731" xr:uid="{00000000-0005-0000-0000-00000F030000}"/>
    <cellStyle name="Tusenskille 3 6 2 2 9" xfId="828" xr:uid="{00000000-0005-0000-0000-000010030000}"/>
    <cellStyle name="Tusenskille 3 6 2 3" xfId="154" xr:uid="{00000000-0005-0000-0000-000011030000}"/>
    <cellStyle name="Tusenskille 3 6 2 4" xfId="244" xr:uid="{00000000-0005-0000-0000-000012030000}"/>
    <cellStyle name="Tusenskille 3 6 2 5" xfId="334" xr:uid="{00000000-0005-0000-0000-000013030000}"/>
    <cellStyle name="Tusenskille 3 6 2 6" xfId="424" xr:uid="{00000000-0005-0000-0000-000014030000}"/>
    <cellStyle name="Tusenskille 3 6 2 7" xfId="514" xr:uid="{00000000-0005-0000-0000-000015030000}"/>
    <cellStyle name="Tusenskille 3 6 2 8" xfId="604" xr:uid="{00000000-0005-0000-0000-000016030000}"/>
    <cellStyle name="Tusenskille 3 6 2 9" xfId="694" xr:uid="{00000000-0005-0000-0000-000017030000}"/>
    <cellStyle name="Tusenskille 3 6 3" xfId="79" xr:uid="{00000000-0005-0000-0000-000018030000}"/>
    <cellStyle name="Tusenskille 3 6 3 2" xfId="172" xr:uid="{00000000-0005-0000-0000-000019030000}"/>
    <cellStyle name="Tusenskille 3 6 3 3" xfId="262" xr:uid="{00000000-0005-0000-0000-00001A030000}"/>
    <cellStyle name="Tusenskille 3 6 3 4" xfId="352" xr:uid="{00000000-0005-0000-0000-00001B030000}"/>
    <cellStyle name="Tusenskille 3 6 3 5" xfId="442" xr:uid="{00000000-0005-0000-0000-00001C030000}"/>
    <cellStyle name="Tusenskille 3 6 3 6" xfId="532" xr:uid="{00000000-0005-0000-0000-00001D030000}"/>
    <cellStyle name="Tusenskille 3 6 3 7" xfId="622" xr:uid="{00000000-0005-0000-0000-00001E030000}"/>
    <cellStyle name="Tusenskille 3 6 3 8" xfId="712" xr:uid="{00000000-0005-0000-0000-00001F030000}"/>
    <cellStyle name="Tusenskille 3 6 3 9" xfId="809" xr:uid="{00000000-0005-0000-0000-000020030000}"/>
    <cellStyle name="Tusenskille 3 6 4" xfId="135" xr:uid="{00000000-0005-0000-0000-000021030000}"/>
    <cellStyle name="Tusenskille 3 6 5" xfId="225" xr:uid="{00000000-0005-0000-0000-000022030000}"/>
    <cellStyle name="Tusenskille 3 6 6" xfId="315" xr:uid="{00000000-0005-0000-0000-000023030000}"/>
    <cellStyle name="Tusenskille 3 6 7" xfId="405" xr:uid="{00000000-0005-0000-0000-000024030000}"/>
    <cellStyle name="Tusenskille 3 6 8" xfId="495" xr:uid="{00000000-0005-0000-0000-000025030000}"/>
    <cellStyle name="Tusenskille 3 6 9" xfId="585" xr:uid="{00000000-0005-0000-0000-000026030000}"/>
    <cellStyle name="Tusenskille 3 7" xfId="43" xr:uid="{00000000-0005-0000-0000-000027030000}"/>
    <cellStyle name="Tusenskille 3 7 10" xfId="775" xr:uid="{00000000-0005-0000-0000-000028030000}"/>
    <cellStyle name="Tusenskille 3 7 2" xfId="83" xr:uid="{00000000-0005-0000-0000-000029030000}"/>
    <cellStyle name="Tusenskille 3 7 2 2" xfId="176" xr:uid="{00000000-0005-0000-0000-00002A030000}"/>
    <cellStyle name="Tusenskille 3 7 2 3" xfId="266" xr:uid="{00000000-0005-0000-0000-00002B030000}"/>
    <cellStyle name="Tusenskille 3 7 2 4" xfId="356" xr:uid="{00000000-0005-0000-0000-00002C030000}"/>
    <cellStyle name="Tusenskille 3 7 2 5" xfId="446" xr:uid="{00000000-0005-0000-0000-00002D030000}"/>
    <cellStyle name="Tusenskille 3 7 2 6" xfId="536" xr:uid="{00000000-0005-0000-0000-00002E030000}"/>
    <cellStyle name="Tusenskille 3 7 2 7" xfId="626" xr:uid="{00000000-0005-0000-0000-00002F030000}"/>
    <cellStyle name="Tusenskille 3 7 2 8" xfId="716" xr:uid="{00000000-0005-0000-0000-000030030000}"/>
    <cellStyle name="Tusenskille 3 7 2 9" xfId="813" xr:uid="{00000000-0005-0000-0000-000031030000}"/>
    <cellStyle name="Tusenskille 3 7 3" xfId="139" xr:uid="{00000000-0005-0000-0000-000032030000}"/>
    <cellStyle name="Tusenskille 3 7 4" xfId="229" xr:uid="{00000000-0005-0000-0000-000033030000}"/>
    <cellStyle name="Tusenskille 3 7 5" xfId="319" xr:uid="{00000000-0005-0000-0000-000034030000}"/>
    <cellStyle name="Tusenskille 3 7 6" xfId="409" xr:uid="{00000000-0005-0000-0000-000035030000}"/>
    <cellStyle name="Tusenskille 3 7 7" xfId="499" xr:uid="{00000000-0005-0000-0000-000036030000}"/>
    <cellStyle name="Tusenskille 3 7 8" xfId="589" xr:uid="{00000000-0005-0000-0000-000037030000}"/>
    <cellStyle name="Tusenskille 3 7 9" xfId="679" xr:uid="{00000000-0005-0000-0000-000038030000}"/>
    <cellStyle name="Tusenskille 3 8" xfId="64" xr:uid="{00000000-0005-0000-0000-000039030000}"/>
    <cellStyle name="Tusenskille 3 8 2" xfId="157" xr:uid="{00000000-0005-0000-0000-00003A030000}"/>
    <cellStyle name="Tusenskille 3 8 3" xfId="247" xr:uid="{00000000-0005-0000-0000-00003B030000}"/>
    <cellStyle name="Tusenskille 3 8 4" xfId="337" xr:uid="{00000000-0005-0000-0000-00003C030000}"/>
    <cellStyle name="Tusenskille 3 8 5" xfId="427" xr:uid="{00000000-0005-0000-0000-00003D030000}"/>
    <cellStyle name="Tusenskille 3 8 6" xfId="517" xr:uid="{00000000-0005-0000-0000-00003E030000}"/>
    <cellStyle name="Tusenskille 3 8 7" xfId="607" xr:uid="{00000000-0005-0000-0000-00003F030000}"/>
    <cellStyle name="Tusenskille 3 8 8" xfId="697" xr:uid="{00000000-0005-0000-0000-000040030000}"/>
    <cellStyle name="Tusenskille 3 8 9" xfId="794" xr:uid="{00000000-0005-0000-0000-000041030000}"/>
    <cellStyle name="Tusenskille 3 9" xfId="102" xr:uid="{00000000-0005-0000-0000-000042030000}"/>
    <cellStyle name="Tusenskille 3 9 2" xfId="194" xr:uid="{00000000-0005-0000-0000-000043030000}"/>
    <cellStyle name="Tusenskille 3 9 3" xfId="284" xr:uid="{00000000-0005-0000-0000-000044030000}"/>
    <cellStyle name="Tusenskille 3 9 4" xfId="374" xr:uid="{00000000-0005-0000-0000-000045030000}"/>
    <cellStyle name="Tusenskille 3 9 5" xfId="464" xr:uid="{00000000-0005-0000-0000-000046030000}"/>
    <cellStyle name="Tusenskille 3 9 6" xfId="554" xr:uid="{00000000-0005-0000-0000-000047030000}"/>
    <cellStyle name="Tusenskille 3 9 7" xfId="644" xr:uid="{00000000-0005-0000-0000-000048030000}"/>
    <cellStyle name="Tusenskille 3 9 8" xfId="734" xr:uid="{00000000-0005-0000-0000-000049030000}"/>
    <cellStyle name="Tusenskille 3 9 9" xfId="831" xr:uid="{00000000-0005-0000-0000-00004A030000}"/>
    <cellStyle name="Tusenskille 4" xfId="17" xr:uid="{00000000-0005-0000-0000-00004B030000}"/>
    <cellStyle name="Tusenskille 4 2" xfId="753" xr:uid="{00000000-0005-0000-0000-00004C030000}"/>
    <cellStyle name="Tusenskille 5" xfId="13" xr:uid="{00000000-0005-0000-0000-00004D030000}"/>
    <cellStyle name="Tusenskille 5 2" xfId="749" xr:uid="{00000000-0005-0000-0000-00004E030000}"/>
    <cellStyle name="Tusenskille 6" xfId="115" xr:uid="{00000000-0005-0000-0000-00004F030000}"/>
    <cellStyle name="TusenskilleFjernNull" xfId="846" xr:uid="{00000000-0005-0000-0000-000050030000}"/>
  </cellStyles>
  <dxfs count="147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1.xml"/><Relationship Id="rId50"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onnections" Target="connections.xml"/><Relationship Id="rId48"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customXml" Target="../customXml/item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Figurer!$M$8</c:f>
              <c:strCache>
                <c:ptCount val="1"/>
                <c:pt idx="0">
                  <c:v>2018</c:v>
                </c:pt>
              </c:strCache>
            </c:strRef>
          </c:tx>
          <c:invertIfNegative val="0"/>
          <c:cat>
            <c:strRef>
              <c:f>Figurer!$L$10:$L$30</c:f>
              <c:strCache>
                <c:ptCount val="21"/>
                <c:pt idx="0">
                  <c:v>Danica Pensjon</c:v>
                </c:pt>
                <c:pt idx="1">
                  <c:v>DNB Liv</c:v>
                </c:pt>
                <c:pt idx="2">
                  <c:v>Eika Forsikring</c:v>
                </c:pt>
                <c:pt idx="3">
                  <c:v>Frende Livsfors</c:v>
                </c:pt>
                <c:pt idx="4">
                  <c:v>Frende Skade</c:v>
                </c:pt>
                <c:pt idx="5">
                  <c:v>Gjensidige Fors</c:v>
                </c:pt>
                <c:pt idx="6">
                  <c:v>Gjensidige Pensj</c:v>
                </c:pt>
                <c:pt idx="7">
                  <c:v>Handelsb Liv</c:v>
                </c:pt>
                <c:pt idx="8">
                  <c:v>If Skadefors</c:v>
                </c:pt>
                <c:pt idx="9">
                  <c:v>KLP</c:v>
                </c:pt>
                <c:pt idx="10">
                  <c:v>KLP Bedriftsp</c:v>
                </c:pt>
                <c:pt idx="11">
                  <c:v>KLP Skadef</c:v>
                </c:pt>
                <c:pt idx="12">
                  <c:v>Landbruksfors.</c:v>
                </c:pt>
                <c:pt idx="13">
                  <c:v>NEMI</c:v>
                </c:pt>
                <c:pt idx="14">
                  <c:v>Nordea Liv</c:v>
                </c:pt>
                <c:pt idx="15">
                  <c:v>OPF</c:v>
                </c:pt>
                <c:pt idx="16">
                  <c:v>Protector Fors</c:v>
                </c:pt>
                <c:pt idx="17">
                  <c:v>SpareBank 1</c:v>
                </c:pt>
                <c:pt idx="18">
                  <c:v>Storebrand </c:v>
                </c:pt>
                <c:pt idx="19">
                  <c:v>Telenor Fors</c:v>
                </c:pt>
                <c:pt idx="20">
                  <c:v>Tryg Fors</c:v>
                </c:pt>
              </c:strCache>
            </c:strRef>
          </c:cat>
          <c:val>
            <c:numRef>
              <c:f>Figurer!$M$10:$M$30</c:f>
              <c:numCache>
                <c:formatCode>#,##0</c:formatCode>
                <c:ptCount val="21"/>
                <c:pt idx="0">
                  <c:v>415883.79300000001</c:v>
                </c:pt>
                <c:pt idx="1">
                  <c:v>4564526.0001369994</c:v>
                </c:pt>
                <c:pt idx="2">
                  <c:v>293648</c:v>
                </c:pt>
                <c:pt idx="3">
                  <c:v>461568</c:v>
                </c:pt>
                <c:pt idx="4">
                  <c:v>7955</c:v>
                </c:pt>
                <c:pt idx="5">
                  <c:v>1560358</c:v>
                </c:pt>
                <c:pt idx="6">
                  <c:v>591422</c:v>
                </c:pt>
                <c:pt idx="7">
                  <c:v>35563</c:v>
                </c:pt>
                <c:pt idx="8">
                  <c:v>447566</c:v>
                </c:pt>
                <c:pt idx="9">
                  <c:v>38575507.412819996</c:v>
                </c:pt>
                <c:pt idx="10">
                  <c:v>89195</c:v>
                </c:pt>
                <c:pt idx="11">
                  <c:v>134230.552</c:v>
                </c:pt>
                <c:pt idx="12">
                  <c:v>75514</c:v>
                </c:pt>
                <c:pt idx="13">
                  <c:v>1788</c:v>
                </c:pt>
                <c:pt idx="14">
                  <c:v>1546969.242586259</c:v>
                </c:pt>
                <c:pt idx="15">
                  <c:v>4832000</c:v>
                </c:pt>
                <c:pt idx="16">
                  <c:v>322909.72977305338</c:v>
                </c:pt>
                <c:pt idx="17">
                  <c:v>2769109.2606799998</c:v>
                </c:pt>
                <c:pt idx="18">
                  <c:v>5505079.2280000001</c:v>
                </c:pt>
                <c:pt idx="19">
                  <c:v>22616</c:v>
                </c:pt>
                <c:pt idx="20">
                  <c:v>525057.89627999999</c:v>
                </c:pt>
              </c:numCache>
            </c:numRef>
          </c:val>
          <c:extLst>
            <c:ext xmlns:c16="http://schemas.microsoft.com/office/drawing/2014/chart" uri="{C3380CC4-5D6E-409C-BE32-E72D297353CC}">
              <c16:uniqueId val="{00000002-93AE-4CD9-98AD-A52686D1F9FB}"/>
            </c:ext>
          </c:extLst>
        </c:ser>
        <c:ser>
          <c:idx val="1"/>
          <c:order val="1"/>
          <c:tx>
            <c:strRef>
              <c:f>Figurer!$N$8</c:f>
              <c:strCache>
                <c:ptCount val="1"/>
                <c:pt idx="0">
                  <c:v>2019</c:v>
                </c:pt>
              </c:strCache>
            </c:strRef>
          </c:tx>
          <c:invertIfNegative val="0"/>
          <c:cat>
            <c:strRef>
              <c:f>Figurer!$L$10:$L$30</c:f>
              <c:strCache>
                <c:ptCount val="21"/>
                <c:pt idx="0">
                  <c:v>Danica Pensjon</c:v>
                </c:pt>
                <c:pt idx="1">
                  <c:v>DNB Liv</c:v>
                </c:pt>
                <c:pt idx="2">
                  <c:v>Eika Forsikring</c:v>
                </c:pt>
                <c:pt idx="3">
                  <c:v>Frende Livsfors</c:v>
                </c:pt>
                <c:pt idx="4">
                  <c:v>Frende Skade</c:v>
                </c:pt>
                <c:pt idx="5">
                  <c:v>Gjensidige Fors</c:v>
                </c:pt>
                <c:pt idx="6">
                  <c:v>Gjensidige Pensj</c:v>
                </c:pt>
                <c:pt idx="7">
                  <c:v>Handelsb Liv</c:v>
                </c:pt>
                <c:pt idx="8">
                  <c:v>If Skadefors</c:v>
                </c:pt>
                <c:pt idx="9">
                  <c:v>KLP</c:v>
                </c:pt>
                <c:pt idx="10">
                  <c:v>KLP Bedriftsp</c:v>
                </c:pt>
                <c:pt idx="11">
                  <c:v>KLP Skadef</c:v>
                </c:pt>
                <c:pt idx="12">
                  <c:v>Landbruksfors.</c:v>
                </c:pt>
                <c:pt idx="13">
                  <c:v>NEMI</c:v>
                </c:pt>
                <c:pt idx="14">
                  <c:v>Nordea Liv</c:v>
                </c:pt>
                <c:pt idx="15">
                  <c:v>OPF</c:v>
                </c:pt>
                <c:pt idx="16">
                  <c:v>Protector Fors</c:v>
                </c:pt>
                <c:pt idx="17">
                  <c:v>SpareBank 1</c:v>
                </c:pt>
                <c:pt idx="18">
                  <c:v>Storebrand </c:v>
                </c:pt>
                <c:pt idx="19">
                  <c:v>Telenor Fors</c:v>
                </c:pt>
                <c:pt idx="20">
                  <c:v>Tryg Fors</c:v>
                </c:pt>
              </c:strCache>
            </c:strRef>
          </c:cat>
          <c:val>
            <c:numRef>
              <c:f>Figurer!$N$10:$N$30</c:f>
              <c:numCache>
                <c:formatCode>#,##0</c:formatCode>
                <c:ptCount val="21"/>
                <c:pt idx="0">
                  <c:v>421442.94600000005</c:v>
                </c:pt>
                <c:pt idx="1">
                  <c:v>4578461</c:v>
                </c:pt>
                <c:pt idx="2">
                  <c:v>323640</c:v>
                </c:pt>
                <c:pt idx="3">
                  <c:v>490047</c:v>
                </c:pt>
                <c:pt idx="4">
                  <c:v>8197</c:v>
                </c:pt>
                <c:pt idx="5">
                  <c:v>1559670</c:v>
                </c:pt>
                <c:pt idx="6">
                  <c:v>648034</c:v>
                </c:pt>
                <c:pt idx="7">
                  <c:v>35020.773110000002</c:v>
                </c:pt>
                <c:pt idx="8">
                  <c:v>472830.55865999998</c:v>
                </c:pt>
                <c:pt idx="9">
                  <c:v>40071235.120510004</c:v>
                </c:pt>
                <c:pt idx="10">
                  <c:v>96824</c:v>
                </c:pt>
                <c:pt idx="11">
                  <c:v>175357</c:v>
                </c:pt>
                <c:pt idx="12">
                  <c:v>83630</c:v>
                </c:pt>
                <c:pt idx="13">
                  <c:v>17501.08816890161</c:v>
                </c:pt>
                <c:pt idx="14">
                  <c:v>1547946.082636805</c:v>
                </c:pt>
                <c:pt idx="15">
                  <c:v>5181000</c:v>
                </c:pt>
                <c:pt idx="16">
                  <c:v>312787.17492590938</c:v>
                </c:pt>
                <c:pt idx="17">
                  <c:v>2988164.1674600001</c:v>
                </c:pt>
                <c:pt idx="18">
                  <c:v>5485806.5</c:v>
                </c:pt>
                <c:pt idx="19">
                  <c:v>1989</c:v>
                </c:pt>
                <c:pt idx="20">
                  <c:v>601419.67099999997</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Figurer!$M$36</c:f>
              <c:strCache>
                <c:ptCount val="1"/>
                <c:pt idx="0">
                  <c:v>2018</c:v>
                </c:pt>
              </c:strCache>
            </c:strRef>
          </c:tx>
          <c:invertIfNegative val="0"/>
          <c:cat>
            <c:strRef>
              <c:f>Figurer!$L$37:$L$46</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Figurer!$M$37:$M$46</c:f>
              <c:numCache>
                <c:formatCode>#,##0</c:formatCode>
                <c:ptCount val="10"/>
                <c:pt idx="0">
                  <c:v>1858117.182</c:v>
                </c:pt>
                <c:pt idx="1">
                  <c:v>8751380.8939999994</c:v>
                </c:pt>
                <c:pt idx="2">
                  <c:v>383502.5</c:v>
                </c:pt>
                <c:pt idx="3">
                  <c:v>2849928</c:v>
                </c:pt>
                <c:pt idx="4">
                  <c:v>148957.79199999999</c:v>
                </c:pt>
                <c:pt idx="5">
                  <c:v>432767</c:v>
                </c:pt>
                <c:pt idx="6">
                  <c:v>8182157.7377977194</c:v>
                </c:pt>
                <c:pt idx="7">
                  <c:v>153887</c:v>
                </c:pt>
                <c:pt idx="8">
                  <c:v>3902966.4111699997</c:v>
                </c:pt>
                <c:pt idx="9">
                  <c:v>10907068.207210001</c:v>
                </c:pt>
              </c:numCache>
            </c:numRef>
          </c:val>
          <c:extLst>
            <c:ext xmlns:c16="http://schemas.microsoft.com/office/drawing/2014/chart" uri="{C3380CC4-5D6E-409C-BE32-E72D297353CC}">
              <c16:uniqueId val="{00000000-3971-4F9A-B5A3-CF52C774B823}"/>
            </c:ext>
          </c:extLst>
        </c:ser>
        <c:ser>
          <c:idx val="1"/>
          <c:order val="1"/>
          <c:tx>
            <c:strRef>
              <c:f>Figurer!$N$36</c:f>
              <c:strCache>
                <c:ptCount val="1"/>
                <c:pt idx="0">
                  <c:v>2019</c:v>
                </c:pt>
              </c:strCache>
            </c:strRef>
          </c:tx>
          <c:invertIfNegative val="0"/>
          <c:cat>
            <c:strRef>
              <c:f>Figurer!$L$37:$L$46</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Figurer!$N$37:$N$46</c:f>
              <c:numCache>
                <c:formatCode>#,##0</c:formatCode>
                <c:ptCount val="10"/>
                <c:pt idx="0">
                  <c:v>1996554.923</c:v>
                </c:pt>
                <c:pt idx="1">
                  <c:v>9947581.5</c:v>
                </c:pt>
                <c:pt idx="2">
                  <c:v>423019</c:v>
                </c:pt>
                <c:pt idx="3">
                  <c:v>3290851</c:v>
                </c:pt>
                <c:pt idx="4">
                  <c:v>152808.77100000001</c:v>
                </c:pt>
                <c:pt idx="5">
                  <c:v>542528</c:v>
                </c:pt>
                <c:pt idx="6">
                  <c:v>12142064.528580001</c:v>
                </c:pt>
                <c:pt idx="7">
                  <c:v>145834.70800000001</c:v>
                </c:pt>
                <c:pt idx="8">
                  <c:v>4457595.7985100001</c:v>
                </c:pt>
                <c:pt idx="9">
                  <c:v>11112376.757999998</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Figurer!$M$59</c:f>
              <c:strCache>
                <c:ptCount val="1"/>
                <c:pt idx="0">
                  <c:v>2018</c:v>
                </c:pt>
              </c:strCache>
            </c:strRef>
          </c:tx>
          <c:invertIfNegative val="0"/>
          <c:cat>
            <c:strRef>
              <c:f>Figurer!$L$60:$L$74</c:f>
              <c:strCache>
                <c:ptCount val="15"/>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KLP Skadef</c:v>
                </c:pt>
                <c:pt idx="11">
                  <c:v>Nordea Liv</c:v>
                </c:pt>
                <c:pt idx="12">
                  <c:v>OPF</c:v>
                </c:pt>
                <c:pt idx="13">
                  <c:v>SpareBank 1</c:v>
                </c:pt>
                <c:pt idx="14">
                  <c:v>Storebrand </c:v>
                </c:pt>
              </c:strCache>
            </c:strRef>
          </c:cat>
          <c:val>
            <c:numRef>
              <c:f>Figurer!$M$60:$M$74</c:f>
              <c:numCache>
                <c:formatCode>#,##0</c:formatCode>
                <c:ptCount val="15"/>
                <c:pt idx="0">
                  <c:v>1144794.7290000001</c:v>
                </c:pt>
                <c:pt idx="1">
                  <c:v>200300987.28</c:v>
                </c:pt>
                <c:pt idx="2">
                  <c:v>459894</c:v>
                </c:pt>
                <c:pt idx="3">
                  <c:v>771394</c:v>
                </c:pt>
                <c:pt idx="4">
                  <c:v>0</c:v>
                </c:pt>
                <c:pt idx="5">
                  <c:v>6586379</c:v>
                </c:pt>
                <c:pt idx="6">
                  <c:v>23055</c:v>
                </c:pt>
                <c:pt idx="7">
                  <c:v>453992</c:v>
                </c:pt>
                <c:pt idx="8">
                  <c:v>471726467.24905998</c:v>
                </c:pt>
                <c:pt idx="9">
                  <c:v>1675894</c:v>
                </c:pt>
                <c:pt idx="10">
                  <c:v>22247</c:v>
                </c:pt>
                <c:pt idx="11">
                  <c:v>50050246.091799468</c:v>
                </c:pt>
                <c:pt idx="12">
                  <c:v>74694000</c:v>
                </c:pt>
                <c:pt idx="13">
                  <c:v>19767915.11112</c:v>
                </c:pt>
                <c:pt idx="14">
                  <c:v>180788161.222</c:v>
                </c:pt>
              </c:numCache>
            </c:numRef>
          </c:val>
          <c:extLst>
            <c:ext xmlns:c16="http://schemas.microsoft.com/office/drawing/2014/chart" uri="{C3380CC4-5D6E-409C-BE32-E72D297353CC}">
              <c16:uniqueId val="{00000000-F5D7-4882-A9B6-45C2F0317A05}"/>
            </c:ext>
          </c:extLst>
        </c:ser>
        <c:ser>
          <c:idx val="1"/>
          <c:order val="1"/>
          <c:tx>
            <c:strRef>
              <c:f>Figurer!$N$59</c:f>
              <c:strCache>
                <c:ptCount val="1"/>
                <c:pt idx="0">
                  <c:v>2019</c:v>
                </c:pt>
              </c:strCache>
            </c:strRef>
          </c:tx>
          <c:invertIfNegative val="0"/>
          <c:cat>
            <c:strRef>
              <c:f>Figurer!$L$60:$L$74</c:f>
              <c:strCache>
                <c:ptCount val="15"/>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KLP Skadef</c:v>
                </c:pt>
                <c:pt idx="11">
                  <c:v>Nordea Liv</c:v>
                </c:pt>
                <c:pt idx="12">
                  <c:v>OPF</c:v>
                </c:pt>
                <c:pt idx="13">
                  <c:v>SpareBank 1</c:v>
                </c:pt>
                <c:pt idx="14">
                  <c:v>Storebrand </c:v>
                </c:pt>
              </c:strCache>
            </c:strRef>
          </c:cat>
          <c:val>
            <c:numRef>
              <c:f>Figurer!$N$60:$N$74</c:f>
              <c:numCache>
                <c:formatCode>#,##0</c:formatCode>
                <c:ptCount val="15"/>
                <c:pt idx="0">
                  <c:v>1179127.2880000002</c:v>
                </c:pt>
                <c:pt idx="1">
                  <c:v>198525277</c:v>
                </c:pt>
                <c:pt idx="2">
                  <c:v>503320</c:v>
                </c:pt>
                <c:pt idx="3">
                  <c:v>848727</c:v>
                </c:pt>
                <c:pt idx="4">
                  <c:v>0</c:v>
                </c:pt>
                <c:pt idx="5">
                  <c:v>7183029</c:v>
                </c:pt>
                <c:pt idx="6">
                  <c:v>27038.08164</c:v>
                </c:pt>
                <c:pt idx="7">
                  <c:v>512717.34090000001</c:v>
                </c:pt>
                <c:pt idx="8">
                  <c:v>507748922.5025</c:v>
                </c:pt>
                <c:pt idx="9">
                  <c:v>1723587</c:v>
                </c:pt>
                <c:pt idx="10">
                  <c:v>40612</c:v>
                </c:pt>
                <c:pt idx="11">
                  <c:v>51672210.116469145</c:v>
                </c:pt>
                <c:pt idx="12">
                  <c:v>76067254.04129</c:v>
                </c:pt>
                <c:pt idx="13">
                  <c:v>21982930.468389999</c:v>
                </c:pt>
                <c:pt idx="14">
                  <c:v>181279490.90799999</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Figurer!$M$84</c:f>
              <c:strCache>
                <c:ptCount val="1"/>
                <c:pt idx="0">
                  <c:v>2018</c:v>
                </c:pt>
              </c:strCache>
            </c:strRef>
          </c:tx>
          <c:invertIfNegative val="0"/>
          <c:cat>
            <c:strRef>
              <c:f>Figurer!$L$85:$L$94</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Figurer!$M$85:$M$94</c:f>
              <c:numCache>
                <c:formatCode>#,##0</c:formatCode>
                <c:ptCount val="10"/>
                <c:pt idx="0">
                  <c:v>16857045.754999999</c:v>
                </c:pt>
                <c:pt idx="1">
                  <c:v>77241342.397</c:v>
                </c:pt>
                <c:pt idx="2">
                  <c:v>3327175.3450000002</c:v>
                </c:pt>
                <c:pt idx="3">
                  <c:v>24101780</c:v>
                </c:pt>
                <c:pt idx="4">
                  <c:v>2418695.24015</c:v>
                </c:pt>
                <c:pt idx="5">
                  <c:v>3376787</c:v>
                </c:pt>
                <c:pt idx="6">
                  <c:v>59037750.000000045</c:v>
                </c:pt>
                <c:pt idx="7">
                  <c:v>2076510</c:v>
                </c:pt>
                <c:pt idx="8">
                  <c:v>27670397.0995</c:v>
                </c:pt>
                <c:pt idx="9">
                  <c:v>93401620.811000004</c:v>
                </c:pt>
              </c:numCache>
            </c:numRef>
          </c:val>
          <c:extLst>
            <c:ext xmlns:c16="http://schemas.microsoft.com/office/drawing/2014/chart" uri="{C3380CC4-5D6E-409C-BE32-E72D297353CC}">
              <c16:uniqueId val="{00000000-62B1-4395-80F9-424B1553CC96}"/>
            </c:ext>
          </c:extLst>
        </c:ser>
        <c:ser>
          <c:idx val="1"/>
          <c:order val="1"/>
          <c:tx>
            <c:strRef>
              <c:f>Figurer!$N$84</c:f>
              <c:strCache>
                <c:ptCount val="1"/>
                <c:pt idx="0">
                  <c:v>2019</c:v>
                </c:pt>
              </c:strCache>
            </c:strRef>
          </c:tx>
          <c:invertIfNegative val="0"/>
          <c:cat>
            <c:strRef>
              <c:f>Figurer!$L$85:$L$94</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Figurer!$N$85:$N$94</c:f>
              <c:numCache>
                <c:formatCode>#,##0</c:formatCode>
                <c:ptCount val="10"/>
                <c:pt idx="0">
                  <c:v>20732864.511</c:v>
                </c:pt>
                <c:pt idx="1">
                  <c:v>98943003.869000003</c:v>
                </c:pt>
                <c:pt idx="2">
                  <c:v>4266127</c:v>
                </c:pt>
                <c:pt idx="3">
                  <c:v>30130866</c:v>
                </c:pt>
                <c:pt idx="4">
                  <c:v>2703759.0266499999</c:v>
                </c:pt>
                <c:pt idx="5">
                  <c:v>4891857</c:v>
                </c:pt>
                <c:pt idx="6">
                  <c:v>77977130</c:v>
                </c:pt>
                <c:pt idx="7">
                  <c:v>2541186</c:v>
                </c:pt>
                <c:pt idx="8">
                  <c:v>35920709.854330003</c:v>
                </c:pt>
                <c:pt idx="9">
                  <c:v>114501651.811</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Figurer!$M$110</c:f>
              <c:strCache>
                <c:ptCount val="1"/>
                <c:pt idx="0">
                  <c:v>2018</c:v>
                </c:pt>
              </c:strCache>
            </c:strRef>
          </c:tx>
          <c:invertIfNegative val="0"/>
          <c:cat>
            <c:strRef>
              <c:f>Figurer!$L$111:$L$118</c:f>
              <c:strCache>
                <c:ptCount val="8"/>
                <c:pt idx="0">
                  <c:v>Danica Pensjon</c:v>
                </c:pt>
                <c:pt idx="1">
                  <c:v>DNB Liv</c:v>
                </c:pt>
                <c:pt idx="2">
                  <c:v>Gjensidige Pensj</c:v>
                </c:pt>
                <c:pt idx="3">
                  <c:v>KLP</c:v>
                </c:pt>
                <c:pt idx="4">
                  <c:v>KLP Bedriftsp</c:v>
                </c:pt>
                <c:pt idx="5">
                  <c:v>Nordea Liv</c:v>
                </c:pt>
                <c:pt idx="6">
                  <c:v>SpareBank 1</c:v>
                </c:pt>
                <c:pt idx="7">
                  <c:v>Storebrand </c:v>
                </c:pt>
              </c:strCache>
            </c:strRef>
          </c:cat>
          <c:val>
            <c:numRef>
              <c:f>Figurer!$M$111:$M$118</c:f>
              <c:numCache>
                <c:formatCode>#,##0</c:formatCode>
                <c:ptCount val="8"/>
                <c:pt idx="0">
                  <c:v>7172.3330000000024</c:v>
                </c:pt>
                <c:pt idx="1">
                  <c:v>163223</c:v>
                </c:pt>
                <c:pt idx="2">
                  <c:v>55886</c:v>
                </c:pt>
                <c:pt idx="3">
                  <c:v>-492216.58499999996</c:v>
                </c:pt>
                <c:pt idx="4">
                  <c:v>3095</c:v>
                </c:pt>
                <c:pt idx="5">
                  <c:v>-138834.61565999998</c:v>
                </c:pt>
                <c:pt idx="6">
                  <c:v>-40094.755590000008</c:v>
                </c:pt>
                <c:pt idx="7">
                  <c:v>-27854.512999999992</c:v>
                </c:pt>
              </c:numCache>
            </c:numRef>
          </c:val>
          <c:extLst>
            <c:ext xmlns:c16="http://schemas.microsoft.com/office/drawing/2014/chart" uri="{C3380CC4-5D6E-409C-BE32-E72D297353CC}">
              <c16:uniqueId val="{00000000-2BF8-4278-857F-91A0E7196849}"/>
            </c:ext>
          </c:extLst>
        </c:ser>
        <c:ser>
          <c:idx val="1"/>
          <c:order val="1"/>
          <c:tx>
            <c:strRef>
              <c:f>Figurer!$N$110</c:f>
              <c:strCache>
                <c:ptCount val="1"/>
                <c:pt idx="0">
                  <c:v>2019</c:v>
                </c:pt>
              </c:strCache>
            </c:strRef>
          </c:tx>
          <c:invertIfNegative val="0"/>
          <c:cat>
            <c:strRef>
              <c:f>Figurer!$L$111:$L$118</c:f>
              <c:strCache>
                <c:ptCount val="8"/>
                <c:pt idx="0">
                  <c:v>Danica Pensjon</c:v>
                </c:pt>
                <c:pt idx="1">
                  <c:v>DNB Liv</c:v>
                </c:pt>
                <c:pt idx="2">
                  <c:v>Gjensidige Pensj</c:v>
                </c:pt>
                <c:pt idx="3">
                  <c:v>KLP</c:v>
                </c:pt>
                <c:pt idx="4">
                  <c:v>KLP Bedriftsp</c:v>
                </c:pt>
                <c:pt idx="5">
                  <c:v>Nordea Liv</c:v>
                </c:pt>
                <c:pt idx="6">
                  <c:v>SpareBank 1</c:v>
                </c:pt>
                <c:pt idx="7">
                  <c:v>Storebrand </c:v>
                </c:pt>
              </c:strCache>
            </c:strRef>
          </c:cat>
          <c:val>
            <c:numRef>
              <c:f>Figurer!$N$111:$N$118</c:f>
              <c:numCache>
                <c:formatCode>#,##0</c:formatCode>
                <c:ptCount val="8"/>
                <c:pt idx="0">
                  <c:v>12101.764999999998</c:v>
                </c:pt>
                <c:pt idx="1">
                  <c:v>177031</c:v>
                </c:pt>
                <c:pt idx="2">
                  <c:v>40284</c:v>
                </c:pt>
                <c:pt idx="3">
                  <c:v>-311467.57200000004</c:v>
                </c:pt>
                <c:pt idx="4">
                  <c:v>517</c:v>
                </c:pt>
                <c:pt idx="5">
                  <c:v>-21770</c:v>
                </c:pt>
                <c:pt idx="6">
                  <c:v>-26898.822909999995</c:v>
                </c:pt>
                <c:pt idx="7">
                  <c:v>-92858.755000000005</c:v>
                </c:pt>
              </c:numCache>
            </c:numRef>
          </c:val>
          <c:extLst>
            <c:ext xmlns:c16="http://schemas.microsoft.com/office/drawing/2014/chart" uri="{C3380CC4-5D6E-409C-BE32-E72D297353CC}">
              <c16:uniqueId val="{00000000-0891-419B-84DB-F579F658812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9.6515177450644751E-2"/>
          <c:h val="4.553361351874527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Figurer!$M$135</c:f>
              <c:strCache>
                <c:ptCount val="1"/>
                <c:pt idx="0">
                  <c:v>2018</c:v>
                </c:pt>
              </c:strCache>
            </c:strRef>
          </c:tx>
          <c:invertIfNegative val="0"/>
          <c:cat>
            <c:strRef>
              <c:f>Figurer!$L$136:$L$144</c:f>
              <c:strCache>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Cache>
            </c:strRef>
          </c:cat>
          <c:val>
            <c:numRef>
              <c:f>Figurer!$M$136:$M$144</c:f>
              <c:numCache>
                <c:formatCode>#,##0</c:formatCode>
                <c:ptCount val="9"/>
                <c:pt idx="0">
                  <c:v>-210577.09800000011</c:v>
                </c:pt>
                <c:pt idx="1">
                  <c:v>-481067</c:v>
                </c:pt>
                <c:pt idx="2">
                  <c:v>-66404</c:v>
                </c:pt>
                <c:pt idx="3">
                  <c:v>280691</c:v>
                </c:pt>
                <c:pt idx="4">
                  <c:v>444032</c:v>
                </c:pt>
                <c:pt idx="5">
                  <c:v>-1061165.3843399999</c:v>
                </c:pt>
                <c:pt idx="6">
                  <c:v>156380</c:v>
                </c:pt>
                <c:pt idx="7">
                  <c:v>1474548.0512999999</c:v>
                </c:pt>
                <c:pt idx="8">
                  <c:v>-788494.15700000012</c:v>
                </c:pt>
              </c:numCache>
            </c:numRef>
          </c:val>
          <c:extLst>
            <c:ext xmlns:c16="http://schemas.microsoft.com/office/drawing/2014/chart" uri="{C3380CC4-5D6E-409C-BE32-E72D297353CC}">
              <c16:uniqueId val="{00000000-B400-4C26-965B-0553A4A37873}"/>
            </c:ext>
          </c:extLst>
        </c:ser>
        <c:ser>
          <c:idx val="1"/>
          <c:order val="1"/>
          <c:tx>
            <c:strRef>
              <c:f>Figurer!$N$135</c:f>
              <c:strCache>
                <c:ptCount val="1"/>
                <c:pt idx="0">
                  <c:v>2019</c:v>
                </c:pt>
              </c:strCache>
            </c:strRef>
          </c:tx>
          <c:invertIfNegative val="0"/>
          <c:cat>
            <c:strRef>
              <c:f>Figurer!$L$136:$L$144</c:f>
              <c:strCache>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Cache>
            </c:strRef>
          </c:cat>
          <c:val>
            <c:numRef>
              <c:f>Figurer!$N$136:$N$144</c:f>
              <c:numCache>
                <c:formatCode>#,##0</c:formatCode>
                <c:ptCount val="9"/>
                <c:pt idx="0">
                  <c:v>252935.32400000002</c:v>
                </c:pt>
                <c:pt idx="1">
                  <c:v>-747449</c:v>
                </c:pt>
                <c:pt idx="2">
                  <c:v>52602</c:v>
                </c:pt>
                <c:pt idx="3">
                  <c:v>-475395</c:v>
                </c:pt>
                <c:pt idx="4">
                  <c:v>385283</c:v>
                </c:pt>
                <c:pt idx="5">
                  <c:v>1232764.5948499998</c:v>
                </c:pt>
                <c:pt idx="6">
                  <c:v>108424.59321000001</c:v>
                </c:pt>
                <c:pt idx="7">
                  <c:v>143228.91882000002</c:v>
                </c:pt>
                <c:pt idx="8">
                  <c:v>-1250440.1450000005</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4. KVARTAL 2019 </a:t>
          </a:r>
          <a:r>
            <a:rPr lang="nb-NO" sz="1100" b="0">
              <a:effectLst/>
              <a:latin typeface="Arial"/>
              <a:ea typeface="ＭＳ 明朝"/>
              <a:cs typeface="Times New Roman"/>
            </a:rPr>
            <a:t>(27.03.2020)</a:t>
          </a:r>
          <a:r>
            <a:rPr lang="nb-NO" sz="1600" b="1">
              <a:effectLst/>
              <a:latin typeface="Arial"/>
              <a:ea typeface="ＭＳ 明朝"/>
              <a:cs typeface="Times New Roman"/>
            </a:rPr>
            <a:t> </a:t>
          </a:r>
          <a:endParaRPr lang="nb-NO" sz="120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27</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31</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73</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57150</xdr:rowOff>
    </xdr:from>
    <xdr:to>
      <xdr:col>9</xdr:col>
      <xdr:colOff>123825</xdr:colOff>
      <xdr:row>100</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28575</xdr:rowOff>
    </xdr:from>
    <xdr:to>
      <xdr:col>9</xdr:col>
      <xdr:colOff>180975</xdr:colOff>
      <xdr:row>123</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57150</xdr:rowOff>
    </xdr:from>
    <xdr:to>
      <xdr:col>9</xdr:col>
      <xdr:colOff>171450</xdr:colOff>
      <xdr:row>149</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127000</xdr:rowOff>
    </xdr:from>
    <xdr:to>
      <xdr:col>0</xdr:col>
      <xdr:colOff>4064000</xdr:colOff>
      <xdr:row>40</xdr:row>
      <xdr:rowOff>74083</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62000"/>
          <a:ext cx="4053417" cy="10974916"/>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ACE European Group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(utenlandsk skadeselskap, filial)</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a:t>
          </a:r>
          <a:r>
            <a:rPr lang="nb-NO" sz="1200" b="0" i="0" strike="noStrike" baseline="0">
              <a:solidFill>
                <a:srgbClr val="000000"/>
              </a:solidFill>
              <a:latin typeface="Times New Roman"/>
              <a:cs typeface="Times New Roman"/>
            </a:rPr>
            <a:t> Bedriftspensjon AS</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Landbruksforsikring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NEMI</a:t>
          </a:r>
          <a:r>
            <a:rPr lang="nb-NO" sz="1200" b="0" i="0" strike="noStrike" baseline="0">
              <a:solidFill>
                <a:srgbClr val="000000"/>
              </a:solidFill>
              <a:latin typeface="Times New Roman"/>
              <a:cs typeface="Times New Roman"/>
            </a:rPr>
            <a:t> Forsikring (skadeselskap)</a:t>
          </a:r>
          <a:endParaRPr lang="nb-NO" sz="1200" b="0" i="0" strike="noStrike">
            <a:solidFill>
              <a:srgbClr val="000000"/>
            </a:solidFill>
            <a:latin typeface="Times New Roman"/>
            <a:cs typeface="Times New Roman"/>
          </a:endParaRP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Protector Forsikring</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 Bedriftspensjon AS</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Silver Pensjonsforsikring AS</a:t>
          </a: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DNB Livsforsikring</a:t>
          </a:r>
          <a:endParaRPr lang="nb-NO" sz="1100" u="none">
            <a:latin typeface="Times New Roman" panose="02020603050405020304" pitchFamily="18" charset="0"/>
            <a:cs typeface="Times New Roman" panose="02020603050405020304" pitchFamily="18" charset="0"/>
          </a:endParaRPr>
        </a:p>
        <a:p>
          <a:r>
            <a:rPr lang="nb-NO" sz="1100" u="none">
              <a:latin typeface="Times New Roman" panose="02020603050405020304" pitchFamily="18" charset="0"/>
              <a:cs typeface="Times New Roman" panose="02020603050405020304" pitchFamily="18" charset="0"/>
            </a:rPr>
            <a:t>Nedgangen</a:t>
          </a:r>
          <a:r>
            <a:rPr lang="nb-NO" sz="1100" u="none" baseline="0">
              <a:latin typeface="Times New Roman" panose="02020603050405020304" pitchFamily="18" charset="0"/>
              <a:cs typeface="Times New Roman" panose="02020603050405020304" pitchFamily="18" charset="0"/>
            </a:rPr>
            <a:t> i forsikringsforpliktelser knyttet til uførepensjon etter tjenestepensjonsloven skyldes tidligere feilrapportering.</a:t>
          </a:r>
          <a:br>
            <a:rPr lang="nb-NO" sz="1100" u="none" baseline="0">
              <a:latin typeface="Times New Roman" panose="02020603050405020304" pitchFamily="18" charset="0"/>
              <a:cs typeface="Times New Roman" panose="02020603050405020304" pitchFamily="18" charset="0"/>
            </a:rPr>
          </a:br>
          <a:endParaRPr lang="nb-NO" sz="1100" u="none" baseline="0">
            <a:latin typeface="Times New Roman" panose="02020603050405020304" pitchFamily="18" charset="0"/>
            <a:cs typeface="Times New Roman" panose="02020603050405020304" pitchFamily="18" charset="0"/>
          </a:endParaRPr>
        </a:p>
        <a:p>
          <a:r>
            <a:rPr lang="nb-NO" sz="1100" u="sng" baseline="0">
              <a:latin typeface="Times New Roman" panose="02020603050405020304" pitchFamily="18" charset="0"/>
              <a:cs typeface="Times New Roman" panose="02020603050405020304" pitchFamily="18" charset="0"/>
            </a:rPr>
            <a:t>KLP</a:t>
          </a:r>
          <a:endParaRPr lang="nb-NO" sz="1100" u="none" baseline="0">
            <a:latin typeface="Times New Roman" panose="02020603050405020304" pitchFamily="18" charset="0"/>
            <a:cs typeface="Times New Roman" panose="02020603050405020304" pitchFamily="18" charset="0"/>
          </a:endParaRPr>
        </a:p>
        <a:p>
          <a:r>
            <a:rPr lang="nb-NO" sz="1100" u="none" baseline="0">
              <a:latin typeface="Times New Roman" panose="02020603050405020304" pitchFamily="18" charset="0"/>
              <a:cs typeface="Times New Roman" panose="02020603050405020304" pitchFamily="18" charset="0"/>
            </a:rPr>
            <a:t>Selskapet hadde ved tidspunkt for publisering ikke innrapportert 2019-tall til tabellene 5, 7 og 8.</a:t>
          </a:r>
          <a:endParaRPr lang="nb-NO" sz="1100" u="sng">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Protector Forsikring</a:t>
          </a:r>
        </a:p>
        <a:p>
          <a:r>
            <a:rPr lang="nb-NO" sz="1100" u="none">
              <a:latin typeface="Times New Roman" panose="02020603050405020304" pitchFamily="18" charset="0"/>
              <a:cs typeface="Times New Roman" panose="02020603050405020304" pitchFamily="18" charset="0"/>
            </a:rPr>
            <a:t>Selskapet</a:t>
          </a:r>
          <a:r>
            <a:rPr lang="nb-NO" sz="1100" u="none" baseline="0">
              <a:latin typeface="Times New Roman" panose="02020603050405020304" pitchFamily="18" charset="0"/>
              <a:cs typeface="Times New Roman" panose="02020603050405020304" pitchFamily="18" charset="0"/>
            </a:rPr>
            <a:t> inngår i statistikken fra 2. kvartal 2018.</a:t>
          </a:r>
          <a:br>
            <a:rPr lang="nb-NO" sz="1100" u="none" baseline="0">
              <a:latin typeface="Times New Roman" panose="02020603050405020304" pitchFamily="18" charset="0"/>
              <a:cs typeface="Times New Roman" panose="02020603050405020304" pitchFamily="18" charset="0"/>
            </a:rPr>
          </a:br>
          <a:endParaRPr lang="nb-NO" sz="1100" u="none">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k%20og%20analyse/Livstatistikk/Faste%20statistikker/MA/2019/Q4-2019/Mottatt/Frende%20Li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atistikk%20og%20analyse/Livstatistikk/Faste%20statistikker/MA/2019/Q4-2019/Mottatt/KLP%20B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5.1"/>
      <sheetName val="Tabell 5.2"/>
      <sheetName val="Tabell 5.3"/>
      <sheetName val="Tabell 6"/>
      <sheetName val="Tabell 7a"/>
      <sheetName val="Tabell 7b"/>
      <sheetName val="Tabell 8"/>
      <sheetName val="Noter og kommentarer"/>
    </sheetNames>
    <sheetDataSet>
      <sheetData sheetId="0"/>
      <sheetData sheetId="1"/>
      <sheetData sheetId="2"/>
      <sheetData sheetId="3"/>
      <sheetData sheetId="4"/>
      <sheetData sheetId="5">
        <row r="20">
          <cell r="I20">
            <v>0</v>
          </cell>
        </row>
        <row r="36">
          <cell r="H36">
            <v>2.61</v>
          </cell>
          <cell r="I36">
            <v>26.471</v>
          </cell>
        </row>
        <row r="38">
          <cell r="H38">
            <v>-7.53</v>
          </cell>
          <cell r="I38">
            <v>-8.8390000000000004</v>
          </cell>
        </row>
        <row r="41">
          <cell r="H41">
            <v>74.47</v>
          </cell>
          <cell r="I41">
            <v>89.103999999999999</v>
          </cell>
        </row>
        <row r="46">
          <cell r="I46">
            <v>106.753</v>
          </cell>
        </row>
        <row r="86">
          <cell r="H86">
            <v>2.42</v>
          </cell>
          <cell r="I86">
            <v>24.754999999999999</v>
          </cell>
        </row>
        <row r="88">
          <cell r="H88">
            <v>-20.170000000000002</v>
          </cell>
          <cell r="I88">
            <v>-21.734000000000002</v>
          </cell>
        </row>
        <row r="91">
          <cell r="H91">
            <v>17.57</v>
          </cell>
          <cell r="I91">
            <v>14.602</v>
          </cell>
        </row>
        <row r="96">
          <cell r="I96">
            <v>17.64</v>
          </cell>
        </row>
      </sheetData>
      <sheetData sheetId="6">
        <row r="20">
          <cell r="I20">
            <v>0</v>
          </cell>
        </row>
        <row r="48">
          <cell r="H48">
            <v>1.1399999999999999</v>
          </cell>
          <cell r="I48">
            <v>11.616</v>
          </cell>
        </row>
        <row r="50">
          <cell r="H50">
            <v>-45.6</v>
          </cell>
          <cell r="I50">
            <v>-13.301</v>
          </cell>
        </row>
        <row r="53">
          <cell r="H53">
            <v>13.48</v>
          </cell>
          <cell r="I53">
            <v>9.44</v>
          </cell>
        </row>
        <row r="58">
          <cell r="I58">
            <v>7.7629999999999999</v>
          </cell>
        </row>
      </sheetData>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5.1"/>
      <sheetName val="Tabell 5.2"/>
      <sheetName val="Tabell 5.3"/>
      <sheetName val="Tabell 6"/>
      <sheetName val="Tabell 7a"/>
      <sheetName val="Tabell 7b"/>
      <sheetName val="Tabell 8"/>
      <sheetName val="Noter og kommentarer"/>
    </sheetNames>
    <sheetDataSet>
      <sheetData sheetId="0" refreshError="1"/>
      <sheetData sheetId="1" refreshError="1"/>
      <sheetData sheetId="2" refreshError="1"/>
      <sheetData sheetId="3" refreshError="1"/>
      <sheetData sheetId="4" refreshError="1"/>
      <sheetData sheetId="5">
        <row r="20">
          <cell r="U20">
            <v>0</v>
          </cell>
        </row>
        <row r="32">
          <cell r="U32">
            <v>0</v>
          </cell>
        </row>
        <row r="44">
          <cell r="U44">
            <v>0</v>
          </cell>
        </row>
        <row r="56">
          <cell r="U56">
            <v>0</v>
          </cell>
        </row>
        <row r="70">
          <cell r="U70">
            <v>0</v>
          </cell>
        </row>
        <row r="82">
          <cell r="U82">
            <v>0</v>
          </cell>
        </row>
        <row r="94">
          <cell r="U94">
            <v>0</v>
          </cell>
        </row>
        <row r="106">
          <cell r="U106">
            <v>0</v>
          </cell>
        </row>
      </sheetData>
      <sheetData sheetId="6">
        <row r="20">
          <cell r="U20">
            <v>7</v>
          </cell>
        </row>
        <row r="32">
          <cell r="U32">
            <v>0</v>
          </cell>
        </row>
        <row r="44">
          <cell r="U44">
            <v>0</v>
          </cell>
        </row>
        <row r="56">
          <cell r="U56">
            <v>-32</v>
          </cell>
        </row>
        <row r="68">
          <cell r="U68">
            <v>0</v>
          </cell>
        </row>
        <row r="80">
          <cell r="U80">
            <v>0</v>
          </cell>
        </row>
        <row r="92">
          <cell r="U92">
            <v>-1</v>
          </cell>
        </row>
        <row r="104">
          <cell r="U104">
            <v>15</v>
          </cell>
        </row>
        <row r="116">
          <cell r="U116">
            <v>0</v>
          </cell>
        </row>
        <row r="130">
          <cell r="U130">
            <v>0</v>
          </cell>
        </row>
        <row r="142">
          <cell r="U142">
            <v>0</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I55"/>
  <sheetViews>
    <sheetView showGridLines="0" topLeftCell="A19" workbookViewId="0">
      <selection activeCell="L39" sqref="L39"/>
    </sheetView>
  </sheetViews>
  <sheetFormatPr baseColWidth="10" defaultColWidth="11.42578125" defaultRowHeight="12.75" x14ac:dyDescent="0.2"/>
  <sheetData>
    <row r="1" spans="2:9" s="51" customFormat="1" x14ac:dyDescent="0.2"/>
    <row r="2" spans="2:9" s="51" customFormat="1" x14ac:dyDescent="0.2"/>
    <row r="3" spans="2:9" s="51" customFormat="1" x14ac:dyDescent="0.2"/>
    <row r="4" spans="2:9" s="51" customFormat="1" x14ac:dyDescent="0.2"/>
    <row r="5" spans="2:9" s="51" customFormat="1" x14ac:dyDescent="0.2">
      <c r="B5" s="52"/>
      <c r="C5" s="52"/>
      <c r="D5" s="52"/>
      <c r="E5" s="52"/>
      <c r="F5" s="52"/>
      <c r="G5" s="52"/>
      <c r="H5" s="52"/>
    </row>
    <row r="6" spans="2:9" s="51" customFormat="1" ht="23.25" x14ac:dyDescent="0.35">
      <c r="B6" s="53"/>
      <c r="C6" s="52"/>
      <c r="D6" s="52"/>
      <c r="E6" s="52"/>
      <c r="F6" s="52"/>
      <c r="G6" s="52"/>
      <c r="H6" s="52"/>
      <c r="I6" s="54"/>
    </row>
    <row r="7" spans="2:9" s="51" customFormat="1" x14ac:dyDescent="0.2">
      <c r="B7" s="52"/>
      <c r="C7" s="52"/>
      <c r="D7" s="52"/>
      <c r="E7" s="52"/>
      <c r="F7" s="52"/>
      <c r="G7" s="52"/>
      <c r="H7" s="52"/>
      <c r="I7" s="52"/>
    </row>
    <row r="8" spans="2:9" s="51" customFormat="1" x14ac:dyDescent="0.2">
      <c r="B8" s="52"/>
      <c r="C8" s="52"/>
      <c r="D8" s="52"/>
      <c r="F8" s="52"/>
      <c r="G8" s="52"/>
      <c r="H8" s="52"/>
    </row>
    <row r="9" spans="2:9" s="51" customFormat="1" x14ac:dyDescent="0.2">
      <c r="B9" s="52"/>
      <c r="C9" s="52"/>
      <c r="D9" s="52"/>
      <c r="E9" s="52"/>
      <c r="F9" s="52"/>
      <c r="G9" s="52"/>
      <c r="H9" s="52"/>
    </row>
    <row r="10" spans="2:9" s="51" customFormat="1" ht="23.25" x14ac:dyDescent="0.35">
      <c r="B10" s="52"/>
      <c r="C10" s="52"/>
      <c r="D10" s="52"/>
      <c r="I10" s="54"/>
    </row>
    <row r="11" spans="2:9" s="51" customFormat="1" x14ac:dyDescent="0.2">
      <c r="B11" s="52"/>
      <c r="C11" s="52"/>
      <c r="D11" s="52"/>
    </row>
    <row r="12" spans="2:9" s="51" customFormat="1" ht="27" customHeight="1" x14ac:dyDescent="0.35">
      <c r="B12" s="52"/>
      <c r="C12" s="52"/>
      <c r="D12" s="52"/>
      <c r="E12" s="52"/>
      <c r="F12" s="52"/>
      <c r="G12" s="52"/>
      <c r="H12" s="52"/>
      <c r="I12" s="54"/>
    </row>
    <row r="13" spans="2:9" s="51" customFormat="1" ht="19.5" customHeight="1" x14ac:dyDescent="0.35">
      <c r="B13" s="52"/>
      <c r="I13" s="54"/>
    </row>
    <row r="14" spans="2:9" s="51" customFormat="1" x14ac:dyDescent="0.2">
      <c r="B14" s="52"/>
      <c r="C14" s="52"/>
      <c r="D14" s="52"/>
      <c r="F14" s="52"/>
      <c r="G14" s="52"/>
      <c r="H14" s="52"/>
    </row>
    <row r="15" spans="2:9" s="51" customFormat="1" x14ac:dyDescent="0.2">
      <c r="B15" s="52"/>
      <c r="C15" s="52"/>
      <c r="D15" s="52"/>
      <c r="F15" s="52"/>
      <c r="G15" s="52"/>
      <c r="H15" s="52"/>
      <c r="I15" s="52"/>
    </row>
    <row r="16" spans="2:9" s="51" customFormat="1" ht="34.5" x14ac:dyDescent="0.45">
      <c r="B16" s="52"/>
      <c r="C16" s="52"/>
      <c r="D16" s="52"/>
      <c r="E16" s="55"/>
      <c r="F16" s="52"/>
      <c r="G16" s="52"/>
      <c r="H16" s="52"/>
      <c r="I16" s="52"/>
    </row>
    <row r="17" spans="2:9" s="51" customFormat="1" ht="33" x14ac:dyDescent="0.45">
      <c r="B17" s="52"/>
      <c r="C17" s="52"/>
      <c r="D17" s="52"/>
      <c r="E17" s="56"/>
      <c r="F17" s="52"/>
      <c r="G17" s="52"/>
      <c r="H17" s="52"/>
      <c r="I17" s="52"/>
    </row>
    <row r="18" spans="2:9" s="51" customFormat="1" ht="33" x14ac:dyDescent="0.45">
      <c r="D18" s="56"/>
    </row>
    <row r="19" spans="2:9" s="51" customFormat="1" ht="18.75" x14ac:dyDescent="0.3">
      <c r="E19" s="57"/>
      <c r="I19" s="58"/>
    </row>
    <row r="20" spans="2:9" s="51" customFormat="1" x14ac:dyDescent="0.2"/>
    <row r="21" spans="2:9" s="51" customFormat="1" x14ac:dyDescent="0.2">
      <c r="E21" s="59"/>
    </row>
    <row r="22" spans="2:9" s="51" customFormat="1" ht="26.25" x14ac:dyDescent="0.4">
      <c r="E22" s="60"/>
    </row>
    <row r="23" spans="2:9" s="51" customFormat="1" x14ac:dyDescent="0.2"/>
    <row r="24" spans="2:9" s="51" customFormat="1" x14ac:dyDescent="0.2"/>
    <row r="25" spans="2:9" s="51" customFormat="1" ht="18.75" x14ac:dyDescent="0.3">
      <c r="E25" s="61"/>
    </row>
    <row r="26" spans="2:9" s="51" customFormat="1" ht="18.75" x14ac:dyDescent="0.3">
      <c r="E26" s="62"/>
    </row>
    <row r="27" spans="2:9" s="51" customFormat="1" x14ac:dyDescent="0.2"/>
    <row r="28" spans="2:9" s="51" customFormat="1" x14ac:dyDescent="0.2"/>
    <row r="29" spans="2:9" s="51" customFormat="1" x14ac:dyDescent="0.2"/>
    <row r="30" spans="2:9" s="51" customFormat="1" x14ac:dyDescent="0.2"/>
    <row r="31" spans="2:9" s="51" customFormat="1" x14ac:dyDescent="0.2"/>
    <row r="32" spans="2:9" s="51" customFormat="1" x14ac:dyDescent="0.2"/>
    <row r="33" spans="1:9" s="51" customFormat="1" ht="35.25" x14ac:dyDescent="0.2">
      <c r="A33" s="63"/>
    </row>
    <row r="34" spans="1:9" s="51" customFormat="1" x14ac:dyDescent="0.2"/>
    <row r="35" spans="1:9" s="51" customFormat="1" x14ac:dyDescent="0.2"/>
    <row r="36" spans="1:9" s="51" customFormat="1" ht="33" x14ac:dyDescent="0.2">
      <c r="B36" s="64"/>
    </row>
    <row r="37" spans="1:9" s="51" customFormat="1" x14ac:dyDescent="0.2"/>
    <row r="38" spans="1:9" s="51" customFormat="1" x14ac:dyDescent="0.2"/>
    <row r="39" spans="1:9" s="51" customFormat="1" ht="18" x14ac:dyDescent="0.25">
      <c r="B39" s="65"/>
    </row>
    <row r="40" spans="1:9" s="51" customFormat="1" x14ac:dyDescent="0.2"/>
    <row r="41" spans="1:9" s="51" customFormat="1" ht="18.75" x14ac:dyDescent="0.3">
      <c r="I41" s="66"/>
    </row>
    <row r="42" spans="1:9" s="51" customFormat="1" x14ac:dyDescent="0.2"/>
    <row r="43" spans="1:9" s="51" customFormat="1" ht="18.75" x14ac:dyDescent="0.3">
      <c r="B43" s="950"/>
      <c r="C43" s="950"/>
      <c r="D43" s="950"/>
    </row>
    <row r="44" spans="1:9" s="51" customFormat="1" x14ac:dyDescent="0.2"/>
    <row r="45" spans="1:9" s="51" customFormat="1" x14ac:dyDescent="0.2"/>
    <row r="46" spans="1:9" s="51" customFormat="1" x14ac:dyDescent="0.2"/>
    <row r="47" spans="1:9" s="51" customFormat="1" x14ac:dyDescent="0.2"/>
    <row r="48" spans="1:9"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139</v>
      </c>
      <c r="B1" s="945"/>
      <c r="C1" s="248" t="s">
        <v>128</v>
      </c>
      <c r="D1" s="26"/>
      <c r="E1" s="26"/>
      <c r="F1" s="26"/>
      <c r="G1" s="26"/>
      <c r="H1" s="26"/>
      <c r="I1" s="26"/>
      <c r="J1" s="26"/>
      <c r="K1" s="26"/>
      <c r="L1" s="26"/>
      <c r="M1" s="26"/>
    </row>
    <row r="2" spans="1:14" ht="15.75" x14ac:dyDescent="0.25">
      <c r="A2" s="165" t="s">
        <v>28</v>
      </c>
      <c r="B2" s="972"/>
      <c r="C2" s="972"/>
      <c r="D2" s="972"/>
      <c r="E2" s="298"/>
      <c r="F2" s="972"/>
      <c r="G2" s="972"/>
      <c r="H2" s="972"/>
      <c r="I2" s="298"/>
      <c r="J2" s="972"/>
      <c r="K2" s="972"/>
      <c r="L2" s="972"/>
      <c r="M2" s="298"/>
    </row>
    <row r="3" spans="1:14" ht="15.75" x14ac:dyDescent="0.25">
      <c r="A3" s="163"/>
      <c r="B3" s="298"/>
      <c r="C3" s="298"/>
      <c r="D3" s="298"/>
      <c r="E3" s="298"/>
      <c r="F3" s="298"/>
      <c r="G3" s="298"/>
      <c r="H3" s="298"/>
      <c r="I3" s="298"/>
      <c r="J3" s="298"/>
      <c r="K3" s="298"/>
      <c r="L3" s="298"/>
      <c r="M3" s="298"/>
    </row>
    <row r="4" spans="1:14" x14ac:dyDescent="0.2">
      <c r="A4" s="144"/>
      <c r="B4" s="973" t="s">
        <v>0</v>
      </c>
      <c r="C4" s="974"/>
      <c r="D4" s="974"/>
      <c r="E4" s="300"/>
      <c r="F4" s="973" t="s">
        <v>1</v>
      </c>
      <c r="G4" s="974"/>
      <c r="H4" s="974"/>
      <c r="I4" s="303"/>
      <c r="J4" s="973" t="s">
        <v>2</v>
      </c>
      <c r="K4" s="974"/>
      <c r="L4" s="974"/>
      <c r="M4" s="303"/>
    </row>
    <row r="5" spans="1:14" x14ac:dyDescent="0.2">
      <c r="A5" s="158"/>
      <c r="B5" s="152" t="s">
        <v>492</v>
      </c>
      <c r="C5" s="152" t="s">
        <v>493</v>
      </c>
      <c r="D5" s="245" t="s">
        <v>3</v>
      </c>
      <c r="E5" s="304" t="s">
        <v>29</v>
      </c>
      <c r="F5" s="152" t="s">
        <v>492</v>
      </c>
      <c r="G5" s="152" t="s">
        <v>493</v>
      </c>
      <c r="H5" s="245" t="s">
        <v>3</v>
      </c>
      <c r="I5" s="162" t="s">
        <v>29</v>
      </c>
      <c r="J5" s="152" t="s">
        <v>492</v>
      </c>
      <c r="K5" s="152" t="s">
        <v>493</v>
      </c>
      <c r="L5" s="245" t="s">
        <v>3</v>
      </c>
      <c r="M5" s="162" t="s">
        <v>29</v>
      </c>
    </row>
    <row r="6" spans="1:14" x14ac:dyDescent="0.2">
      <c r="A6" s="946"/>
      <c r="B6" s="156"/>
      <c r="C6" s="156"/>
      <c r="D6" s="246" t="s">
        <v>4</v>
      </c>
      <c r="E6" s="156" t="s">
        <v>30</v>
      </c>
      <c r="F6" s="161"/>
      <c r="G6" s="161"/>
      <c r="H6" s="245" t="s">
        <v>4</v>
      </c>
      <c r="I6" s="156" t="s">
        <v>30</v>
      </c>
      <c r="J6" s="161"/>
      <c r="K6" s="161"/>
      <c r="L6" s="245" t="s">
        <v>4</v>
      </c>
      <c r="M6" s="156" t="s">
        <v>30</v>
      </c>
    </row>
    <row r="7" spans="1:14" ht="15.75" x14ac:dyDescent="0.2">
      <c r="A7" s="14" t="s">
        <v>23</v>
      </c>
      <c r="B7" s="305">
        <v>293648</v>
      </c>
      <c r="C7" s="306">
        <v>323640</v>
      </c>
      <c r="D7" s="349">
        <f>IF(B7=0, "    ---- ", IF(ABS(ROUND(100/B7*C7-100,1))&lt;999,ROUND(100/B7*C7-100,1),IF(ROUND(100/B7*C7-100,1)&gt;999,999,-999)))</f>
        <v>10.199999999999999</v>
      </c>
      <c r="E7" s="11">
        <f>IFERROR(100/'Skjema total MA'!C7*C7,0)</f>
        <v>6.8827000686237101</v>
      </c>
      <c r="F7" s="305"/>
      <c r="G7" s="306"/>
      <c r="H7" s="349"/>
      <c r="I7" s="160"/>
      <c r="J7" s="307">
        <f t="shared" ref="J7:K10" si="0">SUM(B7,F7)</f>
        <v>293648</v>
      </c>
      <c r="K7" s="308">
        <f t="shared" si="0"/>
        <v>323640</v>
      </c>
      <c r="L7" s="372">
        <f>IF(J7=0, "    ---- ", IF(ABS(ROUND(100/J7*K7-100,1))&lt;999,ROUND(100/J7*K7-100,1),IF(ROUND(100/J7*K7-100,1)&gt;999,999,-999)))</f>
        <v>10.199999999999999</v>
      </c>
      <c r="M7" s="11">
        <f>IFERROR(100/'Skjema total MA'!I7*K7,0)</f>
        <v>2.1363174417472801</v>
      </c>
    </row>
    <row r="8" spans="1:14" ht="15.75" x14ac:dyDescent="0.2">
      <c r="A8" s="21" t="s">
        <v>25</v>
      </c>
      <c r="B8" s="280">
        <v>144961</v>
      </c>
      <c r="C8" s="281">
        <v>159489</v>
      </c>
      <c r="D8" s="166">
        <f t="shared" ref="D8:D10" si="1">IF(B8=0, "    ---- ", IF(ABS(ROUND(100/B8*C8-100,1))&lt;999,ROUND(100/B8*C8-100,1),IF(ROUND(100/B8*C8-100,1)&gt;999,999,-999)))</f>
        <v>10</v>
      </c>
      <c r="E8" s="27">
        <f>IFERROR(100/'Skjema total MA'!C8*C8,0)</f>
        <v>5.678069438114429</v>
      </c>
      <c r="F8" s="284"/>
      <c r="G8" s="285"/>
      <c r="H8" s="166"/>
      <c r="I8" s="175"/>
      <c r="J8" s="234">
        <f t="shared" si="0"/>
        <v>144961</v>
      </c>
      <c r="K8" s="286">
        <f t="shared" si="0"/>
        <v>159489</v>
      </c>
      <c r="L8" s="166">
        <f t="shared" ref="L8:L9" si="2">IF(J8=0, "    ---- ", IF(ABS(ROUND(100/J8*K8-100,1))&lt;999,ROUND(100/J8*K8-100,1),IF(ROUND(100/J8*K8-100,1)&gt;999,999,-999)))</f>
        <v>10</v>
      </c>
      <c r="M8" s="27">
        <f>IFERROR(100/'Skjema total MA'!I8*K8,0)</f>
        <v>5.678069438114429</v>
      </c>
    </row>
    <row r="9" spans="1:14" ht="15.75" x14ac:dyDescent="0.2">
      <c r="A9" s="21" t="s">
        <v>24</v>
      </c>
      <c r="B9" s="280">
        <v>148687</v>
      </c>
      <c r="C9" s="281">
        <v>164151</v>
      </c>
      <c r="D9" s="166">
        <f t="shared" si="1"/>
        <v>10.4</v>
      </c>
      <c r="E9" s="27">
        <f>IFERROR(100/'Skjema total MA'!C9*C9,0)</f>
        <v>16.67010281951433</v>
      </c>
      <c r="F9" s="284"/>
      <c r="G9" s="285"/>
      <c r="H9" s="166"/>
      <c r="I9" s="175"/>
      <c r="J9" s="234">
        <f t="shared" si="0"/>
        <v>148687</v>
      </c>
      <c r="K9" s="286">
        <f t="shared" si="0"/>
        <v>164151</v>
      </c>
      <c r="L9" s="166">
        <f t="shared" si="2"/>
        <v>10.4</v>
      </c>
      <c r="M9" s="27">
        <f>IFERROR(100/'Skjema total MA'!I9*K9,0)</f>
        <v>16.67010281951433</v>
      </c>
    </row>
    <row r="10" spans="1:14" ht="15.75" x14ac:dyDescent="0.2">
      <c r="A10" s="13" t="s">
        <v>451</v>
      </c>
      <c r="B10" s="309">
        <v>459894</v>
      </c>
      <c r="C10" s="310">
        <v>503320</v>
      </c>
      <c r="D10" s="171">
        <f t="shared" si="1"/>
        <v>9.4</v>
      </c>
      <c r="E10" s="11">
        <f>IFERROR(100/'Skjema total MA'!C10*C10,0)</f>
        <v>2.3807929256058569</v>
      </c>
      <c r="F10" s="309"/>
      <c r="G10" s="310"/>
      <c r="H10" s="171"/>
      <c r="I10" s="160"/>
      <c r="J10" s="307">
        <f t="shared" si="0"/>
        <v>459894</v>
      </c>
      <c r="K10" s="308">
        <f t="shared" si="0"/>
        <v>503320</v>
      </c>
      <c r="L10" s="373">
        <f t="shared" ref="L10" si="3">IF(J10=0, "    ---- ", IF(ABS(ROUND(100/J10*K10-100,1))&lt;999,ROUND(100/J10*K10-100,1),IF(ROUND(100/J10*K10-100,1)&gt;999,999,-999)))</f>
        <v>9.4</v>
      </c>
      <c r="M10" s="11">
        <f>IFERROR(100/'Skjema total MA'!I10*K10,0)</f>
        <v>0.67907492924617252</v>
      </c>
    </row>
    <row r="11" spans="1:14" s="43" customFormat="1" ht="15.75" x14ac:dyDescent="0.2">
      <c r="A11" s="13" t="s">
        <v>452</v>
      </c>
      <c r="B11" s="309"/>
      <c r="C11" s="310"/>
      <c r="D11" s="171"/>
      <c r="E11" s="11"/>
      <c r="F11" s="309"/>
      <c r="G11" s="310"/>
      <c r="H11" s="171"/>
      <c r="I11" s="160"/>
      <c r="J11" s="307"/>
      <c r="K11" s="308"/>
      <c r="L11" s="373"/>
      <c r="M11" s="11"/>
      <c r="N11" s="143"/>
    </row>
    <row r="12" spans="1:14" s="43" customFormat="1" ht="15.75" x14ac:dyDescent="0.2">
      <c r="A12" s="41" t="s">
        <v>453</v>
      </c>
      <c r="B12" s="311"/>
      <c r="C12" s="312"/>
      <c r="D12" s="169"/>
      <c r="E12" s="36"/>
      <c r="F12" s="311"/>
      <c r="G12" s="312"/>
      <c r="H12" s="169"/>
      <c r="I12" s="169"/>
      <c r="J12" s="313"/>
      <c r="K12" s="314"/>
      <c r="L12" s="374"/>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975"/>
      <c r="C18" s="975"/>
      <c r="D18" s="975"/>
      <c r="E18" s="298"/>
      <c r="F18" s="975"/>
      <c r="G18" s="975"/>
      <c r="H18" s="975"/>
      <c r="I18" s="298"/>
      <c r="J18" s="975"/>
      <c r="K18" s="975"/>
      <c r="L18" s="975"/>
      <c r="M18" s="298"/>
    </row>
    <row r="19" spans="1:14" x14ac:dyDescent="0.2">
      <c r="A19" s="144"/>
      <c r="B19" s="973" t="s">
        <v>0</v>
      </c>
      <c r="C19" s="974"/>
      <c r="D19" s="974"/>
      <c r="E19" s="300"/>
      <c r="F19" s="973" t="s">
        <v>1</v>
      </c>
      <c r="G19" s="974"/>
      <c r="H19" s="974"/>
      <c r="I19" s="303"/>
      <c r="J19" s="973" t="s">
        <v>2</v>
      </c>
      <c r="K19" s="974"/>
      <c r="L19" s="974"/>
      <c r="M19" s="303"/>
    </row>
    <row r="20" spans="1:14" x14ac:dyDescent="0.2">
      <c r="A20" s="140" t="s">
        <v>5</v>
      </c>
      <c r="B20" s="152" t="s">
        <v>492</v>
      </c>
      <c r="C20" s="152" t="s">
        <v>493</v>
      </c>
      <c r="D20" s="162" t="s">
        <v>3</v>
      </c>
      <c r="E20" s="304" t="s">
        <v>29</v>
      </c>
      <c r="F20" s="152" t="s">
        <v>492</v>
      </c>
      <c r="G20" s="152" t="s">
        <v>493</v>
      </c>
      <c r="H20" s="162" t="s">
        <v>3</v>
      </c>
      <c r="I20" s="162" t="s">
        <v>29</v>
      </c>
      <c r="J20" s="152" t="s">
        <v>492</v>
      </c>
      <c r="K20" s="152" t="s">
        <v>493</v>
      </c>
      <c r="L20" s="162" t="s">
        <v>3</v>
      </c>
      <c r="M20" s="162" t="s">
        <v>29</v>
      </c>
    </row>
    <row r="21" spans="1:14" x14ac:dyDescent="0.2">
      <c r="A21" s="947"/>
      <c r="B21" s="156"/>
      <c r="C21" s="156"/>
      <c r="D21" s="246" t="s">
        <v>4</v>
      </c>
      <c r="E21" s="156" t="s">
        <v>30</v>
      </c>
      <c r="F21" s="161"/>
      <c r="G21" s="161"/>
      <c r="H21" s="245"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372"/>
      <c r="M22" s="24"/>
    </row>
    <row r="23" spans="1:14" ht="15.75" x14ac:dyDescent="0.2">
      <c r="A23" s="753" t="s">
        <v>454</v>
      </c>
      <c r="B23" s="280"/>
      <c r="C23" s="280"/>
      <c r="D23" s="166"/>
      <c r="E23" s="11"/>
      <c r="F23" s="289"/>
      <c r="G23" s="289"/>
      <c r="H23" s="166"/>
      <c r="I23" s="365"/>
      <c r="J23" s="289"/>
      <c r="K23" s="289"/>
      <c r="L23" s="166"/>
      <c r="M23" s="23"/>
    </row>
    <row r="24" spans="1:14" ht="15.75" x14ac:dyDescent="0.2">
      <c r="A24" s="753" t="s">
        <v>455</v>
      </c>
      <c r="B24" s="280"/>
      <c r="C24" s="280"/>
      <c r="D24" s="166"/>
      <c r="E24" s="11"/>
      <c r="F24" s="289"/>
      <c r="G24" s="289"/>
      <c r="H24" s="166"/>
      <c r="I24" s="365"/>
      <c r="J24" s="289"/>
      <c r="K24" s="289"/>
      <c r="L24" s="166"/>
      <c r="M24" s="23"/>
    </row>
    <row r="25" spans="1:14" ht="15.75" x14ac:dyDescent="0.2">
      <c r="A25" s="753" t="s">
        <v>456</v>
      </c>
      <c r="B25" s="280"/>
      <c r="C25" s="280"/>
      <c r="D25" s="166"/>
      <c r="E25" s="11"/>
      <c r="F25" s="289"/>
      <c r="G25" s="289"/>
      <c r="H25" s="166"/>
      <c r="I25" s="365"/>
      <c r="J25" s="289"/>
      <c r="K25" s="289"/>
      <c r="L25" s="166"/>
      <c r="M25" s="23"/>
    </row>
    <row r="26" spans="1:14" ht="15.75" x14ac:dyDescent="0.2">
      <c r="A26" s="753" t="s">
        <v>457</v>
      </c>
      <c r="B26" s="280"/>
      <c r="C26" s="280"/>
      <c r="D26" s="166"/>
      <c r="E26" s="11"/>
      <c r="F26" s="289"/>
      <c r="G26" s="289"/>
      <c r="H26" s="166"/>
      <c r="I26" s="365"/>
      <c r="J26" s="289"/>
      <c r="K26" s="289"/>
      <c r="L26" s="166"/>
      <c r="M26" s="23"/>
    </row>
    <row r="27" spans="1:14" x14ac:dyDescent="0.2">
      <c r="A27" s="753" t="s">
        <v>11</v>
      </c>
      <c r="B27" s="280"/>
      <c r="C27" s="280"/>
      <c r="D27" s="166"/>
      <c r="E27" s="11"/>
      <c r="F27" s="289"/>
      <c r="G27" s="289"/>
      <c r="H27" s="166"/>
      <c r="I27" s="365"/>
      <c r="J27" s="289"/>
      <c r="K27" s="289"/>
      <c r="L27" s="166"/>
      <c r="M27" s="23"/>
    </row>
    <row r="28" spans="1:14" ht="15.75" x14ac:dyDescent="0.2">
      <c r="A28" s="49" t="s">
        <v>279</v>
      </c>
      <c r="B28" s="44"/>
      <c r="C28" s="286"/>
      <c r="D28" s="166"/>
      <c r="E28" s="11"/>
      <c r="F28" s="234"/>
      <c r="G28" s="286"/>
      <c r="H28" s="166"/>
      <c r="I28" s="27"/>
      <c r="J28" s="44"/>
      <c r="K28" s="44"/>
      <c r="L28" s="254"/>
      <c r="M28" s="23"/>
    </row>
    <row r="29" spans="1:14" s="3" customFormat="1" ht="15.75" x14ac:dyDescent="0.2">
      <c r="A29" s="13" t="s">
        <v>451</v>
      </c>
      <c r="B29" s="236"/>
      <c r="C29" s="236"/>
      <c r="D29" s="171"/>
      <c r="E29" s="11"/>
      <c r="F29" s="307"/>
      <c r="G29" s="307"/>
      <c r="H29" s="171"/>
      <c r="I29" s="11"/>
      <c r="J29" s="236"/>
      <c r="K29" s="236"/>
      <c r="L29" s="373"/>
      <c r="M29" s="24"/>
      <c r="N29" s="148"/>
    </row>
    <row r="30" spans="1:14" s="3" customFormat="1" ht="15.75" x14ac:dyDescent="0.2">
      <c r="A30" s="753" t="s">
        <v>454</v>
      </c>
      <c r="B30" s="280"/>
      <c r="C30" s="280"/>
      <c r="D30" s="166"/>
      <c r="E30" s="11"/>
      <c r="F30" s="289"/>
      <c r="G30" s="289"/>
      <c r="H30" s="166"/>
      <c r="I30" s="365"/>
      <c r="J30" s="289"/>
      <c r="K30" s="289"/>
      <c r="L30" s="166"/>
      <c r="M30" s="23"/>
      <c r="N30" s="148"/>
    </row>
    <row r="31" spans="1:14" s="3" customFormat="1" ht="15.75" x14ac:dyDescent="0.2">
      <c r="A31" s="753" t="s">
        <v>455</v>
      </c>
      <c r="B31" s="280"/>
      <c r="C31" s="280"/>
      <c r="D31" s="166"/>
      <c r="E31" s="11"/>
      <c r="F31" s="289"/>
      <c r="G31" s="289"/>
      <c r="H31" s="166"/>
      <c r="I31" s="365"/>
      <c r="J31" s="289"/>
      <c r="K31" s="289"/>
      <c r="L31" s="166"/>
      <c r="M31" s="23"/>
      <c r="N31" s="148"/>
    </row>
    <row r="32" spans="1:14" ht="15.75" x14ac:dyDescent="0.2">
      <c r="A32" s="753" t="s">
        <v>456</v>
      </c>
      <c r="B32" s="280"/>
      <c r="C32" s="280"/>
      <c r="D32" s="166"/>
      <c r="E32" s="11"/>
      <c r="F32" s="289"/>
      <c r="G32" s="289"/>
      <c r="H32" s="166"/>
      <c r="I32" s="365"/>
      <c r="J32" s="289"/>
      <c r="K32" s="289"/>
      <c r="L32" s="166"/>
      <c r="M32" s="23"/>
    </row>
    <row r="33" spans="1:14" ht="15.75" x14ac:dyDescent="0.2">
      <c r="A33" s="753" t="s">
        <v>457</v>
      </c>
      <c r="B33" s="280"/>
      <c r="C33" s="280"/>
      <c r="D33" s="166"/>
      <c r="E33" s="11"/>
      <c r="F33" s="289"/>
      <c r="G33" s="289"/>
      <c r="H33" s="166"/>
      <c r="I33" s="365"/>
      <c r="J33" s="289"/>
      <c r="K33" s="289"/>
      <c r="L33" s="166"/>
      <c r="M33" s="23"/>
    </row>
    <row r="34" spans="1:14" ht="15.75" x14ac:dyDescent="0.2">
      <c r="A34" s="13" t="s">
        <v>452</v>
      </c>
      <c r="B34" s="236"/>
      <c r="C34" s="308"/>
      <c r="D34" s="171"/>
      <c r="E34" s="11"/>
      <c r="F34" s="307"/>
      <c r="G34" s="308"/>
      <c r="H34" s="171"/>
      <c r="I34" s="11"/>
      <c r="J34" s="236"/>
      <c r="K34" s="236"/>
      <c r="L34" s="373"/>
      <c r="M34" s="24"/>
    </row>
    <row r="35" spans="1:14" ht="15.75" x14ac:dyDescent="0.2">
      <c r="A35" s="13" t="s">
        <v>453</v>
      </c>
      <c r="B35" s="236"/>
      <c r="C35" s="308"/>
      <c r="D35" s="171"/>
      <c r="E35" s="11"/>
      <c r="F35" s="307"/>
      <c r="G35" s="308"/>
      <c r="H35" s="171"/>
      <c r="I35" s="11"/>
      <c r="J35" s="236"/>
      <c r="K35" s="236"/>
      <c r="L35" s="373"/>
      <c r="M35" s="24"/>
    </row>
    <row r="36" spans="1:14" ht="15.75" x14ac:dyDescent="0.2">
      <c r="A36" s="12" t="s">
        <v>287</v>
      </c>
      <c r="B36" s="236"/>
      <c r="C36" s="308"/>
      <c r="D36" s="171"/>
      <c r="E36" s="11"/>
      <c r="F36" s="318"/>
      <c r="G36" s="319"/>
      <c r="H36" s="171"/>
      <c r="I36" s="379"/>
      <c r="J36" s="236"/>
      <c r="K36" s="236"/>
      <c r="L36" s="373"/>
      <c r="M36" s="24"/>
    </row>
    <row r="37" spans="1:14" ht="15.75" x14ac:dyDescent="0.2">
      <c r="A37" s="12" t="s">
        <v>459</v>
      </c>
      <c r="B37" s="236"/>
      <c r="C37" s="308"/>
      <c r="D37" s="171"/>
      <c r="E37" s="11"/>
      <c r="F37" s="318"/>
      <c r="G37" s="320"/>
      <c r="H37" s="171"/>
      <c r="I37" s="379"/>
      <c r="J37" s="236"/>
      <c r="K37" s="236"/>
      <c r="L37" s="373"/>
      <c r="M37" s="24"/>
    </row>
    <row r="38" spans="1:14" ht="15.75" x14ac:dyDescent="0.2">
      <c r="A38" s="12" t="s">
        <v>460</v>
      </c>
      <c r="B38" s="236"/>
      <c r="C38" s="308"/>
      <c r="D38" s="171"/>
      <c r="E38" s="24"/>
      <c r="F38" s="318"/>
      <c r="G38" s="319"/>
      <c r="H38" s="171"/>
      <c r="I38" s="379"/>
      <c r="J38" s="236"/>
      <c r="K38" s="236"/>
      <c r="L38" s="373"/>
      <c r="M38" s="24"/>
    </row>
    <row r="39" spans="1:14" ht="15.75" x14ac:dyDescent="0.2">
      <c r="A39" s="18" t="s">
        <v>461</v>
      </c>
      <c r="B39" s="275"/>
      <c r="C39" s="314"/>
      <c r="D39" s="169"/>
      <c r="E39" s="36"/>
      <c r="F39" s="321"/>
      <c r="G39" s="322"/>
      <c r="H39" s="169"/>
      <c r="I39" s="36"/>
      <c r="J39" s="236"/>
      <c r="K39" s="236"/>
      <c r="L39" s="374"/>
      <c r="M39" s="36"/>
    </row>
    <row r="40" spans="1:14" ht="15.75" x14ac:dyDescent="0.25">
      <c r="A40" s="47"/>
      <c r="B40" s="253"/>
      <c r="C40" s="253"/>
      <c r="D40" s="976"/>
      <c r="E40" s="976"/>
      <c r="F40" s="976"/>
      <c r="G40" s="976"/>
      <c r="H40" s="976"/>
      <c r="I40" s="976"/>
      <c r="J40" s="976"/>
      <c r="K40" s="976"/>
      <c r="L40" s="976"/>
      <c r="M40" s="301"/>
    </row>
    <row r="41" spans="1:14" x14ac:dyDescent="0.2">
      <c r="A41" s="155"/>
    </row>
    <row r="42" spans="1:14" ht="15.75" x14ac:dyDescent="0.25">
      <c r="A42" s="147" t="s">
        <v>276</v>
      </c>
      <c r="B42" s="972"/>
      <c r="C42" s="972"/>
      <c r="D42" s="972"/>
      <c r="E42" s="298"/>
      <c r="F42" s="977"/>
      <c r="G42" s="977"/>
      <c r="H42" s="977"/>
      <c r="I42" s="301"/>
      <c r="J42" s="977"/>
      <c r="K42" s="977"/>
      <c r="L42" s="977"/>
      <c r="M42" s="301"/>
    </row>
    <row r="43" spans="1:14" ht="15.75" x14ac:dyDescent="0.25">
      <c r="A43" s="163"/>
      <c r="B43" s="302"/>
      <c r="C43" s="302"/>
      <c r="D43" s="302"/>
      <c r="E43" s="302"/>
      <c r="F43" s="301"/>
      <c r="G43" s="301"/>
      <c r="H43" s="301"/>
      <c r="I43" s="301"/>
      <c r="J43" s="301"/>
      <c r="K43" s="301"/>
      <c r="L43" s="301"/>
      <c r="M43" s="301"/>
    </row>
    <row r="44" spans="1:14" ht="15.75" x14ac:dyDescent="0.25">
      <c r="A44" s="247"/>
      <c r="B44" s="973" t="s">
        <v>0</v>
      </c>
      <c r="C44" s="974"/>
      <c r="D44" s="974"/>
      <c r="E44" s="243"/>
      <c r="F44" s="301"/>
      <c r="G44" s="301"/>
      <c r="H44" s="301"/>
      <c r="I44" s="301"/>
      <c r="J44" s="301"/>
      <c r="K44" s="301"/>
      <c r="L44" s="301"/>
      <c r="M44" s="301"/>
    </row>
    <row r="45" spans="1:14" s="3" customFormat="1" x14ac:dyDescent="0.2">
      <c r="A45" s="140"/>
      <c r="B45" s="152" t="s">
        <v>492</v>
      </c>
      <c r="C45" s="152" t="s">
        <v>493</v>
      </c>
      <c r="D45" s="162" t="s">
        <v>3</v>
      </c>
      <c r="E45" s="162" t="s">
        <v>29</v>
      </c>
      <c r="F45" s="174"/>
      <c r="G45" s="174"/>
      <c r="H45" s="173"/>
      <c r="I45" s="173"/>
      <c r="J45" s="174"/>
      <c r="K45" s="174"/>
      <c r="L45" s="173"/>
      <c r="M45" s="173"/>
      <c r="N45" s="148"/>
    </row>
    <row r="46" spans="1:14" s="3" customFormat="1" x14ac:dyDescent="0.2">
      <c r="A46" s="947"/>
      <c r="B46" s="244"/>
      <c r="C46" s="244"/>
      <c r="D46" s="245" t="s">
        <v>4</v>
      </c>
      <c r="E46" s="156" t="s">
        <v>30</v>
      </c>
      <c r="F46" s="173"/>
      <c r="G46" s="173"/>
      <c r="H46" s="173"/>
      <c r="I46" s="173"/>
      <c r="J46" s="173"/>
      <c r="K46" s="173"/>
      <c r="L46" s="173"/>
      <c r="M46" s="173"/>
      <c r="N46" s="148"/>
    </row>
    <row r="47" spans="1:14" s="3" customFormat="1" ht="15.75" x14ac:dyDescent="0.2">
      <c r="A47" s="14" t="s">
        <v>23</v>
      </c>
      <c r="B47" s="309"/>
      <c r="C47" s="310"/>
      <c r="D47" s="372"/>
      <c r="E47" s="11"/>
      <c r="F47" s="145"/>
      <c r="G47" s="33"/>
      <c r="H47" s="159"/>
      <c r="I47" s="159"/>
      <c r="J47" s="37"/>
      <c r="K47" s="37"/>
      <c r="L47" s="159"/>
      <c r="M47" s="159"/>
      <c r="N47" s="148"/>
    </row>
    <row r="48" spans="1:14" s="3" customFormat="1" ht="15.75" x14ac:dyDescent="0.2">
      <c r="A48" s="38" t="s">
        <v>462</v>
      </c>
      <c r="B48" s="280"/>
      <c r="C48" s="281"/>
      <c r="D48" s="254"/>
      <c r="E48" s="27"/>
      <c r="F48" s="145"/>
      <c r="G48" s="33"/>
      <c r="H48" s="145"/>
      <c r="I48" s="145"/>
      <c r="J48" s="33"/>
      <c r="K48" s="33"/>
      <c r="L48" s="159"/>
      <c r="M48" s="159"/>
      <c r="N48" s="148"/>
    </row>
    <row r="49" spans="1:14" s="3" customFormat="1" ht="15.75" x14ac:dyDescent="0.2">
      <c r="A49" s="38" t="s">
        <v>463</v>
      </c>
      <c r="B49" s="44"/>
      <c r="C49" s="286"/>
      <c r="D49" s="254"/>
      <c r="E49" s="27"/>
      <c r="F49" s="145"/>
      <c r="G49" s="33"/>
      <c r="H49" s="145"/>
      <c r="I49" s="145"/>
      <c r="J49" s="37"/>
      <c r="K49" s="37"/>
      <c r="L49" s="159"/>
      <c r="M49" s="159"/>
      <c r="N49" s="148"/>
    </row>
    <row r="50" spans="1:14" s="3" customFormat="1" x14ac:dyDescent="0.2">
      <c r="A50" s="295" t="s">
        <v>6</v>
      </c>
      <c r="B50" s="289"/>
      <c r="C50" s="290"/>
      <c r="D50" s="254"/>
      <c r="E50" s="23"/>
      <c r="F50" s="145"/>
      <c r="G50" s="33"/>
      <c r="H50" s="145"/>
      <c r="I50" s="145"/>
      <c r="J50" s="33"/>
      <c r="K50" s="33"/>
      <c r="L50" s="159"/>
      <c r="M50" s="159"/>
      <c r="N50" s="148"/>
    </row>
    <row r="51" spans="1:14" s="3" customFormat="1" x14ac:dyDescent="0.2">
      <c r="A51" s="295" t="s">
        <v>7</v>
      </c>
      <c r="B51" s="289"/>
      <c r="C51" s="290"/>
      <c r="D51" s="254"/>
      <c r="E51" s="23"/>
      <c r="F51" s="145"/>
      <c r="G51" s="33"/>
      <c r="H51" s="145"/>
      <c r="I51" s="145"/>
      <c r="J51" s="33"/>
      <c r="K51" s="33"/>
      <c r="L51" s="159"/>
      <c r="M51" s="159"/>
      <c r="N51" s="148"/>
    </row>
    <row r="52" spans="1:14" s="3" customFormat="1" x14ac:dyDescent="0.2">
      <c r="A52" s="295" t="s">
        <v>8</v>
      </c>
      <c r="B52" s="289"/>
      <c r="C52" s="290"/>
      <c r="D52" s="254"/>
      <c r="E52" s="23"/>
      <c r="F52" s="145"/>
      <c r="G52" s="33"/>
      <c r="H52" s="145"/>
      <c r="I52" s="145"/>
      <c r="J52" s="33"/>
      <c r="K52" s="33"/>
      <c r="L52" s="159"/>
      <c r="M52" s="159"/>
      <c r="N52" s="148"/>
    </row>
    <row r="53" spans="1:14" s="3" customFormat="1" ht="15.75" x14ac:dyDescent="0.2">
      <c r="A53" s="39" t="s">
        <v>464</v>
      </c>
      <c r="B53" s="309"/>
      <c r="C53" s="310"/>
      <c r="D53" s="373"/>
      <c r="E53" s="11"/>
      <c r="F53" s="145"/>
      <c r="G53" s="33"/>
      <c r="H53" s="145"/>
      <c r="I53" s="145"/>
      <c r="J53" s="33"/>
      <c r="K53" s="33"/>
      <c r="L53" s="159"/>
      <c r="M53" s="159"/>
      <c r="N53" s="148"/>
    </row>
    <row r="54" spans="1:14" s="3" customFormat="1" ht="15.75" x14ac:dyDescent="0.2">
      <c r="A54" s="38" t="s">
        <v>462</v>
      </c>
      <c r="B54" s="280"/>
      <c r="C54" s="281"/>
      <c r="D54" s="254"/>
      <c r="E54" s="27"/>
      <c r="F54" s="145"/>
      <c r="G54" s="33"/>
      <c r="H54" s="145"/>
      <c r="I54" s="145"/>
      <c r="J54" s="33"/>
      <c r="K54" s="33"/>
      <c r="L54" s="159"/>
      <c r="M54" s="159"/>
      <c r="N54" s="148"/>
    </row>
    <row r="55" spans="1:14" s="3" customFormat="1" ht="15.75" x14ac:dyDescent="0.2">
      <c r="A55" s="38" t="s">
        <v>463</v>
      </c>
      <c r="B55" s="280"/>
      <c r="C55" s="281"/>
      <c r="D55" s="254"/>
      <c r="E55" s="27"/>
      <c r="F55" s="145"/>
      <c r="G55" s="33"/>
      <c r="H55" s="145"/>
      <c r="I55" s="145"/>
      <c r="J55" s="33"/>
      <c r="K55" s="33"/>
      <c r="L55" s="159"/>
      <c r="M55" s="159"/>
      <c r="N55" s="148"/>
    </row>
    <row r="56" spans="1:14" s="3" customFormat="1" ht="15.75" x14ac:dyDescent="0.2">
      <c r="A56" s="39" t="s">
        <v>465</v>
      </c>
      <c r="B56" s="309"/>
      <c r="C56" s="310"/>
      <c r="D56" s="373"/>
      <c r="E56" s="11"/>
      <c r="F56" s="145"/>
      <c r="G56" s="33"/>
      <c r="H56" s="145"/>
      <c r="I56" s="145"/>
      <c r="J56" s="33"/>
      <c r="K56" s="33"/>
      <c r="L56" s="159"/>
      <c r="M56" s="159"/>
      <c r="N56" s="148"/>
    </row>
    <row r="57" spans="1:14" s="3" customFormat="1" ht="15.75" x14ac:dyDescent="0.2">
      <c r="A57" s="38" t="s">
        <v>462</v>
      </c>
      <c r="B57" s="280"/>
      <c r="C57" s="281"/>
      <c r="D57" s="254"/>
      <c r="E57" s="27"/>
      <c r="F57" s="145"/>
      <c r="G57" s="33"/>
      <c r="H57" s="145"/>
      <c r="I57" s="145"/>
      <c r="J57" s="33"/>
      <c r="K57" s="33"/>
      <c r="L57" s="159"/>
      <c r="M57" s="159"/>
      <c r="N57" s="148"/>
    </row>
    <row r="58" spans="1:14" s="3" customFormat="1" ht="15.75" x14ac:dyDescent="0.2">
      <c r="A58" s="46" t="s">
        <v>463</v>
      </c>
      <c r="B58" s="282"/>
      <c r="C58" s="283"/>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975"/>
      <c r="C62" s="975"/>
      <c r="D62" s="975"/>
      <c r="E62" s="298"/>
      <c r="F62" s="975"/>
      <c r="G62" s="975"/>
      <c r="H62" s="975"/>
      <c r="I62" s="298"/>
      <c r="J62" s="975"/>
      <c r="K62" s="975"/>
      <c r="L62" s="975"/>
      <c r="M62" s="298"/>
    </row>
    <row r="63" spans="1:14" x14ac:dyDescent="0.2">
      <c r="A63" s="144"/>
      <c r="B63" s="973" t="s">
        <v>0</v>
      </c>
      <c r="C63" s="974"/>
      <c r="D63" s="978"/>
      <c r="E63" s="299"/>
      <c r="F63" s="974" t="s">
        <v>1</v>
      </c>
      <c r="G63" s="974"/>
      <c r="H63" s="974"/>
      <c r="I63" s="303"/>
      <c r="J63" s="973" t="s">
        <v>2</v>
      </c>
      <c r="K63" s="974"/>
      <c r="L63" s="974"/>
      <c r="M63" s="303"/>
    </row>
    <row r="64" spans="1:14" x14ac:dyDescent="0.2">
      <c r="A64" s="140"/>
      <c r="B64" s="152" t="s">
        <v>492</v>
      </c>
      <c r="C64" s="152" t="s">
        <v>493</v>
      </c>
      <c r="D64" s="245" t="s">
        <v>3</v>
      </c>
      <c r="E64" s="304" t="s">
        <v>29</v>
      </c>
      <c r="F64" s="152" t="s">
        <v>492</v>
      </c>
      <c r="G64" s="152" t="s">
        <v>493</v>
      </c>
      <c r="H64" s="245" t="s">
        <v>3</v>
      </c>
      <c r="I64" s="304" t="s">
        <v>29</v>
      </c>
      <c r="J64" s="152" t="s">
        <v>492</v>
      </c>
      <c r="K64" s="152" t="s">
        <v>493</v>
      </c>
      <c r="L64" s="245" t="s">
        <v>3</v>
      </c>
      <c r="M64" s="162" t="s">
        <v>29</v>
      </c>
    </row>
    <row r="65" spans="1:14" x14ac:dyDescent="0.2">
      <c r="A65" s="947"/>
      <c r="B65" s="156"/>
      <c r="C65" s="156"/>
      <c r="D65" s="246" t="s">
        <v>4</v>
      </c>
      <c r="E65" s="156" t="s">
        <v>30</v>
      </c>
      <c r="F65" s="161"/>
      <c r="G65" s="161"/>
      <c r="H65" s="245" t="s">
        <v>4</v>
      </c>
      <c r="I65" s="156" t="s">
        <v>30</v>
      </c>
      <c r="J65" s="161"/>
      <c r="K65" s="206"/>
      <c r="L65" s="156" t="s">
        <v>4</v>
      </c>
      <c r="M65" s="156" t="s">
        <v>30</v>
      </c>
    </row>
    <row r="66" spans="1:14" ht="15.75" x14ac:dyDescent="0.2">
      <c r="A66" s="14" t="s">
        <v>23</v>
      </c>
      <c r="B66" s="352"/>
      <c r="C66" s="352"/>
      <c r="D66" s="349"/>
      <c r="E66" s="11"/>
      <c r="F66" s="351"/>
      <c r="G66" s="351"/>
      <c r="H66" s="349"/>
      <c r="I66" s="11"/>
      <c r="J66" s="308"/>
      <c r="K66" s="315"/>
      <c r="L66" s="373"/>
      <c r="M66" s="11"/>
    </row>
    <row r="67" spans="1:14" x14ac:dyDescent="0.2">
      <c r="A67" s="367" t="s">
        <v>9</v>
      </c>
      <c r="B67" s="44"/>
      <c r="C67" s="145"/>
      <c r="D67" s="166"/>
      <c r="E67" s="27"/>
      <c r="F67" s="234"/>
      <c r="G67" s="145"/>
      <c r="H67" s="166"/>
      <c r="I67" s="27"/>
      <c r="J67" s="286"/>
      <c r="K67" s="44"/>
      <c r="L67" s="254"/>
      <c r="M67" s="27"/>
    </row>
    <row r="68" spans="1:14" x14ac:dyDescent="0.2">
      <c r="A68" s="21" t="s">
        <v>10</v>
      </c>
      <c r="B68" s="291"/>
      <c r="C68" s="292"/>
      <c r="D68" s="166"/>
      <c r="E68" s="27"/>
      <c r="F68" s="291"/>
      <c r="G68" s="292"/>
      <c r="H68" s="166"/>
      <c r="I68" s="27"/>
      <c r="J68" s="286"/>
      <c r="K68" s="44"/>
      <c r="L68" s="254"/>
      <c r="M68" s="27"/>
    </row>
    <row r="69" spans="1:14" ht="15.75" x14ac:dyDescent="0.2">
      <c r="A69" s="295" t="s">
        <v>466</v>
      </c>
      <c r="B69" s="280"/>
      <c r="C69" s="280"/>
      <c r="D69" s="166"/>
      <c r="E69" s="365"/>
      <c r="F69" s="280"/>
      <c r="G69" s="280"/>
      <c r="H69" s="166"/>
      <c r="I69" s="365"/>
      <c r="J69" s="289"/>
      <c r="K69" s="289"/>
      <c r="L69" s="166"/>
      <c r="M69" s="23"/>
    </row>
    <row r="70" spans="1:14" x14ac:dyDescent="0.2">
      <c r="A70" s="295" t="s">
        <v>12</v>
      </c>
      <c r="B70" s="293"/>
      <c r="C70" s="294"/>
      <c r="D70" s="166"/>
      <c r="E70" s="365"/>
      <c r="F70" s="280"/>
      <c r="G70" s="280"/>
      <c r="H70" s="166"/>
      <c r="I70" s="365"/>
      <c r="J70" s="289"/>
      <c r="K70" s="289"/>
      <c r="L70" s="166"/>
      <c r="M70" s="23"/>
    </row>
    <row r="71" spans="1:14" x14ac:dyDescent="0.2">
      <c r="A71" s="295" t="s">
        <v>13</v>
      </c>
      <c r="B71" s="235"/>
      <c r="C71" s="288"/>
      <c r="D71" s="166"/>
      <c r="E71" s="365"/>
      <c r="F71" s="280"/>
      <c r="G71" s="280"/>
      <c r="H71" s="166"/>
      <c r="I71" s="365"/>
      <c r="J71" s="289"/>
      <c r="K71" s="289"/>
      <c r="L71" s="166"/>
      <c r="M71" s="23"/>
    </row>
    <row r="72" spans="1:14" ht="15.75" x14ac:dyDescent="0.2">
      <c r="A72" s="295" t="s">
        <v>467</v>
      </c>
      <c r="B72" s="280"/>
      <c r="C72" s="280"/>
      <c r="D72" s="166"/>
      <c r="E72" s="365"/>
      <c r="F72" s="280"/>
      <c r="G72" s="280"/>
      <c r="H72" s="166"/>
      <c r="I72" s="365"/>
      <c r="J72" s="289"/>
      <c r="K72" s="289"/>
      <c r="L72" s="166"/>
      <c r="M72" s="23"/>
    </row>
    <row r="73" spans="1:14" x14ac:dyDescent="0.2">
      <c r="A73" s="295" t="s">
        <v>12</v>
      </c>
      <c r="B73" s="235"/>
      <c r="C73" s="288"/>
      <c r="D73" s="166"/>
      <c r="E73" s="365"/>
      <c r="F73" s="280"/>
      <c r="G73" s="280"/>
      <c r="H73" s="166"/>
      <c r="I73" s="365"/>
      <c r="J73" s="289"/>
      <c r="K73" s="289"/>
      <c r="L73" s="166"/>
      <c r="M73" s="23"/>
    </row>
    <row r="74" spans="1:14" s="3" customFormat="1" x14ac:dyDescent="0.2">
      <c r="A74" s="295" t="s">
        <v>13</v>
      </c>
      <c r="B74" s="235"/>
      <c r="C74" s="288"/>
      <c r="D74" s="166"/>
      <c r="E74" s="365"/>
      <c r="F74" s="280"/>
      <c r="G74" s="280"/>
      <c r="H74" s="166"/>
      <c r="I74" s="365"/>
      <c r="J74" s="289"/>
      <c r="K74" s="289"/>
      <c r="L74" s="166"/>
      <c r="M74" s="23"/>
      <c r="N74" s="148"/>
    </row>
    <row r="75" spans="1:14" s="3" customFormat="1" x14ac:dyDescent="0.2">
      <c r="A75" s="21" t="s">
        <v>353</v>
      </c>
      <c r="B75" s="234"/>
      <c r="C75" s="145"/>
      <c r="D75" s="166"/>
      <c r="E75" s="27"/>
      <c r="F75" s="234"/>
      <c r="G75" s="145"/>
      <c r="H75" s="166"/>
      <c r="I75" s="27"/>
      <c r="J75" s="286"/>
      <c r="K75" s="44"/>
      <c r="L75" s="254"/>
      <c r="M75" s="27"/>
      <c r="N75" s="148"/>
    </row>
    <row r="76" spans="1:14" s="3" customFormat="1" x14ac:dyDescent="0.2">
      <c r="A76" s="21" t="s">
        <v>352</v>
      </c>
      <c r="B76" s="234"/>
      <c r="C76" s="145"/>
      <c r="D76" s="166"/>
      <c r="E76" s="27"/>
      <c r="F76" s="234"/>
      <c r="G76" s="145"/>
      <c r="H76" s="166"/>
      <c r="I76" s="27"/>
      <c r="J76" s="286"/>
      <c r="K76" s="44"/>
      <c r="L76" s="254"/>
      <c r="M76" s="27"/>
      <c r="N76" s="148"/>
    </row>
    <row r="77" spans="1:14" ht="15.75" x14ac:dyDescent="0.2">
      <c r="A77" s="21" t="s">
        <v>468</v>
      </c>
      <c r="B77" s="234"/>
      <c r="C77" s="234"/>
      <c r="D77" s="166"/>
      <c r="E77" s="27"/>
      <c r="F77" s="234"/>
      <c r="G77" s="145"/>
      <c r="H77" s="166"/>
      <c r="I77" s="27"/>
      <c r="J77" s="286"/>
      <c r="K77" s="44"/>
      <c r="L77" s="254"/>
      <c r="M77" s="27"/>
    </row>
    <row r="78" spans="1:14" x14ac:dyDescent="0.2">
      <c r="A78" s="21" t="s">
        <v>9</v>
      </c>
      <c r="B78" s="234"/>
      <c r="C78" s="145"/>
      <c r="D78" s="166"/>
      <c r="E78" s="27"/>
      <c r="F78" s="234"/>
      <c r="G78" s="145"/>
      <c r="H78" s="166"/>
      <c r="I78" s="27"/>
      <c r="J78" s="286"/>
      <c r="K78" s="44"/>
      <c r="L78" s="254"/>
      <c r="M78" s="27"/>
    </row>
    <row r="79" spans="1:14" x14ac:dyDescent="0.2">
      <c r="A79" s="21" t="s">
        <v>10</v>
      </c>
      <c r="B79" s="291"/>
      <c r="C79" s="292"/>
      <c r="D79" s="166"/>
      <c r="E79" s="27"/>
      <c r="F79" s="291"/>
      <c r="G79" s="292"/>
      <c r="H79" s="166"/>
      <c r="I79" s="27"/>
      <c r="J79" s="286"/>
      <c r="K79" s="44"/>
      <c r="L79" s="254"/>
      <c r="M79" s="27"/>
    </row>
    <row r="80" spans="1:14" ht="15.75" x14ac:dyDescent="0.2">
      <c r="A80" s="295" t="s">
        <v>466</v>
      </c>
      <c r="B80" s="280"/>
      <c r="C80" s="280"/>
      <c r="D80" s="166"/>
      <c r="E80" s="365"/>
      <c r="F80" s="280"/>
      <c r="G80" s="280"/>
      <c r="H80" s="166"/>
      <c r="I80" s="365"/>
      <c r="J80" s="289"/>
      <c r="K80" s="289"/>
      <c r="L80" s="166"/>
      <c r="M80" s="23"/>
    </row>
    <row r="81" spans="1:13" x14ac:dyDescent="0.2">
      <c r="A81" s="295" t="s">
        <v>12</v>
      </c>
      <c r="B81" s="235"/>
      <c r="C81" s="288"/>
      <c r="D81" s="166"/>
      <c r="E81" s="365"/>
      <c r="F81" s="280"/>
      <c r="G81" s="280"/>
      <c r="H81" s="166"/>
      <c r="I81" s="365"/>
      <c r="J81" s="289"/>
      <c r="K81" s="289"/>
      <c r="L81" s="166"/>
      <c r="M81" s="23"/>
    </row>
    <row r="82" spans="1:13" x14ac:dyDescent="0.2">
      <c r="A82" s="295" t="s">
        <v>13</v>
      </c>
      <c r="B82" s="235"/>
      <c r="C82" s="288"/>
      <c r="D82" s="166"/>
      <c r="E82" s="365"/>
      <c r="F82" s="280"/>
      <c r="G82" s="280"/>
      <c r="H82" s="166"/>
      <c r="I82" s="365"/>
      <c r="J82" s="289"/>
      <c r="K82" s="289"/>
      <c r="L82" s="166"/>
      <c r="M82" s="23"/>
    </row>
    <row r="83" spans="1:13" ht="15.75" x14ac:dyDescent="0.2">
      <c r="A83" s="295" t="s">
        <v>467</v>
      </c>
      <c r="B83" s="280"/>
      <c r="C83" s="280"/>
      <c r="D83" s="166"/>
      <c r="E83" s="365"/>
      <c r="F83" s="280"/>
      <c r="G83" s="280"/>
      <c r="H83" s="166"/>
      <c r="I83" s="365"/>
      <c r="J83" s="289"/>
      <c r="K83" s="289"/>
      <c r="L83" s="166"/>
      <c r="M83" s="23"/>
    </row>
    <row r="84" spans="1:13" x14ac:dyDescent="0.2">
      <c r="A84" s="295" t="s">
        <v>12</v>
      </c>
      <c r="B84" s="235"/>
      <c r="C84" s="288"/>
      <c r="D84" s="166"/>
      <c r="E84" s="365"/>
      <c r="F84" s="280"/>
      <c r="G84" s="280"/>
      <c r="H84" s="166"/>
      <c r="I84" s="365"/>
      <c r="J84" s="289"/>
      <c r="K84" s="289"/>
      <c r="L84" s="166"/>
      <c r="M84" s="23"/>
    </row>
    <row r="85" spans="1:13" x14ac:dyDescent="0.2">
      <c r="A85" s="295" t="s">
        <v>13</v>
      </c>
      <c r="B85" s="235"/>
      <c r="C85" s="288"/>
      <c r="D85" s="166"/>
      <c r="E85" s="365"/>
      <c r="F85" s="280"/>
      <c r="G85" s="280"/>
      <c r="H85" s="166"/>
      <c r="I85" s="365"/>
      <c r="J85" s="289"/>
      <c r="K85" s="289"/>
      <c r="L85" s="166"/>
      <c r="M85" s="23"/>
    </row>
    <row r="86" spans="1:13" ht="15.75" x14ac:dyDescent="0.2">
      <c r="A86" s="21" t="s">
        <v>469</v>
      </c>
      <c r="B86" s="234"/>
      <c r="C86" s="145"/>
      <c r="D86" s="166"/>
      <c r="E86" s="27"/>
      <c r="F86" s="234"/>
      <c r="G86" s="145"/>
      <c r="H86" s="166"/>
      <c r="I86" s="27"/>
      <c r="J86" s="286"/>
      <c r="K86" s="44"/>
      <c r="L86" s="254"/>
      <c r="M86" s="27"/>
    </row>
    <row r="87" spans="1:13" ht="15.75" x14ac:dyDescent="0.2">
      <c r="A87" s="13" t="s">
        <v>451</v>
      </c>
      <c r="B87" s="352"/>
      <c r="C87" s="352"/>
      <c r="D87" s="171"/>
      <c r="E87" s="11"/>
      <c r="F87" s="351"/>
      <c r="G87" s="351"/>
      <c r="H87" s="171"/>
      <c r="I87" s="11"/>
      <c r="J87" s="308"/>
      <c r="K87" s="236"/>
      <c r="L87" s="373"/>
      <c r="M87" s="11"/>
    </row>
    <row r="88" spans="1:13" x14ac:dyDescent="0.2">
      <c r="A88" s="21" t="s">
        <v>9</v>
      </c>
      <c r="B88" s="234"/>
      <c r="C88" s="145"/>
      <c r="D88" s="166"/>
      <c r="E88" s="27"/>
      <c r="F88" s="234"/>
      <c r="G88" s="145"/>
      <c r="H88" s="166"/>
      <c r="I88" s="27"/>
      <c r="J88" s="286"/>
      <c r="K88" s="44"/>
      <c r="L88" s="254"/>
      <c r="M88" s="27"/>
    </row>
    <row r="89" spans="1:13" x14ac:dyDescent="0.2">
      <c r="A89" s="21" t="s">
        <v>10</v>
      </c>
      <c r="B89" s="234"/>
      <c r="C89" s="145"/>
      <c r="D89" s="166"/>
      <c r="E89" s="27"/>
      <c r="F89" s="234"/>
      <c r="G89" s="145"/>
      <c r="H89" s="166"/>
      <c r="I89" s="27"/>
      <c r="J89" s="286"/>
      <c r="K89" s="44"/>
      <c r="L89" s="254"/>
      <c r="M89" s="27"/>
    </row>
    <row r="90" spans="1:13" ht="15.75" x14ac:dyDescent="0.2">
      <c r="A90" s="295" t="s">
        <v>466</v>
      </c>
      <c r="B90" s="280"/>
      <c r="C90" s="280"/>
      <c r="D90" s="166"/>
      <c r="E90" s="365"/>
      <c r="F90" s="280"/>
      <c r="G90" s="280"/>
      <c r="H90" s="166"/>
      <c r="I90" s="365"/>
      <c r="J90" s="289"/>
      <c r="K90" s="289"/>
      <c r="L90" s="166"/>
      <c r="M90" s="23"/>
    </row>
    <row r="91" spans="1:13" x14ac:dyDescent="0.2">
      <c r="A91" s="295" t="s">
        <v>12</v>
      </c>
      <c r="B91" s="235"/>
      <c r="C91" s="288"/>
      <c r="D91" s="166"/>
      <c r="E91" s="365"/>
      <c r="F91" s="280"/>
      <c r="G91" s="280"/>
      <c r="H91" s="166"/>
      <c r="I91" s="365"/>
      <c r="J91" s="289"/>
      <c r="K91" s="289"/>
      <c r="L91" s="166"/>
      <c r="M91" s="23"/>
    </row>
    <row r="92" spans="1:13" x14ac:dyDescent="0.2">
      <c r="A92" s="295" t="s">
        <v>13</v>
      </c>
      <c r="B92" s="235"/>
      <c r="C92" s="288"/>
      <c r="D92" s="166"/>
      <c r="E92" s="365"/>
      <c r="F92" s="280"/>
      <c r="G92" s="280"/>
      <c r="H92" s="166"/>
      <c r="I92" s="365"/>
      <c r="J92" s="289"/>
      <c r="K92" s="289"/>
      <c r="L92" s="166"/>
      <c r="M92" s="23"/>
    </row>
    <row r="93" spans="1:13" ht="15.75" x14ac:dyDescent="0.2">
      <c r="A93" s="295" t="s">
        <v>467</v>
      </c>
      <c r="B93" s="280"/>
      <c r="C93" s="280"/>
      <c r="D93" s="166"/>
      <c r="E93" s="365"/>
      <c r="F93" s="280"/>
      <c r="G93" s="280"/>
      <c r="H93" s="166"/>
      <c r="I93" s="365"/>
      <c r="J93" s="289"/>
      <c r="K93" s="289"/>
      <c r="L93" s="166"/>
      <c r="M93" s="23"/>
    </row>
    <row r="94" spans="1:13" x14ac:dyDescent="0.2">
      <c r="A94" s="295" t="s">
        <v>12</v>
      </c>
      <c r="B94" s="235"/>
      <c r="C94" s="288"/>
      <c r="D94" s="166"/>
      <c r="E94" s="365"/>
      <c r="F94" s="280"/>
      <c r="G94" s="280"/>
      <c r="H94" s="166"/>
      <c r="I94" s="365"/>
      <c r="J94" s="289"/>
      <c r="K94" s="289"/>
      <c r="L94" s="166"/>
      <c r="M94" s="23"/>
    </row>
    <row r="95" spans="1:13" x14ac:dyDescent="0.2">
      <c r="A95" s="295" t="s">
        <v>13</v>
      </c>
      <c r="B95" s="235"/>
      <c r="C95" s="288"/>
      <c r="D95" s="166"/>
      <c r="E95" s="365"/>
      <c r="F95" s="280"/>
      <c r="G95" s="280"/>
      <c r="H95" s="166"/>
      <c r="I95" s="365"/>
      <c r="J95" s="289"/>
      <c r="K95" s="289"/>
      <c r="L95" s="166"/>
      <c r="M95" s="23"/>
    </row>
    <row r="96" spans="1:13" x14ac:dyDescent="0.2">
      <c r="A96" s="21" t="s">
        <v>351</v>
      </c>
      <c r="B96" s="234"/>
      <c r="C96" s="145"/>
      <c r="D96" s="166"/>
      <c r="E96" s="27"/>
      <c r="F96" s="234"/>
      <c r="G96" s="145"/>
      <c r="H96" s="166"/>
      <c r="I96" s="27"/>
      <c r="J96" s="286"/>
      <c r="K96" s="44"/>
      <c r="L96" s="254"/>
      <c r="M96" s="27"/>
    </row>
    <row r="97" spans="1:13" x14ac:dyDescent="0.2">
      <c r="A97" s="21" t="s">
        <v>350</v>
      </c>
      <c r="B97" s="234"/>
      <c r="C97" s="145"/>
      <c r="D97" s="166"/>
      <c r="E97" s="27"/>
      <c r="F97" s="234"/>
      <c r="G97" s="145"/>
      <c r="H97" s="166"/>
      <c r="I97" s="27"/>
      <c r="J97" s="286"/>
      <c r="K97" s="44"/>
      <c r="L97" s="254"/>
      <c r="M97" s="27"/>
    </row>
    <row r="98" spans="1:13" ht="15.75" x14ac:dyDescent="0.2">
      <c r="A98" s="21" t="s">
        <v>468</v>
      </c>
      <c r="B98" s="234"/>
      <c r="C98" s="234"/>
      <c r="D98" s="166"/>
      <c r="E98" s="27"/>
      <c r="F98" s="291"/>
      <c r="G98" s="291"/>
      <c r="H98" s="166"/>
      <c r="I98" s="27"/>
      <c r="J98" s="286"/>
      <c r="K98" s="44"/>
      <c r="L98" s="254"/>
      <c r="M98" s="27"/>
    </row>
    <row r="99" spans="1:13" x14ac:dyDescent="0.2">
      <c r="A99" s="21" t="s">
        <v>9</v>
      </c>
      <c r="B99" s="291"/>
      <c r="C99" s="292"/>
      <c r="D99" s="166"/>
      <c r="E99" s="27"/>
      <c r="F99" s="234"/>
      <c r="G99" s="145"/>
      <c r="H99" s="166"/>
      <c r="I99" s="27"/>
      <c r="J99" s="286"/>
      <c r="K99" s="44"/>
      <c r="L99" s="254"/>
      <c r="M99" s="27"/>
    </row>
    <row r="100" spans="1:13" x14ac:dyDescent="0.2">
      <c r="A100" s="21" t="s">
        <v>10</v>
      </c>
      <c r="B100" s="291"/>
      <c r="C100" s="292"/>
      <c r="D100" s="166"/>
      <c r="E100" s="27"/>
      <c r="F100" s="234"/>
      <c r="G100" s="234"/>
      <c r="H100" s="166"/>
      <c r="I100" s="27"/>
      <c r="J100" s="286"/>
      <c r="K100" s="44"/>
      <c r="L100" s="254"/>
      <c r="M100" s="27"/>
    </row>
    <row r="101" spans="1:13" ht="15.75" x14ac:dyDescent="0.2">
      <c r="A101" s="295" t="s">
        <v>466</v>
      </c>
      <c r="B101" s="280"/>
      <c r="C101" s="280"/>
      <c r="D101" s="166"/>
      <c r="E101" s="365"/>
      <c r="F101" s="280"/>
      <c r="G101" s="280"/>
      <c r="H101" s="166"/>
      <c r="I101" s="365"/>
      <c r="J101" s="289"/>
      <c r="K101" s="289"/>
      <c r="L101" s="166"/>
      <c r="M101" s="23"/>
    </row>
    <row r="102" spans="1:13" x14ac:dyDescent="0.2">
      <c r="A102" s="295" t="s">
        <v>12</v>
      </c>
      <c r="B102" s="235"/>
      <c r="C102" s="288"/>
      <c r="D102" s="166"/>
      <c r="E102" s="365"/>
      <c r="F102" s="280"/>
      <c r="G102" s="280"/>
      <c r="H102" s="166"/>
      <c r="I102" s="365"/>
      <c r="J102" s="289"/>
      <c r="K102" s="289"/>
      <c r="L102" s="166"/>
      <c r="M102" s="23"/>
    </row>
    <row r="103" spans="1:13" x14ac:dyDescent="0.2">
      <c r="A103" s="295" t="s">
        <v>13</v>
      </c>
      <c r="B103" s="235"/>
      <c r="C103" s="288"/>
      <c r="D103" s="166"/>
      <c r="E103" s="365"/>
      <c r="F103" s="280"/>
      <c r="G103" s="280"/>
      <c r="H103" s="166"/>
      <c r="I103" s="365"/>
      <c r="J103" s="289"/>
      <c r="K103" s="289"/>
      <c r="L103" s="166"/>
      <c r="M103" s="23"/>
    </row>
    <row r="104" spans="1:13" ht="15.75" x14ac:dyDescent="0.2">
      <c r="A104" s="295" t="s">
        <v>467</v>
      </c>
      <c r="B104" s="280"/>
      <c r="C104" s="280"/>
      <c r="D104" s="166"/>
      <c r="E104" s="365"/>
      <c r="F104" s="280"/>
      <c r="G104" s="280"/>
      <c r="H104" s="166"/>
      <c r="I104" s="365"/>
      <c r="J104" s="289"/>
      <c r="K104" s="289"/>
      <c r="L104" s="166"/>
      <c r="M104" s="23"/>
    </row>
    <row r="105" spans="1:13" x14ac:dyDescent="0.2">
      <c r="A105" s="295" t="s">
        <v>12</v>
      </c>
      <c r="B105" s="235"/>
      <c r="C105" s="288"/>
      <c r="D105" s="166"/>
      <c r="E105" s="365"/>
      <c r="F105" s="280"/>
      <c r="G105" s="280"/>
      <c r="H105" s="166"/>
      <c r="I105" s="365"/>
      <c r="J105" s="289"/>
      <c r="K105" s="289"/>
      <c r="L105" s="166"/>
      <c r="M105" s="23"/>
    </row>
    <row r="106" spans="1:13" x14ac:dyDescent="0.2">
      <c r="A106" s="295" t="s">
        <v>13</v>
      </c>
      <c r="B106" s="235"/>
      <c r="C106" s="288"/>
      <c r="D106" s="166"/>
      <c r="E106" s="365"/>
      <c r="F106" s="280"/>
      <c r="G106" s="280"/>
      <c r="H106" s="166"/>
      <c r="I106" s="365"/>
      <c r="J106" s="289"/>
      <c r="K106" s="289"/>
      <c r="L106" s="166"/>
      <c r="M106" s="23"/>
    </row>
    <row r="107" spans="1:13" ht="15.75" x14ac:dyDescent="0.2">
      <c r="A107" s="21" t="s">
        <v>469</v>
      </c>
      <c r="B107" s="234"/>
      <c r="C107" s="145"/>
      <c r="D107" s="166"/>
      <c r="E107" s="27"/>
      <c r="F107" s="234"/>
      <c r="G107" s="145"/>
      <c r="H107" s="166"/>
      <c r="I107" s="27"/>
      <c r="J107" s="286"/>
      <c r="K107" s="44"/>
      <c r="L107" s="254"/>
      <c r="M107" s="27"/>
    </row>
    <row r="108" spans="1:13" ht="15.75" x14ac:dyDescent="0.2">
      <c r="A108" s="21" t="s">
        <v>470</v>
      </c>
      <c r="B108" s="234"/>
      <c r="C108" s="234"/>
      <c r="D108" s="166"/>
      <c r="E108" s="27"/>
      <c r="F108" s="234"/>
      <c r="G108" s="234"/>
      <c r="H108" s="166"/>
      <c r="I108" s="27"/>
      <c r="J108" s="286"/>
      <c r="K108" s="44"/>
      <c r="L108" s="254"/>
      <c r="M108" s="27"/>
    </row>
    <row r="109" spans="1:13" ht="15.75" x14ac:dyDescent="0.2">
      <c r="A109" s="21" t="s">
        <v>471</v>
      </c>
      <c r="B109" s="234"/>
      <c r="C109" s="234"/>
      <c r="D109" s="166"/>
      <c r="E109" s="27"/>
      <c r="F109" s="234"/>
      <c r="G109" s="234"/>
      <c r="H109" s="166"/>
      <c r="I109" s="27"/>
      <c r="J109" s="286"/>
      <c r="K109" s="44"/>
      <c r="L109" s="254"/>
      <c r="M109" s="27"/>
    </row>
    <row r="110" spans="1:13" ht="15.75" x14ac:dyDescent="0.2">
      <c r="A110" s="21" t="s">
        <v>472</v>
      </c>
      <c r="B110" s="234"/>
      <c r="C110" s="234"/>
      <c r="D110" s="166"/>
      <c r="E110" s="27"/>
      <c r="F110" s="234"/>
      <c r="G110" s="234"/>
      <c r="H110" s="166"/>
      <c r="I110" s="27"/>
      <c r="J110" s="286"/>
      <c r="K110" s="44"/>
      <c r="L110" s="254"/>
      <c r="M110" s="27"/>
    </row>
    <row r="111" spans="1:13" ht="15.75" x14ac:dyDescent="0.2">
      <c r="A111" s="13" t="s">
        <v>452</v>
      </c>
      <c r="B111" s="307"/>
      <c r="C111" s="159"/>
      <c r="D111" s="171"/>
      <c r="E111" s="11"/>
      <c r="F111" s="307"/>
      <c r="G111" s="159"/>
      <c r="H111" s="171"/>
      <c r="I111" s="11"/>
      <c r="J111" s="308"/>
      <c r="K111" s="236"/>
      <c r="L111" s="373"/>
      <c r="M111" s="11"/>
    </row>
    <row r="112" spans="1:13" x14ac:dyDescent="0.2">
      <c r="A112" s="21" t="s">
        <v>9</v>
      </c>
      <c r="B112" s="234"/>
      <c r="C112" s="145"/>
      <c r="D112" s="166"/>
      <c r="E112" s="27"/>
      <c r="F112" s="234"/>
      <c r="G112" s="145"/>
      <c r="H112" s="166"/>
      <c r="I112" s="27"/>
      <c r="J112" s="286"/>
      <c r="K112" s="44"/>
      <c r="L112" s="254"/>
      <c r="M112" s="27"/>
    </row>
    <row r="113" spans="1:14" x14ac:dyDescent="0.2">
      <c r="A113" s="21" t="s">
        <v>10</v>
      </c>
      <c r="B113" s="234"/>
      <c r="C113" s="145"/>
      <c r="D113" s="166"/>
      <c r="E113" s="27"/>
      <c r="F113" s="234"/>
      <c r="G113" s="145"/>
      <c r="H113" s="166"/>
      <c r="I113" s="27"/>
      <c r="J113" s="286"/>
      <c r="K113" s="44"/>
      <c r="L113" s="254"/>
      <c r="M113" s="27"/>
    </row>
    <row r="114" spans="1:14" x14ac:dyDescent="0.2">
      <c r="A114" s="21" t="s">
        <v>26</v>
      </c>
      <c r="B114" s="234"/>
      <c r="C114" s="145"/>
      <c r="D114" s="166"/>
      <c r="E114" s="27"/>
      <c r="F114" s="234"/>
      <c r="G114" s="145"/>
      <c r="H114" s="166"/>
      <c r="I114" s="27"/>
      <c r="J114" s="286"/>
      <c r="K114" s="44"/>
      <c r="L114" s="254"/>
      <c r="M114" s="27"/>
    </row>
    <row r="115" spans="1:14" x14ac:dyDescent="0.2">
      <c r="A115" s="295" t="s">
        <v>15</v>
      </c>
      <c r="B115" s="280"/>
      <c r="C115" s="280"/>
      <c r="D115" s="166"/>
      <c r="E115" s="365"/>
      <c r="F115" s="280"/>
      <c r="G115" s="280"/>
      <c r="H115" s="166"/>
      <c r="I115" s="365"/>
      <c r="J115" s="289"/>
      <c r="K115" s="289"/>
      <c r="L115" s="166"/>
      <c r="M115" s="23"/>
    </row>
    <row r="116" spans="1:14" ht="15.75" x14ac:dyDescent="0.2">
      <c r="A116" s="21" t="s">
        <v>473</v>
      </c>
      <c r="B116" s="234"/>
      <c r="C116" s="234"/>
      <c r="D116" s="166"/>
      <c r="E116" s="27"/>
      <c r="F116" s="234"/>
      <c r="G116" s="234"/>
      <c r="H116" s="166"/>
      <c r="I116" s="27"/>
      <c r="J116" s="286"/>
      <c r="K116" s="44"/>
      <c r="L116" s="254"/>
      <c r="M116" s="27"/>
    </row>
    <row r="117" spans="1:14" ht="15.75" x14ac:dyDescent="0.2">
      <c r="A117" s="21" t="s">
        <v>474</v>
      </c>
      <c r="B117" s="234"/>
      <c r="C117" s="234"/>
      <c r="D117" s="166"/>
      <c r="E117" s="27"/>
      <c r="F117" s="234"/>
      <c r="G117" s="234"/>
      <c r="H117" s="166"/>
      <c r="I117" s="27"/>
      <c r="J117" s="286"/>
      <c r="K117" s="44"/>
      <c r="L117" s="254"/>
      <c r="M117" s="27"/>
    </row>
    <row r="118" spans="1:14" ht="15.75" x14ac:dyDescent="0.2">
      <c r="A118" s="21" t="s">
        <v>472</v>
      </c>
      <c r="B118" s="234"/>
      <c r="C118" s="234"/>
      <c r="D118" s="166"/>
      <c r="E118" s="27"/>
      <c r="F118" s="234"/>
      <c r="G118" s="234"/>
      <c r="H118" s="166"/>
      <c r="I118" s="27"/>
      <c r="J118" s="286"/>
      <c r="K118" s="44"/>
      <c r="L118" s="254"/>
      <c r="M118" s="27"/>
    </row>
    <row r="119" spans="1:14" ht="15.75" x14ac:dyDescent="0.2">
      <c r="A119" s="13" t="s">
        <v>453</v>
      </c>
      <c r="B119" s="307"/>
      <c r="C119" s="159"/>
      <c r="D119" s="171"/>
      <c r="E119" s="11"/>
      <c r="F119" s="307"/>
      <c r="G119" s="159"/>
      <c r="H119" s="171"/>
      <c r="I119" s="11"/>
      <c r="J119" s="308"/>
      <c r="K119" s="236"/>
      <c r="L119" s="373"/>
      <c r="M119" s="11"/>
    </row>
    <row r="120" spans="1:14" x14ac:dyDescent="0.2">
      <c r="A120" s="21" t="s">
        <v>9</v>
      </c>
      <c r="B120" s="234"/>
      <c r="C120" s="145"/>
      <c r="D120" s="166"/>
      <c r="E120" s="27"/>
      <c r="F120" s="234"/>
      <c r="G120" s="145"/>
      <c r="H120" s="166"/>
      <c r="I120" s="27"/>
      <c r="J120" s="286"/>
      <c r="K120" s="44"/>
      <c r="L120" s="254"/>
      <c r="M120" s="27"/>
    </row>
    <row r="121" spans="1:14" x14ac:dyDescent="0.2">
      <c r="A121" s="21" t="s">
        <v>10</v>
      </c>
      <c r="B121" s="234"/>
      <c r="C121" s="145"/>
      <c r="D121" s="166"/>
      <c r="E121" s="27"/>
      <c r="F121" s="234"/>
      <c r="G121" s="145"/>
      <c r="H121" s="166"/>
      <c r="I121" s="27"/>
      <c r="J121" s="286"/>
      <c r="K121" s="44"/>
      <c r="L121" s="254"/>
      <c r="M121" s="27"/>
    </row>
    <row r="122" spans="1:14" x14ac:dyDescent="0.2">
      <c r="A122" s="21" t="s">
        <v>26</v>
      </c>
      <c r="B122" s="234"/>
      <c r="C122" s="145"/>
      <c r="D122" s="166"/>
      <c r="E122" s="27"/>
      <c r="F122" s="234"/>
      <c r="G122" s="145"/>
      <c r="H122" s="166"/>
      <c r="I122" s="27"/>
      <c r="J122" s="286"/>
      <c r="K122" s="44"/>
      <c r="L122" s="254"/>
      <c r="M122" s="27"/>
    </row>
    <row r="123" spans="1:14" x14ac:dyDescent="0.2">
      <c r="A123" s="295" t="s">
        <v>14</v>
      </c>
      <c r="B123" s="280"/>
      <c r="C123" s="280"/>
      <c r="D123" s="166"/>
      <c r="E123" s="365"/>
      <c r="F123" s="280"/>
      <c r="G123" s="280"/>
      <c r="H123" s="166"/>
      <c r="I123" s="365"/>
      <c r="J123" s="289"/>
      <c r="K123" s="289"/>
      <c r="L123" s="166"/>
      <c r="M123" s="23"/>
    </row>
    <row r="124" spans="1:14" ht="15.75" x14ac:dyDescent="0.2">
      <c r="A124" s="21" t="s">
        <v>479</v>
      </c>
      <c r="B124" s="234"/>
      <c r="C124" s="234"/>
      <c r="D124" s="166"/>
      <c r="E124" s="27"/>
      <c r="F124" s="234"/>
      <c r="G124" s="234"/>
      <c r="H124" s="166"/>
      <c r="I124" s="27"/>
      <c r="J124" s="286"/>
      <c r="K124" s="44"/>
      <c r="L124" s="254"/>
      <c r="M124" s="27"/>
    </row>
    <row r="125" spans="1:14" ht="15.75" x14ac:dyDescent="0.2">
      <c r="A125" s="21" t="s">
        <v>471</v>
      </c>
      <c r="B125" s="234"/>
      <c r="C125" s="234"/>
      <c r="D125" s="166"/>
      <c r="E125" s="27"/>
      <c r="F125" s="234"/>
      <c r="G125" s="234"/>
      <c r="H125" s="166"/>
      <c r="I125" s="27"/>
      <c r="J125" s="286"/>
      <c r="K125" s="44"/>
      <c r="L125" s="254"/>
      <c r="M125" s="27"/>
    </row>
    <row r="126" spans="1:14" ht="15.75" x14ac:dyDescent="0.2">
      <c r="A126" s="10" t="s">
        <v>472</v>
      </c>
      <c r="B126" s="45"/>
      <c r="C126" s="45"/>
      <c r="D126" s="167"/>
      <c r="E126" s="366"/>
      <c r="F126" s="45"/>
      <c r="G126" s="45"/>
      <c r="H126" s="167"/>
      <c r="I126" s="22"/>
      <c r="J126" s="287"/>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975"/>
      <c r="C130" s="975"/>
      <c r="D130" s="975"/>
      <c r="E130" s="298"/>
      <c r="F130" s="975"/>
      <c r="G130" s="975"/>
      <c r="H130" s="975"/>
      <c r="I130" s="298"/>
      <c r="J130" s="975"/>
      <c r="K130" s="975"/>
      <c r="L130" s="975"/>
      <c r="M130" s="298"/>
    </row>
    <row r="131" spans="1:14" s="3" customFormat="1" x14ac:dyDescent="0.2">
      <c r="A131" s="144"/>
      <c r="B131" s="973" t="s">
        <v>0</v>
      </c>
      <c r="C131" s="974"/>
      <c r="D131" s="974"/>
      <c r="E131" s="300"/>
      <c r="F131" s="973" t="s">
        <v>1</v>
      </c>
      <c r="G131" s="974"/>
      <c r="H131" s="974"/>
      <c r="I131" s="303"/>
      <c r="J131" s="973" t="s">
        <v>2</v>
      </c>
      <c r="K131" s="974"/>
      <c r="L131" s="974"/>
      <c r="M131" s="303"/>
      <c r="N131" s="148"/>
    </row>
    <row r="132" spans="1:14" s="3" customFormat="1" x14ac:dyDescent="0.2">
      <c r="A132" s="140"/>
      <c r="B132" s="152" t="s">
        <v>492</v>
      </c>
      <c r="C132" s="152" t="s">
        <v>493</v>
      </c>
      <c r="D132" s="245" t="s">
        <v>3</v>
      </c>
      <c r="E132" s="304" t="s">
        <v>29</v>
      </c>
      <c r="F132" s="152" t="s">
        <v>492</v>
      </c>
      <c r="G132" s="152" t="s">
        <v>493</v>
      </c>
      <c r="H132" s="206" t="s">
        <v>3</v>
      </c>
      <c r="I132" s="162" t="s">
        <v>29</v>
      </c>
      <c r="J132" s="152" t="s">
        <v>492</v>
      </c>
      <c r="K132" s="152" t="s">
        <v>493</v>
      </c>
      <c r="L132" s="246" t="s">
        <v>3</v>
      </c>
      <c r="M132" s="162" t="s">
        <v>29</v>
      </c>
      <c r="N132" s="148"/>
    </row>
    <row r="133" spans="1:14" s="3" customFormat="1" x14ac:dyDescent="0.2">
      <c r="A133" s="947"/>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475</v>
      </c>
      <c r="B134" s="236"/>
      <c r="C134" s="308"/>
      <c r="D134" s="349"/>
      <c r="E134" s="11"/>
      <c r="F134" s="315"/>
      <c r="G134" s="316"/>
      <c r="H134" s="376"/>
      <c r="I134" s="24"/>
      <c r="J134" s="317"/>
      <c r="K134" s="317"/>
      <c r="L134" s="372"/>
      <c r="M134" s="11"/>
      <c r="N134" s="148"/>
    </row>
    <row r="135" spans="1:14" s="3" customFormat="1" ht="15.75" x14ac:dyDescent="0.2">
      <c r="A135" s="13" t="s">
        <v>480</v>
      </c>
      <c r="B135" s="236"/>
      <c r="C135" s="308"/>
      <c r="D135" s="171"/>
      <c r="E135" s="11"/>
      <c r="F135" s="236"/>
      <c r="G135" s="308"/>
      <c r="H135" s="377"/>
      <c r="I135" s="24"/>
      <c r="J135" s="307"/>
      <c r="K135" s="307"/>
      <c r="L135" s="373"/>
      <c r="M135" s="11"/>
      <c r="N135" s="148"/>
    </row>
    <row r="136" spans="1:14" s="3" customFormat="1" ht="15.75" x14ac:dyDescent="0.2">
      <c r="A136" s="13" t="s">
        <v>477</v>
      </c>
      <c r="B136" s="236"/>
      <c r="C136" s="308"/>
      <c r="D136" s="171"/>
      <c r="E136" s="11"/>
      <c r="F136" s="236"/>
      <c r="G136" s="308"/>
      <c r="H136" s="377"/>
      <c r="I136" s="24"/>
      <c r="J136" s="307"/>
      <c r="K136" s="307"/>
      <c r="L136" s="373"/>
      <c r="M136" s="11"/>
      <c r="N136" s="148"/>
    </row>
    <row r="137" spans="1:14" s="3" customFormat="1" ht="15.75" x14ac:dyDescent="0.2">
      <c r="A137" s="41" t="s">
        <v>478</v>
      </c>
      <c r="B137" s="275"/>
      <c r="C137" s="314"/>
      <c r="D137" s="169"/>
      <c r="E137" s="9"/>
      <c r="F137" s="275"/>
      <c r="G137" s="314"/>
      <c r="H137" s="378"/>
      <c r="I137" s="36"/>
      <c r="J137" s="313"/>
      <c r="K137" s="313"/>
      <c r="L137" s="374"/>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330" priority="132">
      <formula>kvartal &lt; 4</formula>
    </cfRule>
  </conditionalFormatting>
  <conditionalFormatting sqref="B69">
    <cfRule type="expression" dxfId="1329" priority="100">
      <formula>kvartal &lt; 4</formula>
    </cfRule>
  </conditionalFormatting>
  <conditionalFormatting sqref="C69">
    <cfRule type="expression" dxfId="1328" priority="99">
      <formula>kvartal &lt; 4</formula>
    </cfRule>
  </conditionalFormatting>
  <conditionalFormatting sqref="B72">
    <cfRule type="expression" dxfId="1327" priority="98">
      <formula>kvartal &lt; 4</formula>
    </cfRule>
  </conditionalFormatting>
  <conditionalFormatting sqref="C72">
    <cfRule type="expression" dxfId="1326" priority="97">
      <formula>kvartal &lt; 4</formula>
    </cfRule>
  </conditionalFormatting>
  <conditionalFormatting sqref="B80">
    <cfRule type="expression" dxfId="1325" priority="96">
      <formula>kvartal &lt; 4</formula>
    </cfRule>
  </conditionalFormatting>
  <conditionalFormatting sqref="C80">
    <cfRule type="expression" dxfId="1324" priority="95">
      <formula>kvartal &lt; 4</formula>
    </cfRule>
  </conditionalFormatting>
  <conditionalFormatting sqref="B83">
    <cfRule type="expression" dxfId="1323" priority="94">
      <formula>kvartal &lt; 4</formula>
    </cfRule>
  </conditionalFormatting>
  <conditionalFormatting sqref="C83">
    <cfRule type="expression" dxfId="1322" priority="93">
      <formula>kvartal &lt; 4</formula>
    </cfRule>
  </conditionalFormatting>
  <conditionalFormatting sqref="B90">
    <cfRule type="expression" dxfId="1321" priority="84">
      <formula>kvartal &lt; 4</formula>
    </cfRule>
  </conditionalFormatting>
  <conditionalFormatting sqref="C90">
    <cfRule type="expression" dxfId="1320" priority="83">
      <formula>kvartal &lt; 4</formula>
    </cfRule>
  </conditionalFormatting>
  <conditionalFormatting sqref="B93">
    <cfRule type="expression" dxfId="1319" priority="82">
      <formula>kvartal &lt; 4</formula>
    </cfRule>
  </conditionalFormatting>
  <conditionalFormatting sqref="C93">
    <cfRule type="expression" dxfId="1318" priority="81">
      <formula>kvartal &lt; 4</formula>
    </cfRule>
  </conditionalFormatting>
  <conditionalFormatting sqref="B101">
    <cfRule type="expression" dxfId="1317" priority="80">
      <formula>kvartal &lt; 4</formula>
    </cfRule>
  </conditionalFormatting>
  <conditionalFormatting sqref="C101">
    <cfRule type="expression" dxfId="1316" priority="79">
      <formula>kvartal &lt; 4</formula>
    </cfRule>
  </conditionalFormatting>
  <conditionalFormatting sqref="B104">
    <cfRule type="expression" dxfId="1315" priority="78">
      <formula>kvartal &lt; 4</formula>
    </cfRule>
  </conditionalFormatting>
  <conditionalFormatting sqref="C104">
    <cfRule type="expression" dxfId="1314" priority="77">
      <formula>kvartal &lt; 4</formula>
    </cfRule>
  </conditionalFormatting>
  <conditionalFormatting sqref="B115">
    <cfRule type="expression" dxfId="1313" priority="76">
      <formula>kvartal &lt; 4</formula>
    </cfRule>
  </conditionalFormatting>
  <conditionalFormatting sqref="C115">
    <cfRule type="expression" dxfId="1312" priority="75">
      <formula>kvartal &lt; 4</formula>
    </cfRule>
  </conditionalFormatting>
  <conditionalFormatting sqref="B123">
    <cfRule type="expression" dxfId="1311" priority="74">
      <formula>kvartal &lt; 4</formula>
    </cfRule>
  </conditionalFormatting>
  <conditionalFormatting sqref="C123">
    <cfRule type="expression" dxfId="1310" priority="73">
      <formula>kvartal &lt; 4</formula>
    </cfRule>
  </conditionalFormatting>
  <conditionalFormatting sqref="F70">
    <cfRule type="expression" dxfId="1309" priority="72">
      <formula>kvartal &lt; 4</formula>
    </cfRule>
  </conditionalFormatting>
  <conditionalFormatting sqref="G70">
    <cfRule type="expression" dxfId="1308" priority="71">
      <formula>kvartal &lt; 4</formula>
    </cfRule>
  </conditionalFormatting>
  <conditionalFormatting sqref="F71:G71">
    <cfRule type="expression" dxfId="1307" priority="70">
      <formula>kvartal &lt; 4</formula>
    </cfRule>
  </conditionalFormatting>
  <conditionalFormatting sqref="F73:G74">
    <cfRule type="expression" dxfId="1306" priority="69">
      <formula>kvartal &lt; 4</formula>
    </cfRule>
  </conditionalFormatting>
  <conditionalFormatting sqref="F81:G82">
    <cfRule type="expression" dxfId="1305" priority="68">
      <formula>kvartal &lt; 4</formula>
    </cfRule>
  </conditionalFormatting>
  <conditionalFormatting sqref="F84:G85">
    <cfRule type="expression" dxfId="1304" priority="67">
      <formula>kvartal &lt; 4</formula>
    </cfRule>
  </conditionalFormatting>
  <conditionalFormatting sqref="F91:G92">
    <cfRule type="expression" dxfId="1303" priority="62">
      <formula>kvartal &lt; 4</formula>
    </cfRule>
  </conditionalFormatting>
  <conditionalFormatting sqref="F94:G95">
    <cfRule type="expression" dxfId="1302" priority="61">
      <formula>kvartal &lt; 4</formula>
    </cfRule>
  </conditionalFormatting>
  <conditionalFormatting sqref="F102:G103">
    <cfRule type="expression" dxfId="1301" priority="60">
      <formula>kvartal &lt; 4</formula>
    </cfRule>
  </conditionalFormatting>
  <conditionalFormatting sqref="F105:G106">
    <cfRule type="expression" dxfId="1300" priority="59">
      <formula>kvartal &lt; 4</formula>
    </cfRule>
  </conditionalFormatting>
  <conditionalFormatting sqref="F115">
    <cfRule type="expression" dxfId="1299" priority="58">
      <formula>kvartal &lt; 4</formula>
    </cfRule>
  </conditionalFormatting>
  <conditionalFormatting sqref="G115">
    <cfRule type="expression" dxfId="1298" priority="57">
      <formula>kvartal &lt; 4</formula>
    </cfRule>
  </conditionalFormatting>
  <conditionalFormatting sqref="F123:G123">
    <cfRule type="expression" dxfId="1297" priority="56">
      <formula>kvartal &lt; 4</formula>
    </cfRule>
  </conditionalFormatting>
  <conditionalFormatting sqref="F69:G69">
    <cfRule type="expression" dxfId="1296" priority="55">
      <formula>kvartal &lt; 4</formula>
    </cfRule>
  </conditionalFormatting>
  <conditionalFormatting sqref="F72:G72">
    <cfRule type="expression" dxfId="1295" priority="54">
      <formula>kvartal &lt; 4</formula>
    </cfRule>
  </conditionalFormatting>
  <conditionalFormatting sqref="F80:G80">
    <cfRule type="expression" dxfId="1294" priority="53">
      <formula>kvartal &lt; 4</formula>
    </cfRule>
  </conditionalFormatting>
  <conditionalFormatting sqref="F83:G83">
    <cfRule type="expression" dxfId="1293" priority="52">
      <formula>kvartal &lt; 4</formula>
    </cfRule>
  </conditionalFormatting>
  <conditionalFormatting sqref="F90:G90">
    <cfRule type="expression" dxfId="1292" priority="46">
      <formula>kvartal &lt; 4</formula>
    </cfRule>
  </conditionalFormatting>
  <conditionalFormatting sqref="F93">
    <cfRule type="expression" dxfId="1291" priority="45">
      <formula>kvartal &lt; 4</formula>
    </cfRule>
  </conditionalFormatting>
  <conditionalFormatting sqref="G93">
    <cfRule type="expression" dxfId="1290" priority="44">
      <formula>kvartal &lt; 4</formula>
    </cfRule>
  </conditionalFormatting>
  <conditionalFormatting sqref="F101">
    <cfRule type="expression" dxfId="1289" priority="43">
      <formula>kvartal &lt; 4</formula>
    </cfRule>
  </conditionalFormatting>
  <conditionalFormatting sqref="G101">
    <cfRule type="expression" dxfId="1288" priority="42">
      <formula>kvartal &lt; 4</formula>
    </cfRule>
  </conditionalFormatting>
  <conditionalFormatting sqref="G104">
    <cfRule type="expression" dxfId="1287" priority="41">
      <formula>kvartal &lt; 4</formula>
    </cfRule>
  </conditionalFormatting>
  <conditionalFormatting sqref="F104">
    <cfRule type="expression" dxfId="1286" priority="40">
      <formula>kvartal &lt; 4</formula>
    </cfRule>
  </conditionalFormatting>
  <conditionalFormatting sqref="J69:K73">
    <cfRule type="expression" dxfId="1285" priority="39">
      <formula>kvartal &lt; 4</formula>
    </cfRule>
  </conditionalFormatting>
  <conditionalFormatting sqref="J74:K74">
    <cfRule type="expression" dxfId="1284" priority="38">
      <formula>kvartal &lt; 4</formula>
    </cfRule>
  </conditionalFormatting>
  <conditionalFormatting sqref="J80:K85">
    <cfRule type="expression" dxfId="1283" priority="37">
      <formula>kvartal &lt; 4</formula>
    </cfRule>
  </conditionalFormatting>
  <conditionalFormatting sqref="J90:K95">
    <cfRule type="expression" dxfId="1282" priority="34">
      <formula>kvartal &lt; 4</formula>
    </cfRule>
  </conditionalFormatting>
  <conditionalFormatting sqref="J101:K106">
    <cfRule type="expression" dxfId="1281" priority="33">
      <formula>kvartal &lt; 4</formula>
    </cfRule>
  </conditionalFormatting>
  <conditionalFormatting sqref="J115:K115">
    <cfRule type="expression" dxfId="1280" priority="32">
      <formula>kvartal &lt; 4</formula>
    </cfRule>
  </conditionalFormatting>
  <conditionalFormatting sqref="J123:K123">
    <cfRule type="expression" dxfId="1279" priority="31">
      <formula>kvartal &lt; 4</formula>
    </cfRule>
  </conditionalFormatting>
  <conditionalFormatting sqref="A50:A52">
    <cfRule type="expression" dxfId="1278" priority="12">
      <formula>kvartal &lt; 4</formula>
    </cfRule>
  </conditionalFormatting>
  <conditionalFormatting sqref="A69:A74">
    <cfRule type="expression" dxfId="1277" priority="10">
      <formula>kvartal &lt; 4</formula>
    </cfRule>
  </conditionalFormatting>
  <conditionalFormatting sqref="A80:A85">
    <cfRule type="expression" dxfId="1276" priority="9">
      <formula>kvartal &lt; 4</formula>
    </cfRule>
  </conditionalFormatting>
  <conditionalFormatting sqref="A90:A95">
    <cfRule type="expression" dxfId="1275" priority="6">
      <formula>kvartal &lt; 4</formula>
    </cfRule>
  </conditionalFormatting>
  <conditionalFormatting sqref="A101:A106">
    <cfRule type="expression" dxfId="1274" priority="5">
      <formula>kvartal &lt; 4</formula>
    </cfRule>
  </conditionalFormatting>
  <conditionalFormatting sqref="A115">
    <cfRule type="expression" dxfId="1273" priority="4">
      <formula>kvartal &lt; 4</formula>
    </cfRule>
  </conditionalFormatting>
  <conditionalFormatting sqref="A123">
    <cfRule type="expression" dxfId="1272" priority="3">
      <formula>kvartal &lt; 4</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dimension ref="A1:Q144"/>
  <sheetViews>
    <sheetView showGridLines="0" zoomScaleNormal="100" workbookViewId="0">
      <selection activeCell="A4" sqref="A4"/>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7" x14ac:dyDescent="0.2">
      <c r="A1" s="172" t="s">
        <v>139</v>
      </c>
      <c r="B1" s="945"/>
      <c r="C1" s="248" t="s">
        <v>129</v>
      </c>
      <c r="D1" s="26"/>
      <c r="E1" s="26"/>
      <c r="F1" s="26"/>
      <c r="G1" s="26"/>
      <c r="H1" s="26"/>
      <c r="I1" s="26"/>
      <c r="J1" s="26"/>
      <c r="K1" s="26"/>
      <c r="L1" s="26"/>
      <c r="M1" s="26"/>
    </row>
    <row r="2" spans="1:17" ht="15.75" x14ac:dyDescent="0.25">
      <c r="A2" s="165" t="s">
        <v>28</v>
      </c>
      <c r="B2" s="972"/>
      <c r="C2" s="972"/>
      <c r="D2" s="972"/>
      <c r="E2" s="298"/>
      <c r="F2" s="972"/>
      <c r="G2" s="972"/>
      <c r="H2" s="972"/>
      <c r="I2" s="298"/>
      <c r="J2" s="972"/>
      <c r="K2" s="972"/>
      <c r="L2" s="972"/>
      <c r="M2" s="298"/>
    </row>
    <row r="3" spans="1:17" ht="15.75" x14ac:dyDescent="0.25">
      <c r="A3" s="163"/>
      <c r="B3" s="298"/>
      <c r="C3" s="298"/>
      <c r="D3" s="298"/>
      <c r="E3" s="298"/>
      <c r="F3" s="298"/>
      <c r="G3" s="298"/>
      <c r="H3" s="298"/>
      <c r="I3" s="298"/>
      <c r="J3" s="298"/>
      <c r="K3" s="298"/>
      <c r="L3" s="298"/>
      <c r="M3" s="298"/>
    </row>
    <row r="4" spans="1:17" x14ac:dyDescent="0.2">
      <c r="A4" s="144"/>
      <c r="B4" s="973" t="s">
        <v>0</v>
      </c>
      <c r="C4" s="974"/>
      <c r="D4" s="974"/>
      <c r="E4" s="300"/>
      <c r="F4" s="973" t="s">
        <v>1</v>
      </c>
      <c r="G4" s="974"/>
      <c r="H4" s="974"/>
      <c r="I4" s="303"/>
      <c r="J4" s="973" t="s">
        <v>2</v>
      </c>
      <c r="K4" s="974"/>
      <c r="L4" s="974"/>
      <c r="M4" s="303"/>
    </row>
    <row r="5" spans="1:17" x14ac:dyDescent="0.2">
      <c r="A5" s="158"/>
      <c r="B5" s="152" t="s">
        <v>492</v>
      </c>
      <c r="C5" s="152" t="s">
        <v>493</v>
      </c>
      <c r="D5" s="245" t="s">
        <v>3</v>
      </c>
      <c r="E5" s="304" t="s">
        <v>29</v>
      </c>
      <c r="F5" s="152" t="s">
        <v>492</v>
      </c>
      <c r="G5" s="152" t="s">
        <v>493</v>
      </c>
      <c r="H5" s="245" t="s">
        <v>3</v>
      </c>
      <c r="I5" s="162" t="s">
        <v>29</v>
      </c>
      <c r="J5" s="152" t="s">
        <v>492</v>
      </c>
      <c r="K5" s="152" t="s">
        <v>493</v>
      </c>
      <c r="L5" s="245" t="s">
        <v>3</v>
      </c>
      <c r="M5" s="162" t="s">
        <v>29</v>
      </c>
    </row>
    <row r="6" spans="1:17" x14ac:dyDescent="0.2">
      <c r="A6" s="946"/>
      <c r="B6" s="156"/>
      <c r="C6" s="156"/>
      <c r="D6" s="246" t="s">
        <v>4</v>
      </c>
      <c r="E6" s="156" t="s">
        <v>30</v>
      </c>
      <c r="F6" s="161"/>
      <c r="G6" s="161"/>
      <c r="H6" s="245" t="s">
        <v>4</v>
      </c>
      <c r="I6" s="156" t="s">
        <v>30</v>
      </c>
      <c r="J6" s="161"/>
      <c r="K6" s="161"/>
      <c r="L6" s="245" t="s">
        <v>4</v>
      </c>
      <c r="M6" s="156" t="s">
        <v>30</v>
      </c>
    </row>
    <row r="7" spans="1:17" ht="15.75" x14ac:dyDescent="0.2">
      <c r="A7" s="14" t="s">
        <v>23</v>
      </c>
      <c r="B7" s="305">
        <v>180669</v>
      </c>
      <c r="C7" s="306">
        <v>194464</v>
      </c>
      <c r="D7" s="349">
        <f>IF(B7=0, "    ---- ", IF(ABS(ROUND(100/B7*C7-100,1))&lt;999,ROUND(100/B7*C7-100,1),IF(ROUND(100/B7*C7-100,1)&gt;999,999,-999)))</f>
        <v>7.6</v>
      </c>
      <c r="E7" s="11">
        <f>IFERROR(100/'Skjema total MA'!C7*C7,0)</f>
        <v>4.1355746698332752</v>
      </c>
      <c r="F7" s="305"/>
      <c r="G7" s="306"/>
      <c r="H7" s="349"/>
      <c r="I7" s="160"/>
      <c r="J7" s="307">
        <f t="shared" ref="J7:K10" si="0">SUM(B7,F7)</f>
        <v>180669</v>
      </c>
      <c r="K7" s="308">
        <f t="shared" si="0"/>
        <v>194464</v>
      </c>
      <c r="L7" s="372">
        <f>IF(J7=0, "    ---- ", IF(ABS(ROUND(100/J7*K7-100,1))&lt;999,ROUND(100/J7*K7-100,1),IF(ROUND(100/J7*K7-100,1)&gt;999,999,-999)))</f>
        <v>7.6</v>
      </c>
      <c r="M7" s="11">
        <f>IFERROR(100/'Skjema total MA'!I7*K7,0)</f>
        <v>1.2836387189220835</v>
      </c>
    </row>
    <row r="8" spans="1:17" ht="15.75" x14ac:dyDescent="0.2">
      <c r="A8" s="21" t="s">
        <v>25</v>
      </c>
      <c r="B8" s="280">
        <v>154163</v>
      </c>
      <c r="C8" s="281">
        <v>167478</v>
      </c>
      <c r="D8" s="166">
        <f t="shared" ref="D8:D10" si="1">IF(B8=0, "    ---- ", IF(ABS(ROUND(100/B8*C8-100,1))&lt;999,ROUND(100/B8*C8-100,1),IF(ROUND(100/B8*C8-100,1)&gt;999,999,-999)))</f>
        <v>8.6</v>
      </c>
      <c r="E8" s="27">
        <f>IFERROR(100/'Skjema total MA'!C8*C8,0)</f>
        <v>5.9624909138343609</v>
      </c>
      <c r="F8" s="284"/>
      <c r="G8" s="285"/>
      <c r="H8" s="166"/>
      <c r="I8" s="175"/>
      <c r="J8" s="234">
        <f t="shared" si="0"/>
        <v>154163</v>
      </c>
      <c r="K8" s="286">
        <f t="shared" si="0"/>
        <v>167478</v>
      </c>
      <c r="L8" s="166">
        <f t="shared" ref="L8:L9" si="2">IF(J8=0, "    ---- ", IF(ABS(ROUND(100/J8*K8-100,1))&lt;999,ROUND(100/J8*K8-100,1),IF(ROUND(100/J8*K8-100,1)&gt;999,999,-999)))</f>
        <v>8.6</v>
      </c>
      <c r="M8" s="27">
        <f>IFERROR(100/'Skjema total MA'!I8*K8,0)</f>
        <v>5.9624909138343609</v>
      </c>
    </row>
    <row r="9" spans="1:17" ht="15.75" x14ac:dyDescent="0.2">
      <c r="A9" s="21" t="s">
        <v>24</v>
      </c>
      <c r="B9" s="280">
        <v>26506</v>
      </c>
      <c r="C9" s="281">
        <v>26986</v>
      </c>
      <c r="D9" s="166">
        <f t="shared" si="1"/>
        <v>1.8</v>
      </c>
      <c r="E9" s="27">
        <f>IFERROR(100/'Skjema total MA'!C9*C9,0)</f>
        <v>2.7405218042376451</v>
      </c>
      <c r="F9" s="284"/>
      <c r="G9" s="285"/>
      <c r="H9" s="166"/>
      <c r="I9" s="175"/>
      <c r="J9" s="234">
        <f t="shared" si="0"/>
        <v>26506</v>
      </c>
      <c r="K9" s="286">
        <f t="shared" si="0"/>
        <v>26986</v>
      </c>
      <c r="L9" s="166">
        <f t="shared" si="2"/>
        <v>1.8</v>
      </c>
      <c r="M9" s="27">
        <f>IFERROR(100/'Skjema total MA'!I9*K9,0)</f>
        <v>2.7405218042376451</v>
      </c>
    </row>
    <row r="10" spans="1:17" ht="15.75" x14ac:dyDescent="0.2">
      <c r="A10" s="13" t="s">
        <v>451</v>
      </c>
      <c r="B10" s="309">
        <v>73912</v>
      </c>
      <c r="C10" s="310">
        <v>59343</v>
      </c>
      <c r="D10" s="171">
        <f t="shared" si="1"/>
        <v>-19.7</v>
      </c>
      <c r="E10" s="11">
        <f>IFERROR(100/'Skjema total MA'!C10*C10,0)</f>
        <v>0.28070292176791778</v>
      </c>
      <c r="F10" s="309"/>
      <c r="G10" s="310"/>
      <c r="H10" s="171"/>
      <c r="I10" s="160"/>
      <c r="J10" s="307">
        <f t="shared" si="0"/>
        <v>73912</v>
      </c>
      <c r="K10" s="308">
        <f t="shared" si="0"/>
        <v>59343</v>
      </c>
      <c r="L10" s="373">
        <f t="shared" ref="L10" si="3">IF(J10=0, "    ---- ", IF(ABS(ROUND(100/J10*K10-100,1))&lt;999,ROUND(100/J10*K10-100,1),IF(ROUND(100/J10*K10-100,1)&gt;999,999,-999)))</f>
        <v>-19.7</v>
      </c>
      <c r="M10" s="11">
        <f>IFERROR(100/'Skjema total MA'!I10*K10,0)</f>
        <v>8.0065055086735309E-2</v>
      </c>
    </row>
    <row r="11" spans="1:17" s="43" customFormat="1" ht="15.75" x14ac:dyDescent="0.2">
      <c r="A11" s="13" t="s">
        <v>452</v>
      </c>
      <c r="B11" s="309"/>
      <c r="C11" s="310"/>
      <c r="D11" s="171"/>
      <c r="E11" s="11"/>
      <c r="F11" s="309"/>
      <c r="G11" s="310"/>
      <c r="H11" s="171"/>
      <c r="I11" s="160"/>
      <c r="J11" s="307"/>
      <c r="K11" s="308"/>
      <c r="L11" s="373"/>
      <c r="M11" s="11"/>
      <c r="N11" s="143"/>
      <c r="Q11" s="143"/>
    </row>
    <row r="12" spans="1:17" s="43" customFormat="1" ht="15.75" x14ac:dyDescent="0.2">
      <c r="A12" s="41" t="s">
        <v>453</v>
      </c>
      <c r="B12" s="311"/>
      <c r="C12" s="312"/>
      <c r="D12" s="169"/>
      <c r="E12" s="36"/>
      <c r="F12" s="311"/>
      <c r="G12" s="312"/>
      <c r="H12" s="169"/>
      <c r="I12" s="169"/>
      <c r="J12" s="313"/>
      <c r="K12" s="314"/>
      <c r="L12" s="374"/>
      <c r="M12" s="36"/>
      <c r="N12" s="143"/>
    </row>
    <row r="13" spans="1:17" s="43" customFormat="1" x14ac:dyDescent="0.2">
      <c r="A13" s="168"/>
      <c r="B13" s="145"/>
      <c r="C13" s="33"/>
      <c r="D13" s="159"/>
      <c r="E13" s="159"/>
      <c r="F13" s="145"/>
      <c r="G13" s="33"/>
      <c r="H13" s="159"/>
      <c r="I13" s="159"/>
      <c r="J13" s="48"/>
      <c r="K13" s="48"/>
      <c r="L13" s="159"/>
      <c r="M13" s="159"/>
      <c r="N13" s="143"/>
    </row>
    <row r="14" spans="1:17" x14ac:dyDescent="0.2">
      <c r="A14" s="153" t="s">
        <v>278</v>
      </c>
      <c r="B14" s="26"/>
    </row>
    <row r="15" spans="1:17" x14ac:dyDescent="0.2">
      <c r="F15" s="146"/>
      <c r="G15" s="146"/>
      <c r="H15" s="146"/>
      <c r="I15" s="146"/>
      <c r="J15" s="146"/>
      <c r="K15" s="146"/>
      <c r="L15" s="146"/>
      <c r="M15" s="146"/>
    </row>
    <row r="16" spans="1:17"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975"/>
      <c r="C18" s="975"/>
      <c r="D18" s="975"/>
      <c r="E18" s="298"/>
      <c r="F18" s="975"/>
      <c r="G18" s="975"/>
      <c r="H18" s="975"/>
      <c r="I18" s="298"/>
      <c r="J18" s="975"/>
      <c r="K18" s="975"/>
      <c r="L18" s="975"/>
      <c r="M18" s="298"/>
    </row>
    <row r="19" spans="1:14" x14ac:dyDescent="0.2">
      <c r="A19" s="144"/>
      <c r="B19" s="973" t="s">
        <v>0</v>
      </c>
      <c r="C19" s="974"/>
      <c r="D19" s="974"/>
      <c r="E19" s="300"/>
      <c r="F19" s="973" t="s">
        <v>1</v>
      </c>
      <c r="G19" s="974"/>
      <c r="H19" s="974"/>
      <c r="I19" s="303"/>
      <c r="J19" s="973" t="s">
        <v>2</v>
      </c>
      <c r="K19" s="974"/>
      <c r="L19" s="974"/>
      <c r="M19" s="303"/>
    </row>
    <row r="20" spans="1:14" x14ac:dyDescent="0.2">
      <c r="A20" s="140" t="s">
        <v>5</v>
      </c>
      <c r="B20" s="152" t="s">
        <v>492</v>
      </c>
      <c r="C20" s="152" t="s">
        <v>493</v>
      </c>
      <c r="D20" s="162" t="s">
        <v>3</v>
      </c>
      <c r="E20" s="304" t="s">
        <v>29</v>
      </c>
      <c r="F20" s="152" t="s">
        <v>492</v>
      </c>
      <c r="G20" s="152" t="s">
        <v>493</v>
      </c>
      <c r="H20" s="162" t="s">
        <v>3</v>
      </c>
      <c r="I20" s="162" t="s">
        <v>29</v>
      </c>
      <c r="J20" s="152" t="s">
        <v>492</v>
      </c>
      <c r="K20" s="152" t="s">
        <v>493</v>
      </c>
      <c r="L20" s="162" t="s">
        <v>3</v>
      </c>
      <c r="M20" s="162" t="s">
        <v>29</v>
      </c>
    </row>
    <row r="21" spans="1:14" x14ac:dyDescent="0.2">
      <c r="A21" s="947"/>
      <c r="B21" s="156"/>
      <c r="C21" s="156"/>
      <c r="D21" s="246" t="s">
        <v>4</v>
      </c>
      <c r="E21" s="156" t="s">
        <v>30</v>
      </c>
      <c r="F21" s="161"/>
      <c r="G21" s="161"/>
      <c r="H21" s="245" t="s">
        <v>4</v>
      </c>
      <c r="I21" s="156" t="s">
        <v>30</v>
      </c>
      <c r="J21" s="161"/>
      <c r="K21" s="161"/>
      <c r="L21" s="156" t="s">
        <v>4</v>
      </c>
      <c r="M21" s="156" t="s">
        <v>30</v>
      </c>
    </row>
    <row r="22" spans="1:14" ht="15.75" x14ac:dyDescent="0.2">
      <c r="A22" s="14" t="s">
        <v>23</v>
      </c>
      <c r="B22" s="309">
        <v>174249</v>
      </c>
      <c r="C22" s="309">
        <v>181770</v>
      </c>
      <c r="D22" s="349">
        <f t="shared" ref="D22:D30" si="4">IF(B22=0, "    ---- ", IF(ABS(ROUND(100/B22*C22-100,1))&lt;999,ROUND(100/B22*C22-100,1),IF(ROUND(100/B22*C22-100,1)&gt;999,999,-999)))</f>
        <v>4.3</v>
      </c>
      <c r="E22" s="11">
        <f>IFERROR(100/'Skjema total MA'!C22*C22,0)</f>
        <v>10.162171869194303</v>
      </c>
      <c r="F22" s="317">
        <v>16016.5</v>
      </c>
      <c r="G22" s="317">
        <v>15640</v>
      </c>
      <c r="H22" s="349">
        <f t="shared" ref="H22:H29" si="5">IF(F22=0, "    ---- ", IF(ABS(ROUND(100/F22*G22-100,1))&lt;999,ROUND(100/F22*G22-100,1),IF(ROUND(100/F22*G22-100,1)&gt;999,999,-999)))</f>
        <v>-2.4</v>
      </c>
      <c r="I22" s="11">
        <f>IFERROR(100/'Skjema total MA'!F22*G22,0)</f>
        <v>1.1834269690398707</v>
      </c>
      <c r="J22" s="315">
        <f t="shared" ref="J22:K29" si="6">SUM(B22,F22)</f>
        <v>190265.5</v>
      </c>
      <c r="K22" s="315">
        <f t="shared" si="6"/>
        <v>197410</v>
      </c>
      <c r="L22" s="372">
        <f t="shared" ref="L22:L33" si="7">IF(J22=0, "    ---- ", IF(ABS(ROUND(100/J22*K22-100,1))&lt;999,ROUND(100/J22*K22-100,1),IF(ROUND(100/J22*K22-100,1)&gt;999,999,-999)))</f>
        <v>3.8</v>
      </c>
      <c r="M22" s="24">
        <f>IFERROR(100/'Skjema total MA'!I22*K22,0)</f>
        <v>6.347021058381106</v>
      </c>
    </row>
    <row r="23" spans="1:14" ht="15.75" x14ac:dyDescent="0.2">
      <c r="A23" s="753" t="s">
        <v>454</v>
      </c>
      <c r="B23" s="280">
        <v>173848</v>
      </c>
      <c r="C23" s="280">
        <v>181401</v>
      </c>
      <c r="D23" s="166">
        <f t="shared" si="4"/>
        <v>4.3</v>
      </c>
      <c r="E23" s="11">
        <f>IFERROR(100/'Skjema total MA'!C23*C23,0)</f>
        <v>10.779530830654446</v>
      </c>
      <c r="F23" s="289"/>
      <c r="G23" s="289"/>
      <c r="H23" s="166"/>
      <c r="I23" s="365"/>
      <c r="J23" s="289">
        <f t="shared" ref="J23:J26" si="8">SUM(B23,F23)</f>
        <v>173848</v>
      </c>
      <c r="K23" s="289">
        <f t="shared" ref="K23:K26" si="9">SUM(C23,G23)</f>
        <v>181401</v>
      </c>
      <c r="L23" s="166">
        <f t="shared" si="7"/>
        <v>4.3</v>
      </c>
      <c r="M23" s="23">
        <f>IFERROR(100/'Skjema total MA'!I23*K23,0)</f>
        <v>10.177458459982299</v>
      </c>
    </row>
    <row r="24" spans="1:14" ht="15.75" x14ac:dyDescent="0.2">
      <c r="A24" s="753" t="s">
        <v>455</v>
      </c>
      <c r="B24" s="280"/>
      <c r="C24" s="280"/>
      <c r="D24" s="166"/>
      <c r="E24" s="11"/>
      <c r="F24" s="289"/>
      <c r="G24" s="289"/>
      <c r="H24" s="166"/>
      <c r="I24" s="365"/>
      <c r="J24" s="289"/>
      <c r="K24" s="289"/>
      <c r="L24" s="166"/>
      <c r="M24" s="23"/>
    </row>
    <row r="25" spans="1:14" ht="15.75" x14ac:dyDescent="0.2">
      <c r="A25" s="753" t="s">
        <v>456</v>
      </c>
      <c r="B25" s="280">
        <v>401</v>
      </c>
      <c r="C25" s="280">
        <v>369</v>
      </c>
      <c r="D25" s="166">
        <f t="shared" si="4"/>
        <v>-8</v>
      </c>
      <c r="E25" s="11">
        <f>IFERROR(100/'Skjema total MA'!C25*C25,0)</f>
        <v>0.90924771456028397</v>
      </c>
      <c r="F25" s="289">
        <v>6043.4</v>
      </c>
      <c r="G25" s="289">
        <v>3841</v>
      </c>
      <c r="H25" s="166">
        <f t="shared" ref="H25" si="10">IF(F25=0, "    ---- ", IF(ABS(ROUND(100/F25*G25-100,1))&lt;999,ROUND(100/F25*G25-100,1),IF(ROUND(100/F25*G25-100,1)&gt;999,999,-999)))</f>
        <v>-36.4</v>
      </c>
      <c r="I25" s="365">
        <f>IFERROR(100/'Skjema total MA'!F25*G25,0)</f>
        <v>14.038671234453359</v>
      </c>
      <c r="J25" s="289">
        <f t="shared" si="8"/>
        <v>6444.4</v>
      </c>
      <c r="K25" s="289">
        <f t="shared" si="9"/>
        <v>4210</v>
      </c>
      <c r="L25" s="166">
        <f t="shared" ref="L25:L26" si="11">IF(J25=0, "    ---- ", IF(ABS(ROUND(100/J25*K25-100,1))&lt;999,ROUND(100/J25*K25-100,1),IF(ROUND(100/J25*K25-100,1)&gt;999,999,-999)))</f>
        <v>-34.700000000000003</v>
      </c>
      <c r="M25" s="23">
        <f>IFERROR(100/'Skjema total MA'!I25*K25,0)</f>
        <v>6.1963577866036923</v>
      </c>
    </row>
    <row r="26" spans="1:14" ht="15.75" x14ac:dyDescent="0.2">
      <c r="A26" s="753" t="s">
        <v>457</v>
      </c>
      <c r="B26" s="280"/>
      <c r="C26" s="280"/>
      <c r="D26" s="166"/>
      <c r="E26" s="11"/>
      <c r="F26" s="289">
        <v>9973.1</v>
      </c>
      <c r="G26" s="289">
        <v>11799</v>
      </c>
      <c r="H26" s="166">
        <f t="shared" ref="H26" si="12">IF(F26=0, "    ---- ", IF(ABS(ROUND(100/F26*G26-100,1))&lt;999,ROUND(100/F26*G26-100,1),IF(ROUND(100/F26*G26-100,1)&gt;999,999,-999)))</f>
        <v>18.3</v>
      </c>
      <c r="I26" s="365">
        <f>IFERROR(100/'Skjema total MA'!F26*G26,0)</f>
        <v>0.98778210074289308</v>
      </c>
      <c r="J26" s="289">
        <f t="shared" si="8"/>
        <v>9973.1</v>
      </c>
      <c r="K26" s="289">
        <f t="shared" si="9"/>
        <v>11799</v>
      </c>
      <c r="L26" s="166">
        <f t="shared" si="11"/>
        <v>18.3</v>
      </c>
      <c r="M26" s="23">
        <f>IFERROR(100/'Skjema total MA'!I26*K26,0)</f>
        <v>0.98778210074289308</v>
      </c>
    </row>
    <row r="27" spans="1:14" x14ac:dyDescent="0.2">
      <c r="A27" s="753" t="s">
        <v>11</v>
      </c>
      <c r="B27" s="280"/>
      <c r="C27" s="280"/>
      <c r="D27" s="166"/>
      <c r="E27" s="11"/>
      <c r="F27" s="289"/>
      <c r="G27" s="289"/>
      <c r="H27" s="166"/>
      <c r="I27" s="365"/>
      <c r="J27" s="289"/>
      <c r="K27" s="289"/>
      <c r="L27" s="166"/>
      <c r="M27" s="23"/>
    </row>
    <row r="28" spans="1:14" ht="15.75" x14ac:dyDescent="0.2">
      <c r="A28" s="49" t="s">
        <v>279</v>
      </c>
      <c r="B28" s="44">
        <v>173848</v>
      </c>
      <c r="C28" s="286">
        <v>181401</v>
      </c>
      <c r="D28" s="166">
        <f t="shared" si="4"/>
        <v>4.3</v>
      </c>
      <c r="E28" s="27">
        <f>IFERROR(100/'Skjema total MA'!C28*C28,0)</f>
        <v>9.6516385160504328</v>
      </c>
      <c r="F28" s="234"/>
      <c r="G28" s="286"/>
      <c r="H28" s="166"/>
      <c r="I28" s="27"/>
      <c r="J28" s="44">
        <f t="shared" si="6"/>
        <v>173848</v>
      </c>
      <c r="K28" s="44">
        <f t="shared" si="6"/>
        <v>181401</v>
      </c>
      <c r="L28" s="254">
        <f t="shared" si="7"/>
        <v>4.3</v>
      </c>
      <c r="M28" s="23">
        <f>IFERROR(100/'Skjema total MA'!I28*K28,0)</f>
        <v>9.6516385160504328</v>
      </c>
    </row>
    <row r="29" spans="1:14" s="3" customFormat="1" ht="15.75" x14ac:dyDescent="0.2">
      <c r="A29" s="13" t="s">
        <v>451</v>
      </c>
      <c r="B29" s="236">
        <v>543624</v>
      </c>
      <c r="C29" s="236">
        <v>621201</v>
      </c>
      <c r="D29" s="171">
        <f t="shared" si="4"/>
        <v>14.3</v>
      </c>
      <c r="E29" s="11">
        <f>IFERROR(100/'Skjema total MA'!C29*C29,0)</f>
        <v>1.3223496062262619</v>
      </c>
      <c r="F29" s="307">
        <v>135436.345</v>
      </c>
      <c r="G29" s="307">
        <v>156001</v>
      </c>
      <c r="H29" s="171">
        <f t="shared" si="5"/>
        <v>15.2</v>
      </c>
      <c r="I29" s="11">
        <f>IFERROR(100/'Skjema total MA'!F29*G29,0)</f>
        <v>0.69835577021578343</v>
      </c>
      <c r="J29" s="236">
        <f t="shared" si="6"/>
        <v>679060.34499999997</v>
      </c>
      <c r="K29" s="236">
        <f t="shared" si="6"/>
        <v>777202</v>
      </c>
      <c r="L29" s="373">
        <f t="shared" si="7"/>
        <v>14.5</v>
      </c>
      <c r="M29" s="24">
        <f>IFERROR(100/'Skjema total MA'!I29*K29,0)</f>
        <v>1.1212546006534492</v>
      </c>
      <c r="N29" s="148"/>
    </row>
    <row r="30" spans="1:14" s="3" customFormat="1" ht="15.75" x14ac:dyDescent="0.2">
      <c r="A30" s="753" t="s">
        <v>454</v>
      </c>
      <c r="B30" s="280">
        <v>542019</v>
      </c>
      <c r="C30" s="280">
        <v>619594</v>
      </c>
      <c r="D30" s="166">
        <f t="shared" si="4"/>
        <v>14.3</v>
      </c>
      <c r="E30" s="27">
        <f>IFERROR(100/'Skjema total MA'!C30*C30,0)</f>
        <v>3.5060007996298101</v>
      </c>
      <c r="F30" s="289"/>
      <c r="G30" s="289"/>
      <c r="H30" s="166"/>
      <c r="I30" s="365"/>
      <c r="J30" s="289">
        <f t="shared" ref="J30:J33" si="13">SUM(B30,F30)</f>
        <v>542019</v>
      </c>
      <c r="K30" s="289">
        <f t="shared" ref="K30:K33" si="14">SUM(C30,G30)</f>
        <v>619594</v>
      </c>
      <c r="L30" s="166">
        <f t="shared" si="7"/>
        <v>14.3</v>
      </c>
      <c r="M30" s="23">
        <f>IFERROR(100/'Skjema total MA'!I30*K30,0)</f>
        <v>2.800401292809902</v>
      </c>
      <c r="N30" s="148"/>
    </row>
    <row r="31" spans="1:14" s="3" customFormat="1" ht="15.75" x14ac:dyDescent="0.2">
      <c r="A31" s="753" t="s">
        <v>455</v>
      </c>
      <c r="B31" s="280"/>
      <c r="C31" s="280"/>
      <c r="D31" s="166"/>
      <c r="E31" s="11"/>
      <c r="F31" s="289"/>
      <c r="G31" s="289"/>
      <c r="H31" s="166"/>
      <c r="I31" s="365"/>
      <c r="J31" s="289"/>
      <c r="K31" s="289"/>
      <c r="L31" s="166"/>
      <c r="M31" s="23"/>
      <c r="N31" s="148"/>
    </row>
    <row r="32" spans="1:14" ht="15.75" x14ac:dyDescent="0.2">
      <c r="A32" s="753" t="s">
        <v>456</v>
      </c>
      <c r="B32" s="280">
        <v>1605</v>
      </c>
      <c r="C32" s="280">
        <v>1607</v>
      </c>
      <c r="D32" s="166">
        <f t="shared" ref="D32" si="15">IF(B32=0, "    ---- ", IF(ABS(ROUND(100/B32*C32-100,1))&lt;999,ROUND(100/B32*C32-100,1),IF(ROUND(100/B32*C32-100,1)&gt;999,999,-999)))</f>
        <v>0.1</v>
      </c>
      <c r="E32" s="11">
        <f>IFERROR(100/'Skjema total MA'!C32*C32,0)</f>
        <v>5.3294668443818895E-2</v>
      </c>
      <c r="F32" s="289">
        <v>114412</v>
      </c>
      <c r="G32" s="289">
        <v>116988</v>
      </c>
      <c r="H32" s="166">
        <f t="shared" ref="H32:H33" si="16">IF(F32=0, "    ---- ", IF(ABS(ROUND(100/F32*G32-100,1))&lt;999,ROUND(100/F32*G32-100,1),IF(ROUND(100/F32*G32-100,1)&gt;999,999,-999)))</f>
        <v>2.2999999999999998</v>
      </c>
      <c r="I32" s="365">
        <f>IFERROR(100/'Skjema total MA'!F32*G32,0)</f>
        <v>2.5085484209326974</v>
      </c>
      <c r="J32" s="289">
        <f t="shared" si="13"/>
        <v>116017</v>
      </c>
      <c r="K32" s="289">
        <f t="shared" si="14"/>
        <v>118595</v>
      </c>
      <c r="L32" s="166">
        <f t="shared" si="7"/>
        <v>2.2000000000000002</v>
      </c>
      <c r="M32" s="23">
        <f>IFERROR(100/'Skjema total MA'!I32*K32,0)</f>
        <v>1.5444300487455718</v>
      </c>
    </row>
    <row r="33" spans="1:14" ht="15.75" x14ac:dyDescent="0.2">
      <c r="A33" s="753" t="s">
        <v>457</v>
      </c>
      <c r="B33" s="280"/>
      <c r="C33" s="280"/>
      <c r="D33" s="166"/>
      <c r="E33" s="11"/>
      <c r="F33" s="289">
        <v>21024.345000000001</v>
      </c>
      <c r="G33" s="289">
        <v>39013</v>
      </c>
      <c r="H33" s="166">
        <f t="shared" si="16"/>
        <v>85.6</v>
      </c>
      <c r="I33" s="365">
        <f>IFERROR(100/'Skjema total MA'!F34*G33,0)</f>
        <v>55.590111052987403</v>
      </c>
      <c r="J33" s="289">
        <f t="shared" si="13"/>
        <v>21024.345000000001</v>
      </c>
      <c r="K33" s="289">
        <f t="shared" si="14"/>
        <v>39013</v>
      </c>
      <c r="L33" s="166">
        <f t="shared" si="7"/>
        <v>85.6</v>
      </c>
      <c r="M33" s="23">
        <f>IFERROR(100/'Skjema total MA'!I34*K33,0)</f>
        <v>40.32923272201365</v>
      </c>
    </row>
    <row r="34" spans="1:14" ht="15.75" x14ac:dyDescent="0.2">
      <c r="A34" s="13" t="s">
        <v>452</v>
      </c>
      <c r="B34" s="236"/>
      <c r="C34" s="308"/>
      <c r="D34" s="171"/>
      <c r="E34" s="11"/>
      <c r="F34" s="307"/>
      <c r="G34" s="308"/>
      <c r="H34" s="171"/>
      <c r="I34" s="11"/>
      <c r="J34" s="236"/>
      <c r="K34" s="236"/>
      <c r="L34" s="373"/>
      <c r="M34" s="24"/>
    </row>
    <row r="35" spans="1:14" ht="15.75" x14ac:dyDescent="0.2">
      <c r="A35" s="13" t="s">
        <v>453</v>
      </c>
      <c r="B35" s="236"/>
      <c r="C35" s="308"/>
      <c r="D35" s="171"/>
      <c r="E35" s="11"/>
      <c r="F35" s="307"/>
      <c r="G35" s="308"/>
      <c r="H35" s="171"/>
      <c r="I35" s="11"/>
      <c r="J35" s="236"/>
      <c r="K35" s="236"/>
      <c r="L35" s="373"/>
      <c r="M35" s="24"/>
    </row>
    <row r="36" spans="1:14" ht="15.75" x14ac:dyDescent="0.2">
      <c r="A36" s="12" t="s">
        <v>287</v>
      </c>
      <c r="B36" s="236"/>
      <c r="C36" s="308"/>
      <c r="D36" s="171"/>
      <c r="E36" s="11"/>
      <c r="F36" s="318"/>
      <c r="G36" s="319"/>
      <c r="H36" s="171"/>
      <c r="I36" s="379"/>
      <c r="J36" s="236"/>
      <c r="K36" s="236"/>
      <c r="L36" s="373"/>
      <c r="M36" s="24"/>
    </row>
    <row r="37" spans="1:14" ht="15.75" x14ac:dyDescent="0.2">
      <c r="A37" s="12" t="s">
        <v>459</v>
      </c>
      <c r="B37" s="236"/>
      <c r="C37" s="308"/>
      <c r="D37" s="171"/>
      <c r="E37" s="11"/>
      <c r="F37" s="318"/>
      <c r="G37" s="320"/>
      <c r="H37" s="171"/>
      <c r="I37" s="379"/>
      <c r="J37" s="236"/>
      <c r="K37" s="236"/>
      <c r="L37" s="373"/>
      <c r="M37" s="24"/>
    </row>
    <row r="38" spans="1:14" ht="15.75" x14ac:dyDescent="0.2">
      <c r="A38" s="12" t="s">
        <v>460</v>
      </c>
      <c r="B38" s="236"/>
      <c r="C38" s="308"/>
      <c r="D38" s="171"/>
      <c r="E38" s="24"/>
      <c r="F38" s="318"/>
      <c r="G38" s="319"/>
      <c r="H38" s="171"/>
      <c r="I38" s="379"/>
      <c r="J38" s="236"/>
      <c r="K38" s="236"/>
      <c r="L38" s="373"/>
      <c r="M38" s="24"/>
    </row>
    <row r="39" spans="1:14" ht="15.75" x14ac:dyDescent="0.2">
      <c r="A39" s="18" t="s">
        <v>461</v>
      </c>
      <c r="B39" s="275"/>
      <c r="C39" s="314"/>
      <c r="D39" s="169"/>
      <c r="E39" s="36"/>
      <c r="F39" s="321"/>
      <c r="G39" s="322"/>
      <c r="H39" s="169"/>
      <c r="I39" s="36"/>
      <c r="J39" s="236"/>
      <c r="K39" s="236"/>
      <c r="L39" s="374"/>
      <c r="M39" s="36"/>
    </row>
    <row r="40" spans="1:14" ht="15.75" x14ac:dyDescent="0.25">
      <c r="A40" s="47"/>
      <c r="B40" s="253"/>
      <c r="C40" s="253"/>
      <c r="D40" s="976"/>
      <c r="E40" s="976"/>
      <c r="F40" s="976"/>
      <c r="G40" s="976"/>
      <c r="H40" s="976"/>
      <c r="I40" s="976"/>
      <c r="J40" s="976"/>
      <c r="K40" s="976"/>
      <c r="L40" s="976"/>
      <c r="M40" s="301"/>
    </row>
    <row r="41" spans="1:14" x14ac:dyDescent="0.2">
      <c r="A41" s="155"/>
    </row>
    <row r="42" spans="1:14" ht="15.75" x14ac:dyDescent="0.25">
      <c r="A42" s="147" t="s">
        <v>276</v>
      </c>
      <c r="B42" s="972"/>
      <c r="C42" s="972"/>
      <c r="D42" s="972"/>
      <c r="E42" s="298"/>
      <c r="F42" s="977"/>
      <c r="G42" s="977"/>
      <c r="H42" s="977"/>
      <c r="I42" s="301"/>
      <c r="J42" s="977"/>
      <c r="K42" s="977"/>
      <c r="L42" s="977"/>
      <c r="M42" s="301"/>
    </row>
    <row r="43" spans="1:14" ht="15.75" x14ac:dyDescent="0.25">
      <c r="A43" s="163"/>
      <c r="B43" s="302"/>
      <c r="C43" s="302"/>
      <c r="D43" s="302"/>
      <c r="E43" s="302"/>
      <c r="F43" s="301"/>
      <c r="G43" s="301"/>
      <c r="H43" s="301"/>
      <c r="I43" s="301"/>
      <c r="J43" s="301"/>
      <c r="K43" s="301"/>
      <c r="L43" s="301"/>
      <c r="M43" s="301"/>
    </row>
    <row r="44" spans="1:14" ht="15.75" x14ac:dyDescent="0.25">
      <c r="A44" s="247"/>
      <c r="B44" s="973" t="s">
        <v>0</v>
      </c>
      <c r="C44" s="974"/>
      <c r="D44" s="974"/>
      <c r="E44" s="243"/>
      <c r="F44" s="301"/>
      <c r="G44" s="301"/>
      <c r="H44" s="301"/>
      <c r="I44" s="301"/>
      <c r="J44" s="301"/>
      <c r="K44" s="301"/>
      <c r="L44" s="301"/>
      <c r="M44" s="301"/>
    </row>
    <row r="45" spans="1:14" s="3" customFormat="1" x14ac:dyDescent="0.2">
      <c r="A45" s="140"/>
      <c r="B45" s="152" t="s">
        <v>492</v>
      </c>
      <c r="C45" s="152" t="s">
        <v>493</v>
      </c>
      <c r="D45" s="162" t="s">
        <v>3</v>
      </c>
      <c r="E45" s="162" t="s">
        <v>29</v>
      </c>
      <c r="F45" s="174"/>
      <c r="G45" s="174"/>
      <c r="H45" s="173"/>
      <c r="I45" s="173"/>
      <c r="J45" s="174"/>
      <c r="K45" s="174"/>
      <c r="L45" s="173"/>
      <c r="M45" s="173"/>
      <c r="N45" s="148"/>
    </row>
    <row r="46" spans="1:14" s="3" customFormat="1" x14ac:dyDescent="0.2">
      <c r="A46" s="947"/>
      <c r="B46" s="244"/>
      <c r="C46" s="244"/>
      <c r="D46" s="245" t="s">
        <v>4</v>
      </c>
      <c r="E46" s="156" t="s">
        <v>30</v>
      </c>
      <c r="F46" s="173"/>
      <c r="G46" s="173"/>
      <c r="H46" s="173"/>
      <c r="I46" s="173"/>
      <c r="J46" s="173"/>
      <c r="K46" s="173"/>
      <c r="L46" s="173"/>
      <c r="M46" s="173"/>
      <c r="N46" s="148"/>
    </row>
    <row r="47" spans="1:14" s="3" customFormat="1" ht="15.75" x14ac:dyDescent="0.2">
      <c r="A47" s="14" t="s">
        <v>23</v>
      </c>
      <c r="B47" s="309">
        <v>30456</v>
      </c>
      <c r="C47" s="310">
        <v>32245</v>
      </c>
      <c r="D47" s="372">
        <f t="shared" ref="D47:D48" si="17">IF(B47=0, "    ---- ", IF(ABS(ROUND(100/B47*C47-100,1))&lt;999,ROUND(100/B47*C47-100,1),IF(ROUND(100/B47*C47-100,1)&gt;999,999,-999)))</f>
        <v>5.9</v>
      </c>
      <c r="E47" s="11">
        <f>IFERROR(100/'Skjema total MA'!C47*C47,0)</f>
        <v>0.74502490441344182</v>
      </c>
      <c r="F47" s="145"/>
      <c r="G47" s="33"/>
      <c r="H47" s="159"/>
      <c r="I47" s="159"/>
      <c r="J47" s="37"/>
      <c r="K47" s="37"/>
      <c r="L47" s="159"/>
      <c r="M47" s="159"/>
      <c r="N47" s="148"/>
    </row>
    <row r="48" spans="1:14" s="3" customFormat="1" ht="15.75" x14ac:dyDescent="0.2">
      <c r="A48" s="38" t="s">
        <v>462</v>
      </c>
      <c r="B48" s="280">
        <v>30456</v>
      </c>
      <c r="C48" s="281">
        <v>32245</v>
      </c>
      <c r="D48" s="254">
        <f t="shared" si="17"/>
        <v>5.9</v>
      </c>
      <c r="E48" s="27">
        <f>IFERROR(100/'Skjema total MA'!C48*C48,0)</f>
        <v>1.3438583245456299</v>
      </c>
      <c r="F48" s="145"/>
      <c r="G48" s="33"/>
      <c r="H48" s="145"/>
      <c r="I48" s="145"/>
      <c r="J48" s="33"/>
      <c r="K48" s="33"/>
      <c r="L48" s="159"/>
      <c r="M48" s="159"/>
      <c r="N48" s="148"/>
    </row>
    <row r="49" spans="1:14" s="3" customFormat="1" ht="15.75" x14ac:dyDescent="0.2">
      <c r="A49" s="38" t="s">
        <v>463</v>
      </c>
      <c r="B49" s="44"/>
      <c r="C49" s="286"/>
      <c r="D49" s="254"/>
      <c r="E49" s="27"/>
      <c r="F49" s="145"/>
      <c r="G49" s="33"/>
      <c r="H49" s="145"/>
      <c r="I49" s="145"/>
      <c r="J49" s="37"/>
      <c r="K49" s="37"/>
      <c r="L49" s="159"/>
      <c r="M49" s="159"/>
      <c r="N49" s="148"/>
    </row>
    <row r="50" spans="1:14" s="3" customFormat="1" x14ac:dyDescent="0.2">
      <c r="A50" s="295" t="s">
        <v>6</v>
      </c>
      <c r="B50" s="289"/>
      <c r="C50" s="290"/>
      <c r="D50" s="254"/>
      <c r="E50" s="23"/>
      <c r="F50" s="145"/>
      <c r="G50" s="33"/>
      <c r="H50" s="145"/>
      <c r="I50" s="145"/>
      <c r="J50" s="33"/>
      <c r="K50" s="33"/>
      <c r="L50" s="159"/>
      <c r="M50" s="159"/>
      <c r="N50" s="148"/>
    </row>
    <row r="51" spans="1:14" s="3" customFormat="1" x14ac:dyDescent="0.2">
      <c r="A51" s="295" t="s">
        <v>7</v>
      </c>
      <c r="B51" s="289"/>
      <c r="C51" s="290"/>
      <c r="D51" s="254"/>
      <c r="E51" s="23"/>
      <c r="F51" s="145"/>
      <c r="G51" s="33"/>
      <c r="H51" s="145"/>
      <c r="I51" s="145"/>
      <c r="J51" s="33"/>
      <c r="K51" s="33"/>
      <c r="L51" s="159"/>
      <c r="M51" s="159"/>
      <c r="N51" s="148"/>
    </row>
    <row r="52" spans="1:14" s="3" customFormat="1" x14ac:dyDescent="0.2">
      <c r="A52" s="295" t="s">
        <v>8</v>
      </c>
      <c r="B52" s="289"/>
      <c r="C52" s="290"/>
      <c r="D52" s="254"/>
      <c r="E52" s="23"/>
      <c r="F52" s="145"/>
      <c r="G52" s="33"/>
      <c r="H52" s="145"/>
      <c r="I52" s="145"/>
      <c r="J52" s="33"/>
      <c r="K52" s="33"/>
      <c r="L52" s="159"/>
      <c r="M52" s="159"/>
      <c r="N52" s="148"/>
    </row>
    <row r="53" spans="1:14" s="3" customFormat="1" ht="15.75" x14ac:dyDescent="0.2">
      <c r="A53" s="39" t="s">
        <v>464</v>
      </c>
      <c r="B53" s="309"/>
      <c r="C53" s="310"/>
      <c r="D53" s="373"/>
      <c r="E53" s="11"/>
      <c r="F53" s="145"/>
      <c r="G53" s="33"/>
      <c r="H53" s="145"/>
      <c r="I53" s="145"/>
      <c r="J53" s="33"/>
      <c r="K53" s="33"/>
      <c r="L53" s="159"/>
      <c r="M53" s="159"/>
      <c r="N53" s="148"/>
    </row>
    <row r="54" spans="1:14" s="3" customFormat="1" ht="15.75" x14ac:dyDescent="0.2">
      <c r="A54" s="38" t="s">
        <v>462</v>
      </c>
      <c r="B54" s="280"/>
      <c r="C54" s="281"/>
      <c r="D54" s="254"/>
      <c r="E54" s="27"/>
      <c r="F54" s="145"/>
      <c r="G54" s="33"/>
      <c r="H54" s="145"/>
      <c r="I54" s="145"/>
      <c r="J54" s="33"/>
      <c r="K54" s="33"/>
      <c r="L54" s="159"/>
      <c r="M54" s="159"/>
      <c r="N54" s="148"/>
    </row>
    <row r="55" spans="1:14" s="3" customFormat="1" ht="15.75" x14ac:dyDescent="0.2">
      <c r="A55" s="38" t="s">
        <v>463</v>
      </c>
      <c r="B55" s="280"/>
      <c r="C55" s="281"/>
      <c r="D55" s="254"/>
      <c r="E55" s="27"/>
      <c r="F55" s="145"/>
      <c r="G55" s="33"/>
      <c r="H55" s="145"/>
      <c r="I55" s="145"/>
      <c r="J55" s="33"/>
      <c r="K55" s="33"/>
      <c r="L55" s="159"/>
      <c r="M55" s="159"/>
      <c r="N55" s="148"/>
    </row>
    <row r="56" spans="1:14" s="3" customFormat="1" ht="15.75" x14ac:dyDescent="0.2">
      <c r="A56" s="39" t="s">
        <v>465</v>
      </c>
      <c r="B56" s="309"/>
      <c r="C56" s="310"/>
      <c r="D56" s="373"/>
      <c r="E56" s="11"/>
      <c r="F56" s="145"/>
      <c r="G56" s="33"/>
      <c r="H56" s="145"/>
      <c r="I56" s="145"/>
      <c r="J56" s="33"/>
      <c r="K56" s="33"/>
      <c r="L56" s="159"/>
      <c r="M56" s="159"/>
      <c r="N56" s="148"/>
    </row>
    <row r="57" spans="1:14" s="3" customFormat="1" ht="15.75" x14ac:dyDescent="0.2">
      <c r="A57" s="38" t="s">
        <v>462</v>
      </c>
      <c r="B57" s="280"/>
      <c r="C57" s="281"/>
      <c r="D57" s="254"/>
      <c r="E57" s="27"/>
      <c r="F57" s="145"/>
      <c r="G57" s="33"/>
      <c r="H57" s="145"/>
      <c r="I57" s="145"/>
      <c r="J57" s="33"/>
      <c r="K57" s="33"/>
      <c r="L57" s="159"/>
      <c r="M57" s="159"/>
      <c r="N57" s="148"/>
    </row>
    <row r="58" spans="1:14" s="3" customFormat="1" ht="15.75" x14ac:dyDescent="0.2">
      <c r="A58" s="46" t="s">
        <v>463</v>
      </c>
      <c r="B58" s="282"/>
      <c r="C58" s="283"/>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975"/>
      <c r="C62" s="975"/>
      <c r="D62" s="975"/>
      <c r="E62" s="298"/>
      <c r="F62" s="975"/>
      <c r="G62" s="975"/>
      <c r="H62" s="975"/>
      <c r="I62" s="298"/>
      <c r="J62" s="975"/>
      <c r="K62" s="975"/>
      <c r="L62" s="975"/>
      <c r="M62" s="298"/>
    </row>
    <row r="63" spans="1:14" x14ac:dyDescent="0.2">
      <c r="A63" s="144"/>
      <c r="B63" s="973" t="s">
        <v>0</v>
      </c>
      <c r="C63" s="974"/>
      <c r="D63" s="978"/>
      <c r="E63" s="299"/>
      <c r="F63" s="974" t="s">
        <v>1</v>
      </c>
      <c r="G63" s="974"/>
      <c r="H63" s="974"/>
      <c r="I63" s="303"/>
      <c r="J63" s="973" t="s">
        <v>2</v>
      </c>
      <c r="K63" s="974"/>
      <c r="L63" s="974"/>
      <c r="M63" s="303"/>
    </row>
    <row r="64" spans="1:14" x14ac:dyDescent="0.2">
      <c r="A64" s="140"/>
      <c r="B64" s="152" t="s">
        <v>492</v>
      </c>
      <c r="C64" s="152" t="s">
        <v>493</v>
      </c>
      <c r="D64" s="245" t="s">
        <v>3</v>
      </c>
      <c r="E64" s="304" t="s">
        <v>29</v>
      </c>
      <c r="F64" s="152" t="s">
        <v>492</v>
      </c>
      <c r="G64" s="152" t="s">
        <v>493</v>
      </c>
      <c r="H64" s="245" t="s">
        <v>3</v>
      </c>
      <c r="I64" s="304" t="s">
        <v>29</v>
      </c>
      <c r="J64" s="152" t="s">
        <v>492</v>
      </c>
      <c r="K64" s="152" t="s">
        <v>493</v>
      </c>
      <c r="L64" s="245" t="s">
        <v>3</v>
      </c>
      <c r="M64" s="162" t="s">
        <v>29</v>
      </c>
    </row>
    <row r="65" spans="1:14" x14ac:dyDescent="0.2">
      <c r="A65" s="947"/>
      <c r="B65" s="156"/>
      <c r="C65" s="156"/>
      <c r="D65" s="246" t="s">
        <v>4</v>
      </c>
      <c r="E65" s="156" t="s">
        <v>30</v>
      </c>
      <c r="F65" s="161"/>
      <c r="G65" s="161"/>
      <c r="H65" s="245" t="s">
        <v>4</v>
      </c>
      <c r="I65" s="156" t="s">
        <v>30</v>
      </c>
      <c r="J65" s="161"/>
      <c r="K65" s="206"/>
      <c r="L65" s="156" t="s">
        <v>4</v>
      </c>
      <c r="M65" s="156" t="s">
        <v>30</v>
      </c>
    </row>
    <row r="66" spans="1:14" ht="15.75" x14ac:dyDescent="0.2">
      <c r="A66" s="14" t="s">
        <v>23</v>
      </c>
      <c r="B66" s="352">
        <v>76194</v>
      </c>
      <c r="C66" s="352">
        <v>81568</v>
      </c>
      <c r="D66" s="349">
        <f t="shared" ref="D66:D111" si="18">IF(B66=0, "    ---- ", IF(ABS(ROUND(100/B66*C66-100,1))&lt;999,ROUND(100/B66*C66-100,1),IF(ROUND(100/B66*C66-100,1)&gt;999,999,-999)))</f>
        <v>7.1</v>
      </c>
      <c r="E66" s="11">
        <f>IFERROR(100/'Skjema total MA'!C66*C66,0)</f>
        <v>0.92596557547439307</v>
      </c>
      <c r="F66" s="351">
        <v>367486</v>
      </c>
      <c r="G66" s="351">
        <v>407379</v>
      </c>
      <c r="H66" s="349">
        <f t="shared" ref="H66:H111" si="19">IF(F66=0, "    ---- ", IF(ABS(ROUND(100/F66*G66-100,1))&lt;999,ROUND(100/F66*G66-100,1),IF(ROUND(100/F66*G66-100,1)&gt;999,999,-999)))</f>
        <v>10.9</v>
      </c>
      <c r="I66" s="11">
        <f>IFERROR(100/'Skjema total MA'!F66*G66,0)</f>
        <v>1.2616410870221935</v>
      </c>
      <c r="J66" s="308">
        <f t="shared" ref="J66:K79" si="20">SUM(B66,F66)</f>
        <v>443680</v>
      </c>
      <c r="K66" s="315">
        <f t="shared" si="20"/>
        <v>488947</v>
      </c>
      <c r="L66" s="373">
        <f t="shared" ref="L66:L111" si="21">IF(J66=0, "    ---- ", IF(ABS(ROUND(100/J66*K66-100,1))&lt;999,ROUND(100/J66*K66-100,1),IF(ROUND(100/J66*K66-100,1)&gt;999,999,-999)))</f>
        <v>10.199999999999999</v>
      </c>
      <c r="M66" s="11">
        <f>IFERROR(100/'Skjema total MA'!I66*K66,0)</f>
        <v>1.1896932341497204</v>
      </c>
    </row>
    <row r="67" spans="1:14" x14ac:dyDescent="0.2">
      <c r="A67" s="367" t="s">
        <v>9</v>
      </c>
      <c r="B67" s="44"/>
      <c r="C67" s="145"/>
      <c r="D67" s="166"/>
      <c r="E67" s="27"/>
      <c r="F67" s="234"/>
      <c r="G67" s="145"/>
      <c r="H67" s="166"/>
      <c r="I67" s="27"/>
      <c r="J67" s="286"/>
      <c r="K67" s="44"/>
      <c r="L67" s="254"/>
      <c r="M67" s="27"/>
    </row>
    <row r="68" spans="1:14" x14ac:dyDescent="0.2">
      <c r="A68" s="21" t="s">
        <v>10</v>
      </c>
      <c r="B68" s="291">
        <v>76194</v>
      </c>
      <c r="C68" s="292">
        <v>81568</v>
      </c>
      <c r="D68" s="166">
        <f t="shared" si="18"/>
        <v>7.1</v>
      </c>
      <c r="E68" s="27">
        <f>IFERROR(100/'Skjema total MA'!C68*C68,0)</f>
        <v>55.867207562055469</v>
      </c>
      <c r="F68" s="291">
        <v>367486</v>
      </c>
      <c r="G68" s="292">
        <v>407379</v>
      </c>
      <c r="H68" s="166">
        <f t="shared" si="19"/>
        <v>10.9</v>
      </c>
      <c r="I68" s="27">
        <f>IFERROR(100/'Skjema total MA'!F68*G68,0)</f>
        <v>1.2789754154474682</v>
      </c>
      <c r="J68" s="286">
        <f t="shared" si="20"/>
        <v>443680</v>
      </c>
      <c r="K68" s="44">
        <f t="shared" si="20"/>
        <v>488947</v>
      </c>
      <c r="L68" s="254">
        <f t="shared" si="21"/>
        <v>10.199999999999999</v>
      </c>
      <c r="M68" s="27">
        <f>IFERROR(100/'Skjema total MA'!I68*K68,0)</f>
        <v>1.5280556489380421</v>
      </c>
    </row>
    <row r="69" spans="1:14" ht="15.75" x14ac:dyDescent="0.2">
      <c r="A69" s="295" t="s">
        <v>466</v>
      </c>
      <c r="B69" s="280"/>
      <c r="C69" s="280"/>
      <c r="D69" s="166"/>
      <c r="E69" s="365"/>
      <c r="F69" s="280"/>
      <c r="G69" s="280"/>
      <c r="H69" s="166"/>
      <c r="I69" s="365"/>
      <c r="J69" s="289"/>
      <c r="K69" s="289"/>
      <c r="L69" s="166"/>
      <c r="M69" s="23"/>
    </row>
    <row r="70" spans="1:14" x14ac:dyDescent="0.2">
      <c r="A70" s="295" t="s">
        <v>12</v>
      </c>
      <c r="B70" s="293"/>
      <c r="C70" s="294"/>
      <c r="D70" s="166"/>
      <c r="E70" s="365"/>
      <c r="F70" s="280"/>
      <c r="G70" s="280"/>
      <c r="H70" s="166"/>
      <c r="I70" s="365"/>
      <c r="J70" s="289"/>
      <c r="K70" s="289"/>
      <c r="L70" s="166"/>
      <c r="M70" s="23"/>
    </row>
    <row r="71" spans="1:14" x14ac:dyDescent="0.2">
      <c r="A71" s="295" t="s">
        <v>13</v>
      </c>
      <c r="B71" s="235"/>
      <c r="C71" s="288"/>
      <c r="D71" s="166"/>
      <c r="E71" s="365"/>
      <c r="F71" s="280"/>
      <c r="G71" s="280"/>
      <c r="H71" s="166"/>
      <c r="I71" s="365"/>
      <c r="J71" s="289"/>
      <c r="K71" s="289"/>
      <c r="L71" s="166"/>
      <c r="M71" s="23"/>
    </row>
    <row r="72" spans="1:14" ht="15.75" x14ac:dyDescent="0.2">
      <c r="A72" s="295" t="s">
        <v>467</v>
      </c>
      <c r="B72" s="280">
        <v>76194</v>
      </c>
      <c r="C72" s="280">
        <v>81568</v>
      </c>
      <c r="D72" s="166">
        <f t="shared" ref="D72" si="22">IF(B72=0, "    ---- ", IF(ABS(ROUND(100/B72*C72-100,1))&lt;999,ROUND(100/B72*C72-100,1),IF(ROUND(100/B72*C72-100,1)&gt;999,999,-999)))</f>
        <v>7.1</v>
      </c>
      <c r="E72" s="27">
        <f>IFERROR(100/'Skjema total MA'!C72*C72,0)</f>
        <v>61.034997096192377</v>
      </c>
      <c r="F72" s="280">
        <v>367486</v>
      </c>
      <c r="G72" s="280">
        <v>407379</v>
      </c>
      <c r="H72" s="254">
        <f t="shared" ref="H72" si="23">IF(F72=0, "    ---- ", IF(ABS(ROUND(100/F72*G72-100,1))&lt;999,ROUND(100/F72*G72-100,1),IF(ROUND(100/F72*G72-100,1)&gt;999,999,-999)))</f>
        <v>10.9</v>
      </c>
      <c r="I72" s="365">
        <f>IFERROR(100/'Skjema total MA'!F72*G72,0)</f>
        <v>1.2791335962439985</v>
      </c>
      <c r="J72" s="286">
        <f t="shared" ref="J72" si="24">SUM(B72,F72)</f>
        <v>443680</v>
      </c>
      <c r="K72" s="44">
        <f t="shared" ref="K72" si="25">SUM(C72,G72)</f>
        <v>488947</v>
      </c>
      <c r="L72" s="254">
        <f t="shared" si="21"/>
        <v>10.199999999999999</v>
      </c>
      <c r="M72" s="23">
        <f>IFERROR(100/'Skjema total MA'!I72*K72,0)</f>
        <v>1.5288344907889164</v>
      </c>
    </row>
    <row r="73" spans="1:14" x14ac:dyDescent="0.2">
      <c r="A73" s="295" t="s">
        <v>12</v>
      </c>
      <c r="B73" s="235"/>
      <c r="C73" s="288"/>
      <c r="D73" s="166"/>
      <c r="E73" s="365"/>
      <c r="F73" s="280"/>
      <c r="G73" s="280"/>
      <c r="H73" s="166"/>
      <c r="I73" s="365"/>
      <c r="J73" s="289"/>
      <c r="K73" s="289"/>
      <c r="L73" s="166"/>
      <c r="M73" s="23"/>
    </row>
    <row r="74" spans="1:14" s="3" customFormat="1" x14ac:dyDescent="0.2">
      <c r="A74" s="295" t="s">
        <v>13</v>
      </c>
      <c r="B74" s="235"/>
      <c r="C74" s="288"/>
      <c r="D74" s="166"/>
      <c r="E74" s="365"/>
      <c r="F74" s="280">
        <v>367486</v>
      </c>
      <c r="G74" s="280">
        <v>407379</v>
      </c>
      <c r="H74" s="254">
        <f t="shared" ref="H74" si="26">IF(F74=0, "    ---- ", IF(ABS(ROUND(100/F74*G74-100,1))&lt;999,ROUND(100/F74*G74-100,1),IF(ROUND(100/F74*G74-100,1)&gt;999,999,-999)))</f>
        <v>10.9</v>
      </c>
      <c r="I74" s="365">
        <f>IFERROR(100/'Skjema total MA'!F74*G74,0)</f>
        <v>1.2795701329927047</v>
      </c>
      <c r="J74" s="286">
        <f t="shared" ref="J74" si="27">SUM(B74,F74)</f>
        <v>367486</v>
      </c>
      <c r="K74" s="44">
        <f t="shared" ref="K74" si="28">SUM(C74,G74)</f>
        <v>407379</v>
      </c>
      <c r="L74" s="254">
        <f t="shared" si="21"/>
        <v>10.9</v>
      </c>
      <c r="M74" s="23">
        <f>IFERROR(100/'Skjema total MA'!I74*K74,0)</f>
        <v>1.2795701329927047</v>
      </c>
      <c r="N74" s="148"/>
    </row>
    <row r="75" spans="1:14" s="3" customFormat="1" x14ac:dyDescent="0.2">
      <c r="A75" s="21" t="s">
        <v>353</v>
      </c>
      <c r="B75" s="234"/>
      <c r="C75" s="145"/>
      <c r="D75" s="166"/>
      <c r="E75" s="27"/>
      <c r="F75" s="234"/>
      <c r="G75" s="145"/>
      <c r="H75" s="166"/>
      <c r="I75" s="27"/>
      <c r="J75" s="286"/>
      <c r="K75" s="44"/>
      <c r="L75" s="254"/>
      <c r="M75" s="27"/>
      <c r="N75" s="148"/>
    </row>
    <row r="76" spans="1:14" s="3" customFormat="1" x14ac:dyDescent="0.2">
      <c r="A76" s="21" t="s">
        <v>352</v>
      </c>
      <c r="B76" s="234"/>
      <c r="C76" s="145"/>
      <c r="D76" s="166"/>
      <c r="E76" s="27"/>
      <c r="F76" s="234"/>
      <c r="G76" s="145"/>
      <c r="H76" s="166"/>
      <c r="I76" s="27"/>
      <c r="J76" s="286"/>
      <c r="K76" s="44"/>
      <c r="L76" s="254"/>
      <c r="M76" s="27"/>
      <c r="N76" s="148"/>
    </row>
    <row r="77" spans="1:14" ht="15.75" x14ac:dyDescent="0.2">
      <c r="A77" s="21" t="s">
        <v>468</v>
      </c>
      <c r="B77" s="234">
        <v>76194</v>
      </c>
      <c r="C77" s="234">
        <v>81568</v>
      </c>
      <c r="D77" s="166">
        <f t="shared" si="18"/>
        <v>7.1</v>
      </c>
      <c r="E77" s="27">
        <f>IFERROR(100/'Skjema total MA'!C77*C77,0)</f>
        <v>1.2276833368124365</v>
      </c>
      <c r="F77" s="234">
        <v>367486</v>
      </c>
      <c r="G77" s="145">
        <v>407379</v>
      </c>
      <c r="H77" s="166">
        <f t="shared" si="19"/>
        <v>10.9</v>
      </c>
      <c r="I77" s="27">
        <f>IFERROR(100/'Skjema total MA'!F77*G77,0)</f>
        <v>1.2795196122602004</v>
      </c>
      <c r="J77" s="286">
        <f t="shared" si="20"/>
        <v>443680</v>
      </c>
      <c r="K77" s="44">
        <f t="shared" si="20"/>
        <v>488947</v>
      </c>
      <c r="L77" s="254">
        <f t="shared" si="21"/>
        <v>10.199999999999999</v>
      </c>
      <c r="M77" s="27">
        <f>IFERROR(100/'Skjema total MA'!I77*K77,0)</f>
        <v>1.2705700034283518</v>
      </c>
    </row>
    <row r="78" spans="1:14" x14ac:dyDescent="0.2">
      <c r="A78" s="21" t="s">
        <v>9</v>
      </c>
      <c r="B78" s="234"/>
      <c r="C78" s="145"/>
      <c r="D78" s="166"/>
      <c r="E78" s="27"/>
      <c r="F78" s="234"/>
      <c r="G78" s="145"/>
      <c r="H78" s="166"/>
      <c r="I78" s="27"/>
      <c r="J78" s="286"/>
      <c r="K78" s="44"/>
      <c r="L78" s="254"/>
      <c r="M78" s="27"/>
    </row>
    <row r="79" spans="1:14" x14ac:dyDescent="0.2">
      <c r="A79" s="21" t="s">
        <v>10</v>
      </c>
      <c r="B79" s="291">
        <v>76194</v>
      </c>
      <c r="C79" s="292">
        <v>81568</v>
      </c>
      <c r="D79" s="166">
        <f t="shared" si="18"/>
        <v>7.1</v>
      </c>
      <c r="E79" s="27">
        <f>IFERROR(100/'Skjema total MA'!C79*C79,0)</f>
        <v>57.418604059706432</v>
      </c>
      <c r="F79" s="291">
        <v>367486</v>
      </c>
      <c r="G79" s="292">
        <v>407379</v>
      </c>
      <c r="H79" s="166">
        <f t="shared" si="19"/>
        <v>10.9</v>
      </c>
      <c r="I79" s="27">
        <f>IFERROR(100/'Skjema total MA'!F79*G79,0)</f>
        <v>1.2795196122602004</v>
      </c>
      <c r="J79" s="286">
        <f t="shared" si="20"/>
        <v>443680</v>
      </c>
      <c r="K79" s="44">
        <f t="shared" si="20"/>
        <v>488947</v>
      </c>
      <c r="L79" s="254">
        <f t="shared" si="21"/>
        <v>10.199999999999999</v>
      </c>
      <c r="M79" s="27">
        <f>IFERROR(100/'Skjema total MA'!I79*K79,0)</f>
        <v>1.5288914293185938</v>
      </c>
    </row>
    <row r="80" spans="1:14" ht="15.75" x14ac:dyDescent="0.2">
      <c r="A80" s="295" t="s">
        <v>466</v>
      </c>
      <c r="B80" s="280"/>
      <c r="C80" s="280"/>
      <c r="D80" s="166"/>
      <c r="E80" s="365"/>
      <c r="F80" s="280"/>
      <c r="G80" s="280"/>
      <c r="H80" s="166"/>
      <c r="I80" s="365"/>
      <c r="J80" s="289"/>
      <c r="K80" s="289"/>
      <c r="L80" s="166"/>
      <c r="M80" s="23"/>
    </row>
    <row r="81" spans="1:13" x14ac:dyDescent="0.2">
      <c r="A81" s="295" t="s">
        <v>12</v>
      </c>
      <c r="B81" s="235"/>
      <c r="C81" s="288"/>
      <c r="D81" s="166"/>
      <c r="E81" s="365"/>
      <c r="F81" s="280"/>
      <c r="G81" s="280"/>
      <c r="H81" s="166"/>
      <c r="I81" s="365"/>
      <c r="J81" s="289"/>
      <c r="K81" s="289"/>
      <c r="L81" s="166"/>
      <c r="M81" s="23"/>
    </row>
    <row r="82" spans="1:13" x14ac:dyDescent="0.2">
      <c r="A82" s="295" t="s">
        <v>13</v>
      </c>
      <c r="B82" s="235"/>
      <c r="C82" s="288"/>
      <c r="D82" s="166"/>
      <c r="E82" s="365"/>
      <c r="F82" s="280"/>
      <c r="G82" s="280"/>
      <c r="H82" s="166"/>
      <c r="I82" s="365"/>
      <c r="J82" s="289"/>
      <c r="K82" s="289"/>
      <c r="L82" s="166"/>
      <c r="M82" s="23"/>
    </row>
    <row r="83" spans="1:13" ht="15.75" x14ac:dyDescent="0.2">
      <c r="A83" s="295" t="s">
        <v>467</v>
      </c>
      <c r="B83" s="280">
        <v>76194</v>
      </c>
      <c r="C83" s="280">
        <v>81568</v>
      </c>
      <c r="D83" s="166">
        <f t="shared" ref="D83" si="29">IF(B83=0, "    ---- ", IF(ABS(ROUND(100/B83*C83-100,1))&lt;999,ROUND(100/B83*C83-100,1),IF(ROUND(100/B83*C83-100,1)&gt;999,999,-999)))</f>
        <v>7.1</v>
      </c>
      <c r="E83" s="27">
        <f>IFERROR(100/'Skjema total MA'!C83*C83,0)</f>
        <v>57.418604059706432</v>
      </c>
      <c r="F83" s="280">
        <v>367486</v>
      </c>
      <c r="G83" s="280">
        <v>407379</v>
      </c>
      <c r="H83" s="166">
        <f t="shared" si="19"/>
        <v>10.9</v>
      </c>
      <c r="I83" s="365">
        <f>IFERROR(100/'Skjema total MA'!F83*G83,0)</f>
        <v>1.2795196122602004</v>
      </c>
      <c r="J83" s="286">
        <f t="shared" ref="J83" si="30">SUM(B83,F83)</f>
        <v>443680</v>
      </c>
      <c r="K83" s="44">
        <f t="shared" ref="K83" si="31">SUM(C83,G83)</f>
        <v>488947</v>
      </c>
      <c r="L83" s="254">
        <f t="shared" ref="L83" si="32">IF(J83=0, "    ---- ", IF(ABS(ROUND(100/J83*K83-100,1))&lt;999,ROUND(100/J83*K83-100,1),IF(ROUND(100/J83*K83-100,1)&gt;999,999,-999)))</f>
        <v>10.199999999999999</v>
      </c>
      <c r="M83" s="27">
        <f>IFERROR(100/'Skjema total MA'!I83*K83,0)</f>
        <v>1.5288914293185938</v>
      </c>
    </row>
    <row r="84" spans="1:13" x14ac:dyDescent="0.2">
      <c r="A84" s="295" t="s">
        <v>12</v>
      </c>
      <c r="B84" s="235"/>
      <c r="C84" s="288"/>
      <c r="D84" s="166"/>
      <c r="E84" s="365"/>
      <c r="F84" s="280"/>
      <c r="G84" s="280"/>
      <c r="H84" s="166"/>
      <c r="I84" s="365"/>
      <c r="J84" s="289"/>
      <c r="K84" s="289"/>
      <c r="L84" s="166"/>
      <c r="M84" s="23"/>
    </row>
    <row r="85" spans="1:13" x14ac:dyDescent="0.2">
      <c r="A85" s="295" t="s">
        <v>13</v>
      </c>
      <c r="B85" s="235"/>
      <c r="C85" s="288"/>
      <c r="D85" s="166"/>
      <c r="E85" s="365"/>
      <c r="F85" s="280">
        <v>367486</v>
      </c>
      <c r="G85" s="280">
        <v>407379</v>
      </c>
      <c r="H85" s="166">
        <f t="shared" si="19"/>
        <v>10.9</v>
      </c>
      <c r="I85" s="365">
        <f>IFERROR(100/'Skjema total MA'!F85*G85,0)</f>
        <v>1.2799564125691403</v>
      </c>
      <c r="J85" s="286">
        <f t="shared" ref="J85" si="33">SUM(B85,F85)</f>
        <v>367486</v>
      </c>
      <c r="K85" s="44">
        <f t="shared" ref="K85" si="34">SUM(C85,G85)</f>
        <v>407379</v>
      </c>
      <c r="L85" s="254">
        <f t="shared" ref="L85" si="35">IF(J85=0, "    ---- ", IF(ABS(ROUND(100/J85*K85-100,1))&lt;999,ROUND(100/J85*K85-100,1),IF(ROUND(100/J85*K85-100,1)&gt;999,999,-999)))</f>
        <v>10.9</v>
      </c>
      <c r="M85" s="27">
        <f>IFERROR(100/'Skjema total MA'!I85*K85,0)</f>
        <v>1.2799564125691403</v>
      </c>
    </row>
    <row r="86" spans="1:13" ht="15.75" x14ac:dyDescent="0.2">
      <c r="A86" s="21" t="s">
        <v>469</v>
      </c>
      <c r="B86" s="234"/>
      <c r="C86" s="145"/>
      <c r="D86" s="166"/>
      <c r="E86" s="27"/>
      <c r="F86" s="234"/>
      <c r="G86" s="145"/>
      <c r="H86" s="166"/>
      <c r="I86" s="27"/>
      <c r="J86" s="286"/>
      <c r="K86" s="44"/>
      <c r="L86" s="254"/>
      <c r="M86" s="27"/>
    </row>
    <row r="87" spans="1:13" ht="15.75" x14ac:dyDescent="0.2">
      <c r="A87" s="13" t="s">
        <v>451</v>
      </c>
      <c r="B87" s="352">
        <v>153858</v>
      </c>
      <c r="C87" s="352">
        <v>168183</v>
      </c>
      <c r="D87" s="171">
        <f t="shared" si="18"/>
        <v>9.3000000000000007</v>
      </c>
      <c r="E87" s="11">
        <f>IFERROR(100/'Skjema total MA'!C87*C87,0)</f>
        <v>4.2901104616252454E-2</v>
      </c>
      <c r="F87" s="351">
        <v>3191739</v>
      </c>
      <c r="G87" s="351">
        <v>4110126</v>
      </c>
      <c r="H87" s="171">
        <f t="shared" si="19"/>
        <v>28.8</v>
      </c>
      <c r="I87" s="11">
        <f>IFERROR(100/'Skjema total MA'!F87*G87,0)</f>
        <v>1.3065047302738191</v>
      </c>
      <c r="J87" s="308">
        <f t="shared" ref="J87:K111" si="36">SUM(B87,F87)</f>
        <v>3345597</v>
      </c>
      <c r="K87" s="236">
        <f t="shared" si="36"/>
        <v>4278309</v>
      </c>
      <c r="L87" s="373">
        <f t="shared" si="21"/>
        <v>27.9</v>
      </c>
      <c r="M87" s="11">
        <f>IFERROR(100/'Skjema total MA'!I87*K87,0)</f>
        <v>0.60546593724622788</v>
      </c>
    </row>
    <row r="88" spans="1:13" x14ac:dyDescent="0.2">
      <c r="A88" s="21" t="s">
        <v>9</v>
      </c>
      <c r="B88" s="234"/>
      <c r="C88" s="145"/>
      <c r="D88" s="166"/>
      <c r="E88" s="27"/>
      <c r="F88" s="234"/>
      <c r="G88" s="145"/>
      <c r="H88" s="166"/>
      <c r="I88" s="27"/>
      <c r="J88" s="286"/>
      <c r="K88" s="44"/>
      <c r="L88" s="254"/>
      <c r="M88" s="27"/>
    </row>
    <row r="89" spans="1:13" x14ac:dyDescent="0.2">
      <c r="A89" s="21" t="s">
        <v>10</v>
      </c>
      <c r="B89" s="234">
        <v>153858</v>
      </c>
      <c r="C89" s="145">
        <v>168183</v>
      </c>
      <c r="D89" s="166">
        <f t="shared" si="18"/>
        <v>9.3000000000000007</v>
      </c>
      <c r="E89" s="27">
        <f>IFERROR(100/'Skjema total MA'!C89*C89,0)</f>
        <v>5.6370617196145636</v>
      </c>
      <c r="F89" s="234">
        <v>3191739</v>
      </c>
      <c r="G89" s="145">
        <v>4110126</v>
      </c>
      <c r="H89" s="166">
        <f t="shared" si="19"/>
        <v>28.8</v>
      </c>
      <c r="I89" s="27">
        <f>IFERROR(100/'Skjema total MA'!F89*G89,0)</f>
        <v>1.3130902937359266</v>
      </c>
      <c r="J89" s="286">
        <f t="shared" si="36"/>
        <v>3345597</v>
      </c>
      <c r="K89" s="44">
        <f t="shared" si="36"/>
        <v>4278309</v>
      </c>
      <c r="L89" s="254">
        <f t="shared" si="21"/>
        <v>27.9</v>
      </c>
      <c r="M89" s="27">
        <f>IFERROR(100/'Skjema total MA'!I89*K89,0)</f>
        <v>1.3539158048187607</v>
      </c>
    </row>
    <row r="90" spans="1:13" ht="15.75" x14ac:dyDescent="0.2">
      <c r="A90" s="295" t="s">
        <v>466</v>
      </c>
      <c r="B90" s="280"/>
      <c r="C90" s="280"/>
      <c r="D90" s="166"/>
      <c r="E90" s="365"/>
      <c r="F90" s="280"/>
      <c r="G90" s="280"/>
      <c r="H90" s="166"/>
      <c r="I90" s="365"/>
      <c r="J90" s="289"/>
      <c r="K90" s="289"/>
      <c r="L90" s="166"/>
      <c r="M90" s="23"/>
    </row>
    <row r="91" spans="1:13" x14ac:dyDescent="0.2">
      <c r="A91" s="295" t="s">
        <v>12</v>
      </c>
      <c r="B91" s="235"/>
      <c r="C91" s="288"/>
      <c r="D91" s="166"/>
      <c r="E91" s="365"/>
      <c r="F91" s="280"/>
      <c r="G91" s="280"/>
      <c r="H91" s="166"/>
      <c r="I91" s="365"/>
      <c r="J91" s="289"/>
      <c r="K91" s="289"/>
      <c r="L91" s="166"/>
      <c r="M91" s="23"/>
    </row>
    <row r="92" spans="1:13" x14ac:dyDescent="0.2">
      <c r="A92" s="295" t="s">
        <v>13</v>
      </c>
      <c r="B92" s="235"/>
      <c r="C92" s="288"/>
      <c r="D92" s="166"/>
      <c r="E92" s="365"/>
      <c r="F92" s="280"/>
      <c r="G92" s="280"/>
      <c r="H92" s="166"/>
      <c r="I92" s="365"/>
      <c r="J92" s="289"/>
      <c r="K92" s="289"/>
      <c r="L92" s="166"/>
      <c r="M92" s="23"/>
    </row>
    <row r="93" spans="1:13" ht="15.75" x14ac:dyDescent="0.2">
      <c r="A93" s="295" t="s">
        <v>467</v>
      </c>
      <c r="B93" s="280">
        <v>153858</v>
      </c>
      <c r="C93" s="280">
        <v>168183</v>
      </c>
      <c r="D93" s="254">
        <f t="shared" ref="D93" si="37">IF(B93=0, "    ---- ", IF(ABS(ROUND(100/B93*C93-100,1))&lt;999,ROUND(100/B93*C93-100,1),IF(ROUND(100/B93*C93-100,1)&gt;999,999,-999)))</f>
        <v>9.3000000000000007</v>
      </c>
      <c r="E93" s="27">
        <f>IFERROR(100/'Skjema total MA'!C93*C93,0)</f>
        <v>5.6370617196145636</v>
      </c>
      <c r="F93" s="280">
        <v>3191739</v>
      </c>
      <c r="G93" s="280">
        <v>4110126</v>
      </c>
      <c r="H93" s="254">
        <f t="shared" ref="H93" si="38">IF(F93=0, "    ---- ", IF(ABS(ROUND(100/F93*G93-100,1))&lt;999,ROUND(100/F93*G93-100,1),IF(ROUND(100/F93*G93-100,1)&gt;999,999,-999)))</f>
        <v>28.8</v>
      </c>
      <c r="I93" s="365">
        <f>IFERROR(100/'Skjema total MA'!F93*G93,0)</f>
        <v>1.3136047028473707</v>
      </c>
      <c r="J93" s="286">
        <f t="shared" ref="J93" si="39">SUM(B93,F93)</f>
        <v>3345597</v>
      </c>
      <c r="K93" s="44">
        <f t="shared" ref="K93" si="40">SUM(C93,G93)</f>
        <v>4278309</v>
      </c>
      <c r="L93" s="254">
        <f t="shared" si="21"/>
        <v>27.9</v>
      </c>
      <c r="M93" s="23">
        <f>IFERROR(100/'Skjema total MA'!I93*K93,0)</f>
        <v>1.3544411976798851</v>
      </c>
    </row>
    <row r="94" spans="1:13" x14ac:dyDescent="0.2">
      <c r="A94" s="295" t="s">
        <v>12</v>
      </c>
      <c r="B94" s="235"/>
      <c r="C94" s="288"/>
      <c r="D94" s="166"/>
      <c r="E94" s="365"/>
      <c r="F94" s="280"/>
      <c r="G94" s="280"/>
      <c r="H94" s="166"/>
      <c r="I94" s="365"/>
      <c r="J94" s="289"/>
      <c r="K94" s="289"/>
      <c r="L94" s="166"/>
      <c r="M94" s="23"/>
    </row>
    <row r="95" spans="1:13" x14ac:dyDescent="0.2">
      <c r="A95" s="295" t="s">
        <v>13</v>
      </c>
      <c r="B95" s="235"/>
      <c r="C95" s="288"/>
      <c r="D95" s="166"/>
      <c r="E95" s="365"/>
      <c r="F95" s="280">
        <v>3191739</v>
      </c>
      <c r="G95" s="280">
        <v>4110126</v>
      </c>
      <c r="H95" s="254">
        <f t="shared" ref="H95" si="41">IF(F95=0, "    ---- ", IF(ABS(ROUND(100/F95*G95-100,1))&lt;999,ROUND(100/F95*G95-100,1),IF(ROUND(100/F95*G95-100,1)&gt;999,999,-999)))</f>
        <v>28.8</v>
      </c>
      <c r="I95" s="365">
        <f>IFERROR(100/'Skjema total MA'!F95*G95,0)</f>
        <v>1.3168365309832937</v>
      </c>
      <c r="J95" s="286">
        <f t="shared" ref="J95" si="42">SUM(B95,F95)</f>
        <v>3191739</v>
      </c>
      <c r="K95" s="44">
        <f t="shared" ref="K95" si="43">SUM(C95,G95)</f>
        <v>4110126</v>
      </c>
      <c r="L95" s="254">
        <f t="shared" si="21"/>
        <v>28.8</v>
      </c>
      <c r="M95" s="23">
        <f>IFERROR(100/'Skjema total MA'!I95*K95,0)</f>
        <v>1.3168365309832937</v>
      </c>
    </row>
    <row r="96" spans="1:13" x14ac:dyDescent="0.2">
      <c r="A96" s="21" t="s">
        <v>351</v>
      </c>
      <c r="B96" s="234"/>
      <c r="C96" s="145"/>
      <c r="D96" s="166"/>
      <c r="E96" s="27"/>
      <c r="F96" s="234"/>
      <c r="G96" s="145"/>
      <c r="H96" s="166"/>
      <c r="I96" s="27"/>
      <c r="J96" s="286"/>
      <c r="K96" s="44"/>
      <c r="L96" s="254"/>
      <c r="M96" s="27"/>
    </row>
    <row r="97" spans="1:13" x14ac:dyDescent="0.2">
      <c r="A97" s="21" t="s">
        <v>350</v>
      </c>
      <c r="B97" s="234"/>
      <c r="C97" s="145"/>
      <c r="D97" s="166"/>
      <c r="E97" s="27"/>
      <c r="F97" s="234"/>
      <c r="G97" s="145"/>
      <c r="H97" s="166"/>
      <c r="I97" s="27"/>
      <c r="J97" s="286"/>
      <c r="K97" s="44"/>
      <c r="L97" s="254"/>
      <c r="M97" s="27"/>
    </row>
    <row r="98" spans="1:13" ht="15.75" x14ac:dyDescent="0.2">
      <c r="A98" s="21" t="s">
        <v>468</v>
      </c>
      <c r="B98" s="234">
        <v>153858</v>
      </c>
      <c r="C98" s="234">
        <v>168183</v>
      </c>
      <c r="D98" s="166">
        <f t="shared" si="18"/>
        <v>9.3000000000000007</v>
      </c>
      <c r="E98" s="27">
        <f>IFERROR(100/'Skjema total MA'!C98*C98,0)</f>
        <v>4.4184886541450898E-2</v>
      </c>
      <c r="F98" s="291">
        <v>3191739</v>
      </c>
      <c r="G98" s="291">
        <v>4110126</v>
      </c>
      <c r="H98" s="166">
        <f t="shared" si="19"/>
        <v>28.8</v>
      </c>
      <c r="I98" s="27">
        <f>IFERROR(100/'Skjema total MA'!F98*G98,0)</f>
        <v>1.3167984399319779</v>
      </c>
      <c r="J98" s="286">
        <f t="shared" si="36"/>
        <v>3345597</v>
      </c>
      <c r="K98" s="44">
        <f t="shared" si="36"/>
        <v>4278309</v>
      </c>
      <c r="L98" s="254">
        <f t="shared" si="21"/>
        <v>27.9</v>
      </c>
      <c r="M98" s="27">
        <f>IFERROR(100/'Skjema total MA'!I98*K98,0)</f>
        <v>0.61757011054793676</v>
      </c>
    </row>
    <row r="99" spans="1:13" x14ac:dyDescent="0.2">
      <c r="A99" s="21" t="s">
        <v>9</v>
      </c>
      <c r="B99" s="291"/>
      <c r="C99" s="292"/>
      <c r="D99" s="166"/>
      <c r="E99" s="27"/>
      <c r="F99" s="234"/>
      <c r="G99" s="145"/>
      <c r="H99" s="166"/>
      <c r="I99" s="27"/>
      <c r="J99" s="286"/>
      <c r="K99" s="44"/>
      <c r="L99" s="254"/>
      <c r="M99" s="27"/>
    </row>
    <row r="100" spans="1:13" x14ac:dyDescent="0.2">
      <c r="A100" s="21" t="s">
        <v>10</v>
      </c>
      <c r="B100" s="291">
        <v>153858</v>
      </c>
      <c r="C100" s="292">
        <v>168183</v>
      </c>
      <c r="D100" s="166">
        <f t="shared" si="18"/>
        <v>9.3000000000000007</v>
      </c>
      <c r="E100" s="27">
        <f>IFERROR(100/'Skjema total MA'!C100*C100,0)</f>
        <v>5.6370611074496315</v>
      </c>
      <c r="F100" s="234">
        <v>3191739</v>
      </c>
      <c r="G100" s="234">
        <v>4110126</v>
      </c>
      <c r="H100" s="166">
        <f t="shared" si="19"/>
        <v>28.8</v>
      </c>
      <c r="I100" s="27">
        <f>IFERROR(100/'Skjema total MA'!F100*G100,0)</f>
        <v>1.3167984399319779</v>
      </c>
      <c r="J100" s="286">
        <f t="shared" si="36"/>
        <v>3345597</v>
      </c>
      <c r="K100" s="44">
        <f t="shared" si="36"/>
        <v>4278309</v>
      </c>
      <c r="L100" s="254">
        <f t="shared" si="21"/>
        <v>27.9</v>
      </c>
      <c r="M100" s="27">
        <f>IFERROR(100/'Skjema total MA'!I100*K100,0)</f>
        <v>1.3577030396077912</v>
      </c>
    </row>
    <row r="101" spans="1:13" ht="15.75" x14ac:dyDescent="0.2">
      <c r="A101" s="295" t="s">
        <v>466</v>
      </c>
      <c r="B101" s="280"/>
      <c r="C101" s="280"/>
      <c r="D101" s="166"/>
      <c r="E101" s="365"/>
      <c r="F101" s="280"/>
      <c r="G101" s="280"/>
      <c r="H101" s="166"/>
      <c r="I101" s="365"/>
      <c r="J101" s="289"/>
      <c r="K101" s="289"/>
      <c r="L101" s="166"/>
      <c r="M101" s="23"/>
    </row>
    <row r="102" spans="1:13" x14ac:dyDescent="0.2">
      <c r="A102" s="295" t="s">
        <v>12</v>
      </c>
      <c r="B102" s="235"/>
      <c r="C102" s="288"/>
      <c r="D102" s="166"/>
      <c r="E102" s="365"/>
      <c r="F102" s="280"/>
      <c r="G102" s="280"/>
      <c r="H102" s="166"/>
      <c r="I102" s="365"/>
      <c r="J102" s="289"/>
      <c r="K102" s="289"/>
      <c r="L102" s="166"/>
      <c r="M102" s="23"/>
    </row>
    <row r="103" spans="1:13" x14ac:dyDescent="0.2">
      <c r="A103" s="295" t="s">
        <v>13</v>
      </c>
      <c r="B103" s="235"/>
      <c r="C103" s="288"/>
      <c r="D103" s="166"/>
      <c r="E103" s="365"/>
      <c r="F103" s="280"/>
      <c r="G103" s="280"/>
      <c r="H103" s="166"/>
      <c r="I103" s="365"/>
      <c r="J103" s="289"/>
      <c r="K103" s="289"/>
      <c r="L103" s="166"/>
      <c r="M103" s="23"/>
    </row>
    <row r="104" spans="1:13" ht="15.75" x14ac:dyDescent="0.2">
      <c r="A104" s="295" t="s">
        <v>467</v>
      </c>
      <c r="B104" s="280">
        <v>153858</v>
      </c>
      <c r="C104" s="280">
        <v>168183</v>
      </c>
      <c r="D104" s="166">
        <f t="shared" ref="D104" si="44">IF(B104=0, "    ---- ", IF(ABS(ROUND(100/B104*C104-100,1))&lt;999,ROUND(100/B104*C104-100,1),IF(ROUND(100/B104*C104-100,1)&gt;999,999,-999)))</f>
        <v>9.3000000000000007</v>
      </c>
      <c r="E104" s="27">
        <f>IFERROR(100/'Skjema total MA'!C104*C104,0)</f>
        <v>5.6370611074496315</v>
      </c>
      <c r="F104" s="280">
        <v>3191739</v>
      </c>
      <c r="G104" s="280">
        <v>4110126</v>
      </c>
      <c r="H104" s="166">
        <f t="shared" si="19"/>
        <v>28.8</v>
      </c>
      <c r="I104" s="365">
        <f>IFERROR(100/'Skjema total MA'!F104*G104,0)</f>
        <v>1.3167984399319779</v>
      </c>
      <c r="J104" s="286">
        <f t="shared" ref="J104" si="45">SUM(B104,F104)</f>
        <v>3345597</v>
      </c>
      <c r="K104" s="44">
        <f t="shared" ref="K104" si="46">SUM(C104,G104)</f>
        <v>4278309</v>
      </c>
      <c r="L104" s="254">
        <f t="shared" ref="L104" si="47">IF(J104=0, "    ---- ", IF(ABS(ROUND(100/J104*K104-100,1))&lt;999,ROUND(100/J104*K104-100,1),IF(ROUND(100/J104*K104-100,1)&gt;999,999,-999)))</f>
        <v>27.9</v>
      </c>
      <c r="M104" s="23">
        <f>IFERROR(100/'Skjema total MA'!I104*K104,0)</f>
        <v>1.3577030396077912</v>
      </c>
    </row>
    <row r="105" spans="1:13" x14ac:dyDescent="0.2">
      <c r="A105" s="295" t="s">
        <v>12</v>
      </c>
      <c r="B105" s="235"/>
      <c r="C105" s="288"/>
      <c r="D105" s="166"/>
      <c r="E105" s="365"/>
      <c r="F105" s="280"/>
      <c r="G105" s="280"/>
      <c r="H105" s="166"/>
      <c r="I105" s="365"/>
      <c r="J105" s="289"/>
      <c r="K105" s="289"/>
      <c r="L105" s="166"/>
      <c r="M105" s="23"/>
    </row>
    <row r="106" spans="1:13" x14ac:dyDescent="0.2">
      <c r="A106" s="295" t="s">
        <v>13</v>
      </c>
      <c r="B106" s="235"/>
      <c r="C106" s="288"/>
      <c r="D106" s="166"/>
      <c r="E106" s="365"/>
      <c r="F106" s="280">
        <v>3191739</v>
      </c>
      <c r="G106" s="280">
        <v>4110126</v>
      </c>
      <c r="H106" s="166">
        <f t="shared" si="19"/>
        <v>28.8</v>
      </c>
      <c r="I106" s="365">
        <f>IFERROR(100/'Skjema total MA'!F106*G106,0)</f>
        <v>1.3172543228973972</v>
      </c>
      <c r="J106" s="286">
        <f t="shared" ref="J106" si="48">SUM(B106,F106)</f>
        <v>3191739</v>
      </c>
      <c r="K106" s="44">
        <f t="shared" ref="K106" si="49">SUM(C106,G106)</f>
        <v>4110126</v>
      </c>
      <c r="L106" s="254">
        <f t="shared" ref="L106" si="50">IF(J106=0, "    ---- ", IF(ABS(ROUND(100/J106*K106-100,1))&lt;999,ROUND(100/J106*K106-100,1),IF(ROUND(100/J106*K106-100,1)&gt;999,999,-999)))</f>
        <v>28.8</v>
      </c>
      <c r="M106" s="23">
        <f>IFERROR(100/'Skjema total MA'!I106*K106,0)</f>
        <v>1.3172543228973972</v>
      </c>
    </row>
    <row r="107" spans="1:13" ht="15.75" x14ac:dyDescent="0.2">
      <c r="A107" s="21" t="s">
        <v>469</v>
      </c>
      <c r="B107" s="234"/>
      <c r="C107" s="145"/>
      <c r="D107" s="166"/>
      <c r="E107" s="27"/>
      <c r="F107" s="234"/>
      <c r="G107" s="145"/>
      <c r="H107" s="166"/>
      <c r="I107" s="27"/>
      <c r="J107" s="286"/>
      <c r="K107" s="44"/>
      <c r="L107" s="254"/>
      <c r="M107" s="27"/>
    </row>
    <row r="108" spans="1:13" ht="15.75" x14ac:dyDescent="0.2">
      <c r="A108" s="21" t="s">
        <v>470</v>
      </c>
      <c r="B108" s="234"/>
      <c r="C108" s="234"/>
      <c r="D108" s="166"/>
      <c r="E108" s="27"/>
      <c r="F108" s="234"/>
      <c r="G108" s="234"/>
      <c r="H108" s="166"/>
      <c r="I108" s="27"/>
      <c r="J108" s="286"/>
      <c r="K108" s="44"/>
      <c r="L108" s="254"/>
      <c r="M108" s="27"/>
    </row>
    <row r="109" spans="1:13" ht="15.75" x14ac:dyDescent="0.2">
      <c r="A109" s="21" t="s">
        <v>471</v>
      </c>
      <c r="B109" s="234"/>
      <c r="C109" s="234"/>
      <c r="D109" s="166"/>
      <c r="E109" s="27"/>
      <c r="F109" s="234">
        <v>1078581.8</v>
      </c>
      <c r="G109" s="234">
        <v>1393370</v>
      </c>
      <c r="H109" s="166">
        <f t="shared" si="19"/>
        <v>29.2</v>
      </c>
      <c r="I109" s="27">
        <f>IFERROR(100/'Skjema total MA'!F109*G109,0)</f>
        <v>1.2969436235956155</v>
      </c>
      <c r="J109" s="286">
        <f t="shared" si="36"/>
        <v>1078581.8</v>
      </c>
      <c r="K109" s="44">
        <f t="shared" si="36"/>
        <v>1393370</v>
      </c>
      <c r="L109" s="254">
        <f t="shared" si="21"/>
        <v>29.2</v>
      </c>
      <c r="M109" s="27">
        <f>IFERROR(100/'Skjema total MA'!I109*K109,0)</f>
        <v>1.2855266378776113</v>
      </c>
    </row>
    <row r="110" spans="1:13" ht="15.75" x14ac:dyDescent="0.2">
      <c r="A110" s="21" t="s">
        <v>472</v>
      </c>
      <c r="B110" s="234"/>
      <c r="C110" s="234"/>
      <c r="D110" s="166"/>
      <c r="E110" s="27"/>
      <c r="F110" s="234"/>
      <c r="G110" s="234"/>
      <c r="H110" s="166"/>
      <c r="I110" s="27"/>
      <c r="J110" s="286"/>
      <c r="K110" s="44"/>
      <c r="L110" s="254"/>
      <c r="M110" s="27"/>
    </row>
    <row r="111" spans="1:13" ht="15.75" x14ac:dyDescent="0.2">
      <c r="A111" s="13" t="s">
        <v>452</v>
      </c>
      <c r="B111" s="307">
        <v>559</v>
      </c>
      <c r="C111" s="159">
        <v>1417</v>
      </c>
      <c r="D111" s="171">
        <f t="shared" si="18"/>
        <v>153.5</v>
      </c>
      <c r="E111" s="11">
        <f>IFERROR(100/'Skjema total MA'!C111*C111,0)</f>
        <v>0.29730340567019503</v>
      </c>
      <c r="F111" s="307">
        <v>58937</v>
      </c>
      <c r="G111" s="159">
        <v>134008</v>
      </c>
      <c r="H111" s="171">
        <f t="shared" si="19"/>
        <v>127.4</v>
      </c>
      <c r="I111" s="11">
        <f>IFERROR(100/'Skjema total MA'!F111*G111,0)</f>
        <v>1.0123952347036598</v>
      </c>
      <c r="J111" s="308">
        <f t="shared" si="36"/>
        <v>59496</v>
      </c>
      <c r="K111" s="236">
        <f t="shared" si="36"/>
        <v>135425</v>
      </c>
      <c r="L111" s="373">
        <f t="shared" si="21"/>
        <v>127.6</v>
      </c>
      <c r="M111" s="11">
        <f>IFERROR(100/'Skjema total MA'!I111*K111,0)</f>
        <v>0.98754168787188057</v>
      </c>
    </row>
    <row r="112" spans="1:13" x14ac:dyDescent="0.2">
      <c r="A112" s="21" t="s">
        <v>9</v>
      </c>
      <c r="B112" s="234"/>
      <c r="C112" s="145"/>
      <c r="D112" s="166"/>
      <c r="E112" s="27"/>
      <c r="F112" s="234"/>
      <c r="G112" s="145"/>
      <c r="H112" s="166"/>
      <c r="I112" s="27"/>
      <c r="J112" s="286"/>
      <c r="K112" s="44"/>
      <c r="L112" s="254"/>
      <c r="M112" s="27"/>
    </row>
    <row r="113" spans="1:14" x14ac:dyDescent="0.2">
      <c r="A113" s="21" t="s">
        <v>10</v>
      </c>
      <c r="B113" s="234">
        <v>559</v>
      </c>
      <c r="C113" s="145">
        <v>1417</v>
      </c>
      <c r="D113" s="166">
        <f t="shared" ref="D113:D121" si="51">IF(B113=0, "    ---- ", IF(ABS(ROUND(100/B113*C113-100,1))&lt;999,ROUND(100/B113*C113-100,1),IF(ROUND(100/B113*C113-100,1)&gt;999,999,-999)))</f>
        <v>153.5</v>
      </c>
      <c r="E113" s="27">
        <f>IFERROR(100/'Skjema total MA'!C113*C113,0)</f>
        <v>80.393133200954153</v>
      </c>
      <c r="F113" s="234">
        <v>58937</v>
      </c>
      <c r="G113" s="145">
        <v>134008</v>
      </c>
      <c r="H113" s="166">
        <f t="shared" ref="H113:H121" si="52">IF(F113=0, "    ---- ", IF(ABS(ROUND(100/F113*G113-100,1))&lt;999,ROUND(100/F113*G113-100,1),IF(ROUND(100/F113*G113-100,1)&gt;999,999,-999)))</f>
        <v>127.4</v>
      </c>
      <c r="I113" s="27">
        <f>IFERROR(100/'Skjema total MA'!F113*G113,0)</f>
        <v>1.0152689881464132</v>
      </c>
      <c r="J113" s="286">
        <f t="shared" ref="J113:K121" si="53">SUM(B113,F113)</f>
        <v>59496</v>
      </c>
      <c r="K113" s="44">
        <f t="shared" si="53"/>
        <v>135425</v>
      </c>
      <c r="L113" s="254">
        <f t="shared" ref="L113:L121" si="54">IF(J113=0, "    ---- ", IF(ABS(ROUND(100/J113*K113-100,1))&lt;999,ROUND(100/J113*K113-100,1),IF(ROUND(100/J113*K113-100,1)&gt;999,999,-999)))</f>
        <v>127.6</v>
      </c>
      <c r="M113" s="27">
        <f>IFERROR(100/'Skjema total MA'!I113*K113,0)</f>
        <v>1.0258674467832349</v>
      </c>
    </row>
    <row r="114" spans="1:14" x14ac:dyDescent="0.2">
      <c r="A114" s="21" t="s">
        <v>26</v>
      </c>
      <c r="B114" s="234"/>
      <c r="C114" s="145"/>
      <c r="D114" s="166"/>
      <c r="E114" s="27"/>
      <c r="F114" s="234"/>
      <c r="G114" s="145"/>
      <c r="H114" s="166"/>
      <c r="I114" s="27"/>
      <c r="J114" s="286"/>
      <c r="K114" s="44"/>
      <c r="L114" s="254"/>
      <c r="M114" s="27"/>
    </row>
    <row r="115" spans="1:14" x14ac:dyDescent="0.2">
      <c r="A115" s="295" t="s">
        <v>15</v>
      </c>
      <c r="B115" s="280"/>
      <c r="C115" s="280"/>
      <c r="D115" s="166"/>
      <c r="E115" s="365"/>
      <c r="F115" s="280"/>
      <c r="G115" s="280"/>
      <c r="H115" s="166"/>
      <c r="I115" s="365"/>
      <c r="J115" s="289"/>
      <c r="K115" s="289"/>
      <c r="L115" s="166"/>
      <c r="M115" s="23"/>
    </row>
    <row r="116" spans="1:14" ht="15.75" x14ac:dyDescent="0.2">
      <c r="A116" s="21" t="s">
        <v>473</v>
      </c>
      <c r="B116" s="234"/>
      <c r="C116" s="234"/>
      <c r="D116" s="166"/>
      <c r="E116" s="27"/>
      <c r="F116" s="234"/>
      <c r="G116" s="234"/>
      <c r="H116" s="166"/>
      <c r="I116" s="27"/>
      <c r="J116" s="286"/>
      <c r="K116" s="44"/>
      <c r="L116" s="254"/>
      <c r="M116" s="27"/>
    </row>
    <row r="117" spans="1:14" ht="15.75" x14ac:dyDescent="0.2">
      <c r="A117" s="21" t="s">
        <v>474</v>
      </c>
      <c r="B117" s="234"/>
      <c r="C117" s="234"/>
      <c r="D117" s="166"/>
      <c r="E117" s="27"/>
      <c r="F117" s="234"/>
      <c r="G117" s="234"/>
      <c r="H117" s="166"/>
      <c r="I117" s="27"/>
      <c r="J117" s="286"/>
      <c r="K117" s="44"/>
      <c r="L117" s="254"/>
      <c r="M117" s="27"/>
    </row>
    <row r="118" spans="1:14" ht="15.75" x14ac:dyDescent="0.2">
      <c r="A118" s="21" t="s">
        <v>472</v>
      </c>
      <c r="B118" s="234"/>
      <c r="C118" s="234"/>
      <c r="D118" s="166"/>
      <c r="E118" s="27"/>
      <c r="F118" s="234"/>
      <c r="G118" s="234"/>
      <c r="H118" s="166"/>
      <c r="I118" s="27"/>
      <c r="J118" s="286"/>
      <c r="K118" s="44"/>
      <c r="L118" s="254"/>
      <c r="M118" s="27"/>
    </row>
    <row r="119" spans="1:14" ht="15.75" x14ac:dyDescent="0.2">
      <c r="A119" s="13" t="s">
        <v>453</v>
      </c>
      <c r="B119" s="307">
        <v>3725</v>
      </c>
      <c r="C119" s="159">
        <v>2033</v>
      </c>
      <c r="D119" s="171">
        <f t="shared" si="51"/>
        <v>-45.4</v>
      </c>
      <c r="E119" s="11">
        <f>IFERROR(100/'Skjema total MA'!C119*C119,0)</f>
        <v>0.41348378338981123</v>
      </c>
      <c r="F119" s="307">
        <v>125341</v>
      </c>
      <c r="G119" s="159">
        <v>81406</v>
      </c>
      <c r="H119" s="171">
        <f t="shared" si="52"/>
        <v>-35.1</v>
      </c>
      <c r="I119" s="11">
        <f>IFERROR(100/'Skjema total MA'!F119*G119,0)</f>
        <v>0.60032872717051533</v>
      </c>
      <c r="J119" s="308">
        <f t="shared" si="53"/>
        <v>129066</v>
      </c>
      <c r="K119" s="236">
        <f t="shared" si="53"/>
        <v>83439</v>
      </c>
      <c r="L119" s="373">
        <f t="shared" si="54"/>
        <v>-35.4</v>
      </c>
      <c r="M119" s="11">
        <f>IFERROR(100/'Skjema total MA'!I119*K119,0)</f>
        <v>0.59379103015893631</v>
      </c>
    </row>
    <row r="120" spans="1:14" x14ac:dyDescent="0.2">
      <c r="A120" s="21" t="s">
        <v>9</v>
      </c>
      <c r="B120" s="234"/>
      <c r="C120" s="145"/>
      <c r="D120" s="166"/>
      <c r="E120" s="27"/>
      <c r="F120" s="234"/>
      <c r="G120" s="145"/>
      <c r="H120" s="166"/>
      <c r="I120" s="27"/>
      <c r="J120" s="286"/>
      <c r="K120" s="44"/>
      <c r="L120" s="254"/>
      <c r="M120" s="27"/>
    </row>
    <row r="121" spans="1:14" x14ac:dyDescent="0.2">
      <c r="A121" s="21" t="s">
        <v>10</v>
      </c>
      <c r="B121" s="234">
        <v>3725</v>
      </c>
      <c r="C121" s="145">
        <v>2033</v>
      </c>
      <c r="D121" s="166">
        <f t="shared" si="51"/>
        <v>-45.4</v>
      </c>
      <c r="E121" s="27">
        <f>IFERROR(100/'Skjema total MA'!C121*C121,0)</f>
        <v>5.1927041049383904</v>
      </c>
      <c r="F121" s="234">
        <v>125341</v>
      </c>
      <c r="G121" s="145">
        <v>81406</v>
      </c>
      <c r="H121" s="166">
        <f t="shared" si="52"/>
        <v>-35.1</v>
      </c>
      <c r="I121" s="27">
        <f>IFERROR(100/'Skjema total MA'!F121*G121,0)</f>
        <v>0.60032872717051533</v>
      </c>
      <c r="J121" s="286">
        <f t="shared" si="53"/>
        <v>129066</v>
      </c>
      <c r="K121" s="44">
        <f t="shared" si="53"/>
        <v>83439</v>
      </c>
      <c r="L121" s="254">
        <f t="shared" si="54"/>
        <v>-35.4</v>
      </c>
      <c r="M121" s="27">
        <f>IFERROR(100/'Skjema total MA'!I121*K121,0)</f>
        <v>0.61354965106985793</v>
      </c>
    </row>
    <row r="122" spans="1:14" x14ac:dyDescent="0.2">
      <c r="A122" s="21" t="s">
        <v>26</v>
      </c>
      <c r="B122" s="234"/>
      <c r="C122" s="145"/>
      <c r="D122" s="166"/>
      <c r="E122" s="27"/>
      <c r="F122" s="234"/>
      <c r="G122" s="145"/>
      <c r="H122" s="166"/>
      <c r="I122" s="27"/>
      <c r="J122" s="286"/>
      <c r="K122" s="44"/>
      <c r="L122" s="254"/>
      <c r="M122" s="27"/>
    </row>
    <row r="123" spans="1:14" x14ac:dyDescent="0.2">
      <c r="A123" s="295" t="s">
        <v>14</v>
      </c>
      <c r="B123" s="280"/>
      <c r="C123" s="280"/>
      <c r="D123" s="166"/>
      <c r="E123" s="365"/>
      <c r="F123" s="280"/>
      <c r="G123" s="280"/>
      <c r="H123" s="166"/>
      <c r="I123" s="365"/>
      <c r="J123" s="289"/>
      <c r="K123" s="289"/>
      <c r="L123" s="166"/>
      <c r="M123" s="23"/>
    </row>
    <row r="124" spans="1:14" ht="15.75" x14ac:dyDescent="0.2">
      <c r="A124" s="21" t="s">
        <v>479</v>
      </c>
      <c r="B124" s="234"/>
      <c r="C124" s="234"/>
      <c r="D124" s="166"/>
      <c r="E124" s="27"/>
      <c r="F124" s="234"/>
      <c r="G124" s="234"/>
      <c r="H124" s="166"/>
      <c r="I124" s="27"/>
      <c r="J124" s="286"/>
      <c r="K124" s="44"/>
      <c r="L124" s="254"/>
      <c r="M124" s="27"/>
    </row>
    <row r="125" spans="1:14" ht="15.75" x14ac:dyDescent="0.2">
      <c r="A125" s="21" t="s">
        <v>471</v>
      </c>
      <c r="B125" s="234"/>
      <c r="C125" s="234"/>
      <c r="D125" s="166"/>
      <c r="E125" s="27"/>
      <c r="F125" s="234"/>
      <c r="G125" s="234"/>
      <c r="H125" s="166"/>
      <c r="I125" s="27"/>
      <c r="J125" s="286"/>
      <c r="K125" s="44"/>
      <c r="L125" s="254"/>
      <c r="M125" s="27"/>
    </row>
    <row r="126" spans="1:14" ht="15.75" x14ac:dyDescent="0.2">
      <c r="A126" s="10" t="s">
        <v>472</v>
      </c>
      <c r="B126" s="45"/>
      <c r="C126" s="45"/>
      <c r="D126" s="167"/>
      <c r="E126" s="366"/>
      <c r="F126" s="45"/>
      <c r="G126" s="45"/>
      <c r="H126" s="167"/>
      <c r="I126" s="22"/>
      <c r="J126" s="287"/>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975"/>
      <c r="C130" s="975"/>
      <c r="D130" s="975"/>
      <c r="E130" s="298"/>
      <c r="F130" s="975"/>
      <c r="G130" s="975"/>
      <c r="H130" s="975"/>
      <c r="I130" s="298"/>
      <c r="J130" s="975"/>
      <c r="K130" s="975"/>
      <c r="L130" s="975"/>
      <c r="M130" s="298"/>
    </row>
    <row r="131" spans="1:14" s="3" customFormat="1" x14ac:dyDescent="0.2">
      <c r="A131" s="144"/>
      <c r="B131" s="973" t="s">
        <v>0</v>
      </c>
      <c r="C131" s="974"/>
      <c r="D131" s="974"/>
      <c r="E131" s="300"/>
      <c r="F131" s="973" t="s">
        <v>1</v>
      </c>
      <c r="G131" s="974"/>
      <c r="H131" s="974"/>
      <c r="I131" s="303"/>
      <c r="J131" s="973" t="s">
        <v>2</v>
      </c>
      <c r="K131" s="974"/>
      <c r="L131" s="974"/>
      <c r="M131" s="303"/>
      <c r="N131" s="148"/>
    </row>
    <row r="132" spans="1:14" s="3" customFormat="1" x14ac:dyDescent="0.2">
      <c r="A132" s="140"/>
      <c r="B132" s="152" t="s">
        <v>492</v>
      </c>
      <c r="C132" s="152" t="s">
        <v>493</v>
      </c>
      <c r="D132" s="245" t="s">
        <v>3</v>
      </c>
      <c r="E132" s="304" t="s">
        <v>29</v>
      </c>
      <c r="F132" s="152" t="s">
        <v>492</v>
      </c>
      <c r="G132" s="152" t="s">
        <v>493</v>
      </c>
      <c r="H132" s="206" t="s">
        <v>3</v>
      </c>
      <c r="I132" s="162" t="s">
        <v>29</v>
      </c>
      <c r="J132" s="152" t="s">
        <v>492</v>
      </c>
      <c r="K132" s="152" t="s">
        <v>493</v>
      </c>
      <c r="L132" s="246" t="s">
        <v>3</v>
      </c>
      <c r="M132" s="162" t="s">
        <v>29</v>
      </c>
      <c r="N132" s="148"/>
    </row>
    <row r="133" spans="1:14" s="3" customFormat="1" x14ac:dyDescent="0.2">
      <c r="A133" s="947"/>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475</v>
      </c>
      <c r="B134" s="236"/>
      <c r="C134" s="308"/>
      <c r="D134" s="349"/>
      <c r="E134" s="11"/>
      <c r="F134" s="315"/>
      <c r="G134" s="316"/>
      <c r="H134" s="376"/>
      <c r="I134" s="24"/>
      <c r="J134" s="317"/>
      <c r="K134" s="317"/>
      <c r="L134" s="372"/>
      <c r="M134" s="11"/>
      <c r="N134" s="148"/>
    </row>
    <row r="135" spans="1:14" s="3" customFormat="1" ht="15.75" x14ac:dyDescent="0.2">
      <c r="A135" s="13" t="s">
        <v>480</v>
      </c>
      <c r="B135" s="236"/>
      <c r="C135" s="308"/>
      <c r="D135" s="171"/>
      <c r="E135" s="11"/>
      <c r="F135" s="236"/>
      <c r="G135" s="308"/>
      <c r="H135" s="377"/>
      <c r="I135" s="24"/>
      <c r="J135" s="307"/>
      <c r="K135" s="307"/>
      <c r="L135" s="373"/>
      <c r="M135" s="11"/>
      <c r="N135" s="148"/>
    </row>
    <row r="136" spans="1:14" s="3" customFormat="1" ht="15.75" x14ac:dyDescent="0.2">
      <c r="A136" s="13" t="s">
        <v>477</v>
      </c>
      <c r="B136" s="236"/>
      <c r="C136" s="308"/>
      <c r="D136" s="171"/>
      <c r="E136" s="11"/>
      <c r="F136" s="236"/>
      <c r="G136" s="308"/>
      <c r="H136" s="377"/>
      <c r="I136" s="24"/>
      <c r="J136" s="307"/>
      <c r="K136" s="307"/>
      <c r="L136" s="373"/>
      <c r="M136" s="11"/>
      <c r="N136" s="148"/>
    </row>
    <row r="137" spans="1:14" s="3" customFormat="1" ht="15.75" x14ac:dyDescent="0.2">
      <c r="A137" s="41" t="s">
        <v>478</v>
      </c>
      <c r="B137" s="275"/>
      <c r="C137" s="314"/>
      <c r="D137" s="169"/>
      <c r="E137" s="9"/>
      <c r="F137" s="275"/>
      <c r="G137" s="314"/>
      <c r="H137" s="378"/>
      <c r="I137" s="36"/>
      <c r="J137" s="313"/>
      <c r="K137" s="313"/>
      <c r="L137" s="374"/>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271" priority="132">
      <formula>kvartal &lt; 4</formula>
    </cfRule>
  </conditionalFormatting>
  <conditionalFormatting sqref="B69">
    <cfRule type="expression" dxfId="1270" priority="100">
      <formula>kvartal &lt; 4</formula>
    </cfRule>
  </conditionalFormatting>
  <conditionalFormatting sqref="C69">
    <cfRule type="expression" dxfId="1269" priority="99">
      <formula>kvartal &lt; 4</formula>
    </cfRule>
  </conditionalFormatting>
  <conditionalFormatting sqref="B72">
    <cfRule type="expression" dxfId="1268" priority="98">
      <formula>kvartal &lt; 4</formula>
    </cfRule>
  </conditionalFormatting>
  <conditionalFormatting sqref="C72">
    <cfRule type="expression" dxfId="1267" priority="97">
      <formula>kvartal &lt; 4</formula>
    </cfRule>
  </conditionalFormatting>
  <conditionalFormatting sqref="B80">
    <cfRule type="expression" dxfId="1266" priority="96">
      <formula>kvartal &lt; 4</formula>
    </cfRule>
  </conditionalFormatting>
  <conditionalFormatting sqref="C80">
    <cfRule type="expression" dxfId="1265" priority="95">
      <formula>kvartal &lt; 4</formula>
    </cfRule>
  </conditionalFormatting>
  <conditionalFormatting sqref="B83">
    <cfRule type="expression" dxfId="1264" priority="94">
      <formula>kvartal &lt; 4</formula>
    </cfRule>
  </conditionalFormatting>
  <conditionalFormatting sqref="C83">
    <cfRule type="expression" dxfId="1263" priority="93">
      <formula>kvartal &lt; 4</formula>
    </cfRule>
  </conditionalFormatting>
  <conditionalFormatting sqref="B90">
    <cfRule type="expression" dxfId="1262" priority="84">
      <formula>kvartal &lt; 4</formula>
    </cfRule>
  </conditionalFormatting>
  <conditionalFormatting sqref="C90">
    <cfRule type="expression" dxfId="1261" priority="83">
      <formula>kvartal &lt; 4</formula>
    </cfRule>
  </conditionalFormatting>
  <conditionalFormatting sqref="B93">
    <cfRule type="expression" dxfId="1260" priority="82">
      <formula>kvartal &lt; 4</formula>
    </cfRule>
  </conditionalFormatting>
  <conditionalFormatting sqref="C93">
    <cfRule type="expression" dxfId="1259" priority="81">
      <formula>kvartal &lt; 4</formula>
    </cfRule>
  </conditionalFormatting>
  <conditionalFormatting sqref="B101">
    <cfRule type="expression" dxfId="1258" priority="80">
      <formula>kvartal &lt; 4</formula>
    </cfRule>
  </conditionalFormatting>
  <conditionalFormatting sqref="C101">
    <cfRule type="expression" dxfId="1257" priority="79">
      <formula>kvartal &lt; 4</formula>
    </cfRule>
  </conditionalFormatting>
  <conditionalFormatting sqref="B104">
    <cfRule type="expression" dxfId="1256" priority="78">
      <formula>kvartal &lt; 4</formula>
    </cfRule>
  </conditionalFormatting>
  <conditionalFormatting sqref="C104">
    <cfRule type="expression" dxfId="1255" priority="77">
      <formula>kvartal &lt; 4</formula>
    </cfRule>
  </conditionalFormatting>
  <conditionalFormatting sqref="B115">
    <cfRule type="expression" dxfId="1254" priority="76">
      <formula>kvartal &lt; 4</formula>
    </cfRule>
  </conditionalFormatting>
  <conditionalFormatting sqref="C115">
    <cfRule type="expression" dxfId="1253" priority="75">
      <formula>kvartal &lt; 4</formula>
    </cfRule>
  </conditionalFormatting>
  <conditionalFormatting sqref="B123">
    <cfRule type="expression" dxfId="1252" priority="74">
      <formula>kvartal &lt; 4</formula>
    </cfRule>
  </conditionalFormatting>
  <conditionalFormatting sqref="C123">
    <cfRule type="expression" dxfId="1251" priority="73">
      <formula>kvartal &lt; 4</formula>
    </cfRule>
  </conditionalFormatting>
  <conditionalFormatting sqref="F70">
    <cfRule type="expression" dxfId="1250" priority="72">
      <formula>kvartal &lt; 4</formula>
    </cfRule>
  </conditionalFormatting>
  <conditionalFormatting sqref="G70">
    <cfRule type="expression" dxfId="1249" priority="71">
      <formula>kvartal &lt; 4</formula>
    </cfRule>
  </conditionalFormatting>
  <conditionalFormatting sqref="F71:G71">
    <cfRule type="expression" dxfId="1248" priority="70">
      <formula>kvartal &lt; 4</formula>
    </cfRule>
  </conditionalFormatting>
  <conditionalFormatting sqref="F73:G74">
    <cfRule type="expression" dxfId="1247" priority="69">
      <formula>kvartal &lt; 4</formula>
    </cfRule>
  </conditionalFormatting>
  <conditionalFormatting sqref="F81:G82">
    <cfRule type="expression" dxfId="1246" priority="68">
      <formula>kvartal &lt; 4</formula>
    </cfRule>
  </conditionalFormatting>
  <conditionalFormatting sqref="F84:G85">
    <cfRule type="expression" dxfId="1245" priority="67">
      <formula>kvartal &lt; 4</formula>
    </cfRule>
  </conditionalFormatting>
  <conditionalFormatting sqref="F91:G92">
    <cfRule type="expression" dxfId="1244" priority="62">
      <formula>kvartal &lt; 4</formula>
    </cfRule>
  </conditionalFormatting>
  <conditionalFormatting sqref="F94:G95">
    <cfRule type="expression" dxfId="1243" priority="61">
      <formula>kvartal &lt; 4</formula>
    </cfRule>
  </conditionalFormatting>
  <conditionalFormatting sqref="F102:G103">
    <cfRule type="expression" dxfId="1242" priority="60">
      <formula>kvartal &lt; 4</formula>
    </cfRule>
  </conditionalFormatting>
  <conditionalFormatting sqref="F105:G106">
    <cfRule type="expression" dxfId="1241" priority="59">
      <formula>kvartal &lt; 4</formula>
    </cfRule>
  </conditionalFormatting>
  <conditionalFormatting sqref="F115">
    <cfRule type="expression" dxfId="1240" priority="58">
      <formula>kvartal &lt; 4</formula>
    </cfRule>
  </conditionalFormatting>
  <conditionalFormatting sqref="G115">
    <cfRule type="expression" dxfId="1239" priority="57">
      <formula>kvartal &lt; 4</formula>
    </cfRule>
  </conditionalFormatting>
  <conditionalFormatting sqref="F123:G123">
    <cfRule type="expression" dxfId="1238" priority="56">
      <formula>kvartal &lt; 4</formula>
    </cfRule>
  </conditionalFormatting>
  <conditionalFormatting sqref="F69:G69">
    <cfRule type="expression" dxfId="1237" priority="55">
      <formula>kvartal &lt; 4</formula>
    </cfRule>
  </conditionalFormatting>
  <conditionalFormatting sqref="F72:G72">
    <cfRule type="expression" dxfId="1236" priority="54">
      <formula>kvartal &lt; 4</formula>
    </cfRule>
  </conditionalFormatting>
  <conditionalFormatting sqref="F80:G80">
    <cfRule type="expression" dxfId="1235" priority="53">
      <formula>kvartal &lt; 4</formula>
    </cfRule>
  </conditionalFormatting>
  <conditionalFormatting sqref="F83:G83">
    <cfRule type="expression" dxfId="1234" priority="52">
      <formula>kvartal &lt; 4</formula>
    </cfRule>
  </conditionalFormatting>
  <conditionalFormatting sqref="F90:G90">
    <cfRule type="expression" dxfId="1233" priority="46">
      <formula>kvartal &lt; 4</formula>
    </cfRule>
  </conditionalFormatting>
  <conditionalFormatting sqref="F93">
    <cfRule type="expression" dxfId="1232" priority="45">
      <formula>kvartal &lt; 4</formula>
    </cfRule>
  </conditionalFormatting>
  <conditionalFormatting sqref="G93">
    <cfRule type="expression" dxfId="1231" priority="44">
      <formula>kvartal &lt; 4</formula>
    </cfRule>
  </conditionalFormatting>
  <conditionalFormatting sqref="F101">
    <cfRule type="expression" dxfId="1230" priority="43">
      <formula>kvartal &lt; 4</formula>
    </cfRule>
  </conditionalFormatting>
  <conditionalFormatting sqref="G101">
    <cfRule type="expression" dxfId="1229" priority="42">
      <formula>kvartal &lt; 4</formula>
    </cfRule>
  </conditionalFormatting>
  <conditionalFormatting sqref="G104">
    <cfRule type="expression" dxfId="1228" priority="41">
      <formula>kvartal &lt; 4</formula>
    </cfRule>
  </conditionalFormatting>
  <conditionalFormatting sqref="F104">
    <cfRule type="expression" dxfId="1227" priority="40">
      <formula>kvartal &lt; 4</formula>
    </cfRule>
  </conditionalFormatting>
  <conditionalFormatting sqref="J69:K71 J73:K73">
    <cfRule type="expression" dxfId="1226" priority="39">
      <formula>kvartal &lt; 4</formula>
    </cfRule>
  </conditionalFormatting>
  <conditionalFormatting sqref="J80:K82 J84:K84">
    <cfRule type="expression" dxfId="1225" priority="37">
      <formula>kvartal &lt; 4</formula>
    </cfRule>
  </conditionalFormatting>
  <conditionalFormatting sqref="J90:K92 J94:K94">
    <cfRule type="expression" dxfId="1224" priority="34">
      <formula>kvartal &lt; 4</formula>
    </cfRule>
  </conditionalFormatting>
  <conditionalFormatting sqref="J101:K103 J105:K105">
    <cfRule type="expression" dxfId="1223" priority="33">
      <formula>kvartal &lt; 4</formula>
    </cfRule>
  </conditionalFormatting>
  <conditionalFormatting sqref="J115:K115">
    <cfRule type="expression" dxfId="1222" priority="32">
      <formula>kvartal &lt; 4</formula>
    </cfRule>
  </conditionalFormatting>
  <conditionalFormatting sqref="J123:K123">
    <cfRule type="expression" dxfId="1221" priority="31">
      <formula>kvartal &lt; 4</formula>
    </cfRule>
  </conditionalFormatting>
  <conditionalFormatting sqref="A50:A52">
    <cfRule type="expression" dxfId="1220" priority="12">
      <formula>kvartal &lt; 4</formula>
    </cfRule>
  </conditionalFormatting>
  <conditionalFormatting sqref="A69:A74">
    <cfRule type="expression" dxfId="1219" priority="10">
      <formula>kvartal &lt; 4</formula>
    </cfRule>
  </conditionalFormatting>
  <conditionalFormatting sqref="A80:A85">
    <cfRule type="expression" dxfId="1218" priority="9">
      <formula>kvartal &lt; 4</formula>
    </cfRule>
  </conditionalFormatting>
  <conditionalFormatting sqref="A90:A95">
    <cfRule type="expression" dxfId="1217" priority="6">
      <formula>kvartal &lt; 4</formula>
    </cfRule>
  </conditionalFormatting>
  <conditionalFormatting sqref="A101:A106">
    <cfRule type="expression" dxfId="1216" priority="5">
      <formula>kvartal &lt; 4</formula>
    </cfRule>
  </conditionalFormatting>
  <conditionalFormatting sqref="A115">
    <cfRule type="expression" dxfId="1215" priority="4">
      <formula>kvartal &lt; 4</formula>
    </cfRule>
  </conditionalFormatting>
  <conditionalFormatting sqref="A123">
    <cfRule type="expression" dxfId="1214" priority="3">
      <formula>kvartal &lt; 4</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139</v>
      </c>
      <c r="B1" s="945"/>
      <c r="C1" s="248" t="s">
        <v>130</v>
      </c>
      <c r="D1" s="26"/>
      <c r="E1" s="26"/>
      <c r="F1" s="26"/>
      <c r="G1" s="26"/>
      <c r="H1" s="26"/>
      <c r="I1" s="26"/>
      <c r="J1" s="26"/>
      <c r="K1" s="26"/>
      <c r="L1" s="26"/>
      <c r="M1" s="26"/>
    </row>
    <row r="2" spans="1:14" ht="15.75" x14ac:dyDescent="0.25">
      <c r="A2" s="165" t="s">
        <v>28</v>
      </c>
      <c r="B2" s="972"/>
      <c r="C2" s="972"/>
      <c r="D2" s="972"/>
      <c r="E2" s="298"/>
      <c r="F2" s="972"/>
      <c r="G2" s="972"/>
      <c r="H2" s="972"/>
      <c r="I2" s="298"/>
      <c r="J2" s="972"/>
      <c r="K2" s="972"/>
      <c r="L2" s="972"/>
      <c r="M2" s="298"/>
    </row>
    <row r="3" spans="1:14" ht="15.75" x14ac:dyDescent="0.25">
      <c r="A3" s="163"/>
      <c r="B3" s="298"/>
      <c r="C3" s="298"/>
      <c r="D3" s="298"/>
      <c r="E3" s="298"/>
      <c r="F3" s="298"/>
      <c r="G3" s="298"/>
      <c r="H3" s="298"/>
      <c r="I3" s="298"/>
      <c r="J3" s="298"/>
      <c r="K3" s="298"/>
      <c r="L3" s="298"/>
      <c r="M3" s="298"/>
    </row>
    <row r="4" spans="1:14" x14ac:dyDescent="0.2">
      <c r="A4" s="144"/>
      <c r="B4" s="973" t="s">
        <v>0</v>
      </c>
      <c r="C4" s="974"/>
      <c r="D4" s="974"/>
      <c r="E4" s="300"/>
      <c r="F4" s="973" t="s">
        <v>1</v>
      </c>
      <c r="G4" s="974"/>
      <c r="H4" s="974"/>
      <c r="I4" s="303"/>
      <c r="J4" s="973" t="s">
        <v>2</v>
      </c>
      <c r="K4" s="974"/>
      <c r="L4" s="974"/>
      <c r="M4" s="303"/>
    </row>
    <row r="5" spans="1:14" x14ac:dyDescent="0.2">
      <c r="A5" s="158"/>
      <c r="B5" s="152" t="s">
        <v>492</v>
      </c>
      <c r="C5" s="152" t="s">
        <v>493</v>
      </c>
      <c r="D5" s="245" t="s">
        <v>3</v>
      </c>
      <c r="E5" s="304" t="s">
        <v>29</v>
      </c>
      <c r="F5" s="152" t="s">
        <v>492</v>
      </c>
      <c r="G5" s="152" t="s">
        <v>493</v>
      </c>
      <c r="H5" s="245" t="s">
        <v>3</v>
      </c>
      <c r="I5" s="162" t="s">
        <v>29</v>
      </c>
      <c r="J5" s="152" t="s">
        <v>492</v>
      </c>
      <c r="K5" s="152" t="s">
        <v>493</v>
      </c>
      <c r="L5" s="245" t="s">
        <v>3</v>
      </c>
      <c r="M5" s="162" t="s">
        <v>29</v>
      </c>
    </row>
    <row r="6" spans="1:14" x14ac:dyDescent="0.2">
      <c r="A6" s="946"/>
      <c r="B6" s="156"/>
      <c r="C6" s="156"/>
      <c r="D6" s="246" t="s">
        <v>4</v>
      </c>
      <c r="E6" s="156" t="s">
        <v>30</v>
      </c>
      <c r="F6" s="161"/>
      <c r="G6" s="161"/>
      <c r="H6" s="245" t="s">
        <v>4</v>
      </c>
      <c r="I6" s="156" t="s">
        <v>30</v>
      </c>
      <c r="J6" s="161"/>
      <c r="K6" s="161"/>
      <c r="L6" s="245" t="s">
        <v>4</v>
      </c>
      <c r="M6" s="156" t="s">
        <v>30</v>
      </c>
    </row>
    <row r="7" spans="1:14" ht="15.75" x14ac:dyDescent="0.2">
      <c r="A7" s="14" t="s">
        <v>23</v>
      </c>
      <c r="B7" s="305"/>
      <c r="C7" s="306"/>
      <c r="D7" s="349"/>
      <c r="E7" s="11"/>
      <c r="F7" s="305"/>
      <c r="G7" s="306"/>
      <c r="H7" s="349"/>
      <c r="I7" s="160"/>
      <c r="J7" s="307"/>
      <c r="K7" s="308"/>
      <c r="L7" s="372"/>
      <c r="M7" s="11"/>
    </row>
    <row r="8" spans="1:14" ht="15.75" x14ac:dyDescent="0.2">
      <c r="A8" s="21" t="s">
        <v>25</v>
      </c>
      <c r="B8" s="280"/>
      <c r="C8" s="281"/>
      <c r="D8" s="166"/>
      <c r="E8" s="27"/>
      <c r="F8" s="284"/>
      <c r="G8" s="285"/>
      <c r="H8" s="166"/>
      <c r="I8" s="175"/>
      <c r="J8" s="234"/>
      <c r="K8" s="286"/>
      <c r="L8" s="254"/>
      <c r="M8" s="27"/>
    </row>
    <row r="9" spans="1:14" ht="15.75" x14ac:dyDescent="0.2">
      <c r="A9" s="21" t="s">
        <v>24</v>
      </c>
      <c r="B9" s="280"/>
      <c r="C9" s="281"/>
      <c r="D9" s="166"/>
      <c r="E9" s="27"/>
      <c r="F9" s="284"/>
      <c r="G9" s="285"/>
      <c r="H9" s="166"/>
      <c r="I9" s="175"/>
      <c r="J9" s="234"/>
      <c r="K9" s="286"/>
      <c r="L9" s="254"/>
      <c r="M9" s="27"/>
    </row>
    <row r="10" spans="1:14" ht="15.75" x14ac:dyDescent="0.2">
      <c r="A10" s="13" t="s">
        <v>451</v>
      </c>
      <c r="B10" s="309"/>
      <c r="C10" s="310"/>
      <c r="D10" s="171"/>
      <c r="E10" s="11"/>
      <c r="F10" s="309"/>
      <c r="G10" s="310"/>
      <c r="H10" s="171"/>
      <c r="I10" s="160"/>
      <c r="J10" s="307"/>
      <c r="K10" s="308"/>
      <c r="L10" s="373"/>
      <c r="M10" s="11"/>
    </row>
    <row r="11" spans="1:14" s="43" customFormat="1" ht="15.75" x14ac:dyDescent="0.2">
      <c r="A11" s="13" t="s">
        <v>452</v>
      </c>
      <c r="B11" s="309"/>
      <c r="C11" s="310"/>
      <c r="D11" s="171"/>
      <c r="E11" s="11"/>
      <c r="F11" s="309"/>
      <c r="G11" s="310"/>
      <c r="H11" s="171"/>
      <c r="I11" s="160"/>
      <c r="J11" s="307"/>
      <c r="K11" s="308"/>
      <c r="L11" s="373"/>
      <c r="M11" s="11"/>
      <c r="N11" s="143"/>
    </row>
    <row r="12" spans="1:14" s="43" customFormat="1" ht="15.75" x14ac:dyDescent="0.2">
      <c r="A12" s="41" t="s">
        <v>453</v>
      </c>
      <c r="B12" s="311"/>
      <c r="C12" s="312"/>
      <c r="D12" s="169"/>
      <c r="E12" s="36"/>
      <c r="F12" s="311"/>
      <c r="G12" s="312"/>
      <c r="H12" s="169"/>
      <c r="I12" s="169"/>
      <c r="J12" s="313"/>
      <c r="K12" s="314"/>
      <c r="L12" s="374"/>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975"/>
      <c r="C18" s="975"/>
      <c r="D18" s="975"/>
      <c r="E18" s="298"/>
      <c r="F18" s="975"/>
      <c r="G18" s="975"/>
      <c r="H18" s="975"/>
      <c r="I18" s="298"/>
      <c r="J18" s="975"/>
      <c r="K18" s="975"/>
      <c r="L18" s="975"/>
      <c r="M18" s="298"/>
    </row>
    <row r="19" spans="1:14" x14ac:dyDescent="0.2">
      <c r="A19" s="144"/>
      <c r="B19" s="973" t="s">
        <v>0</v>
      </c>
      <c r="C19" s="974"/>
      <c r="D19" s="974"/>
      <c r="E19" s="300"/>
      <c r="F19" s="973" t="s">
        <v>1</v>
      </c>
      <c r="G19" s="974"/>
      <c r="H19" s="974"/>
      <c r="I19" s="303"/>
      <c r="J19" s="973" t="s">
        <v>2</v>
      </c>
      <c r="K19" s="974"/>
      <c r="L19" s="974"/>
      <c r="M19" s="303"/>
    </row>
    <row r="20" spans="1:14" x14ac:dyDescent="0.2">
      <c r="A20" s="140" t="s">
        <v>5</v>
      </c>
      <c r="B20" s="152" t="s">
        <v>492</v>
      </c>
      <c r="C20" s="152" t="s">
        <v>493</v>
      </c>
      <c r="D20" s="162" t="s">
        <v>3</v>
      </c>
      <c r="E20" s="304" t="s">
        <v>29</v>
      </c>
      <c r="F20" s="152" t="s">
        <v>492</v>
      </c>
      <c r="G20" s="152" t="s">
        <v>493</v>
      </c>
      <c r="H20" s="162" t="s">
        <v>3</v>
      </c>
      <c r="I20" s="162" t="s">
        <v>29</v>
      </c>
      <c r="J20" s="152" t="s">
        <v>492</v>
      </c>
      <c r="K20" s="152" t="s">
        <v>493</v>
      </c>
      <c r="L20" s="162" t="s">
        <v>3</v>
      </c>
      <c r="M20" s="162" t="s">
        <v>29</v>
      </c>
    </row>
    <row r="21" spans="1:14" x14ac:dyDescent="0.2">
      <c r="A21" s="947"/>
      <c r="B21" s="156"/>
      <c r="C21" s="156"/>
      <c r="D21" s="246" t="s">
        <v>4</v>
      </c>
      <c r="E21" s="156" t="s">
        <v>30</v>
      </c>
      <c r="F21" s="161"/>
      <c r="G21" s="161"/>
      <c r="H21" s="245"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372"/>
      <c r="M22" s="24"/>
    </row>
    <row r="23" spans="1:14" ht="15.75" x14ac:dyDescent="0.2">
      <c r="A23" s="753" t="s">
        <v>454</v>
      </c>
      <c r="B23" s="280"/>
      <c r="C23" s="280"/>
      <c r="D23" s="166"/>
      <c r="E23" s="11"/>
      <c r="F23" s="289"/>
      <c r="G23" s="289"/>
      <c r="H23" s="166"/>
      <c r="I23" s="365"/>
      <c r="J23" s="289"/>
      <c r="K23" s="289"/>
      <c r="L23" s="166"/>
      <c r="M23" s="23"/>
    </row>
    <row r="24" spans="1:14" ht="15.75" x14ac:dyDescent="0.2">
      <c r="A24" s="753" t="s">
        <v>455</v>
      </c>
      <c r="B24" s="280"/>
      <c r="C24" s="280"/>
      <c r="D24" s="166"/>
      <c r="E24" s="11"/>
      <c r="F24" s="289"/>
      <c r="G24" s="289"/>
      <c r="H24" s="166"/>
      <c r="I24" s="365"/>
      <c r="J24" s="289"/>
      <c r="K24" s="289"/>
      <c r="L24" s="166"/>
      <c r="M24" s="23"/>
    </row>
    <row r="25" spans="1:14" ht="15.75" x14ac:dyDescent="0.2">
      <c r="A25" s="753" t="s">
        <v>456</v>
      </c>
      <c r="B25" s="280"/>
      <c r="C25" s="280"/>
      <c r="D25" s="166"/>
      <c r="E25" s="11"/>
      <c r="F25" s="289"/>
      <c r="G25" s="289"/>
      <c r="H25" s="166"/>
      <c r="I25" s="365"/>
      <c r="J25" s="289"/>
      <c r="K25" s="289"/>
      <c r="L25" s="166"/>
      <c r="M25" s="23"/>
    </row>
    <row r="26" spans="1:14" ht="15.75" x14ac:dyDescent="0.2">
      <c r="A26" s="753" t="s">
        <v>457</v>
      </c>
      <c r="B26" s="280"/>
      <c r="C26" s="280"/>
      <c r="D26" s="166"/>
      <c r="E26" s="11"/>
      <c r="F26" s="289"/>
      <c r="G26" s="289"/>
      <c r="H26" s="166"/>
      <c r="I26" s="365"/>
      <c r="J26" s="289"/>
      <c r="K26" s="289"/>
      <c r="L26" s="166"/>
      <c r="M26" s="23"/>
    </row>
    <row r="27" spans="1:14" x14ac:dyDescent="0.2">
      <c r="A27" s="753" t="s">
        <v>11</v>
      </c>
      <c r="B27" s="280"/>
      <c r="C27" s="280"/>
      <c r="D27" s="166"/>
      <c r="E27" s="11"/>
      <c r="F27" s="289"/>
      <c r="G27" s="289"/>
      <c r="H27" s="166"/>
      <c r="I27" s="365"/>
      <c r="J27" s="289"/>
      <c r="K27" s="289"/>
      <c r="L27" s="166"/>
      <c r="M27" s="23"/>
    </row>
    <row r="28" spans="1:14" ht="15.75" x14ac:dyDescent="0.2">
      <c r="A28" s="49" t="s">
        <v>279</v>
      </c>
      <c r="B28" s="44"/>
      <c r="C28" s="286"/>
      <c r="D28" s="166"/>
      <c r="E28" s="11"/>
      <c r="F28" s="234"/>
      <c r="G28" s="286"/>
      <c r="H28" s="166"/>
      <c r="I28" s="27"/>
      <c r="J28" s="44"/>
      <c r="K28" s="44"/>
      <c r="L28" s="254"/>
      <c r="M28" s="23"/>
    </row>
    <row r="29" spans="1:14" s="3" customFormat="1" ht="15.75" x14ac:dyDescent="0.2">
      <c r="A29" s="13" t="s">
        <v>451</v>
      </c>
      <c r="B29" s="236"/>
      <c r="C29" s="236"/>
      <c r="D29" s="171"/>
      <c r="E29" s="11"/>
      <c r="F29" s="307"/>
      <c r="G29" s="307"/>
      <c r="H29" s="171"/>
      <c r="I29" s="11"/>
      <c r="J29" s="236"/>
      <c r="K29" s="236"/>
      <c r="L29" s="373"/>
      <c r="M29" s="24"/>
      <c r="N29" s="148"/>
    </row>
    <row r="30" spans="1:14" s="3" customFormat="1" ht="15.75" x14ac:dyDescent="0.2">
      <c r="A30" s="753" t="s">
        <v>454</v>
      </c>
      <c r="B30" s="280"/>
      <c r="C30" s="280"/>
      <c r="D30" s="166"/>
      <c r="E30" s="11"/>
      <c r="F30" s="289"/>
      <c r="G30" s="289"/>
      <c r="H30" s="166"/>
      <c r="I30" s="365"/>
      <c r="J30" s="289"/>
      <c r="K30" s="289"/>
      <c r="L30" s="166"/>
      <c r="M30" s="23"/>
      <c r="N30" s="148"/>
    </row>
    <row r="31" spans="1:14" s="3" customFormat="1" ht="15.75" x14ac:dyDescent="0.2">
      <c r="A31" s="753" t="s">
        <v>455</v>
      </c>
      <c r="B31" s="280"/>
      <c r="C31" s="280"/>
      <c r="D31" s="166"/>
      <c r="E31" s="11"/>
      <c r="F31" s="289"/>
      <c r="G31" s="289"/>
      <c r="H31" s="166"/>
      <c r="I31" s="365"/>
      <c r="J31" s="289"/>
      <c r="K31" s="289"/>
      <c r="L31" s="166"/>
      <c r="M31" s="23"/>
      <c r="N31" s="148"/>
    </row>
    <row r="32" spans="1:14" ht="15.75" x14ac:dyDescent="0.2">
      <c r="A32" s="753" t="s">
        <v>456</v>
      </c>
      <c r="B32" s="280"/>
      <c r="C32" s="280"/>
      <c r="D32" s="166"/>
      <c r="E32" s="11"/>
      <c r="F32" s="289"/>
      <c r="G32" s="289"/>
      <c r="H32" s="166"/>
      <c r="I32" s="365"/>
      <c r="J32" s="289"/>
      <c r="K32" s="289"/>
      <c r="L32" s="166"/>
      <c r="M32" s="23"/>
    </row>
    <row r="33" spans="1:14" ht="15.75" x14ac:dyDescent="0.2">
      <c r="A33" s="753" t="s">
        <v>457</v>
      </c>
      <c r="B33" s="280"/>
      <c r="C33" s="280"/>
      <c r="D33" s="166"/>
      <c r="E33" s="11"/>
      <c r="F33" s="289"/>
      <c r="G33" s="289"/>
      <c r="H33" s="166"/>
      <c r="I33" s="365"/>
      <c r="J33" s="289"/>
      <c r="K33" s="289"/>
      <c r="L33" s="166"/>
      <c r="M33" s="23"/>
    </row>
    <row r="34" spans="1:14" ht="15.75" x14ac:dyDescent="0.2">
      <c r="A34" s="13" t="s">
        <v>452</v>
      </c>
      <c r="B34" s="236"/>
      <c r="C34" s="308"/>
      <c r="D34" s="171"/>
      <c r="E34" s="11"/>
      <c r="F34" s="307"/>
      <c r="G34" s="308"/>
      <c r="H34" s="171"/>
      <c r="I34" s="11"/>
      <c r="J34" s="236"/>
      <c r="K34" s="236"/>
      <c r="L34" s="373"/>
      <c r="M34" s="24"/>
    </row>
    <row r="35" spans="1:14" ht="15.75" x14ac:dyDescent="0.2">
      <c r="A35" s="13" t="s">
        <v>453</v>
      </c>
      <c r="B35" s="236"/>
      <c r="C35" s="308"/>
      <c r="D35" s="171"/>
      <c r="E35" s="11"/>
      <c r="F35" s="307"/>
      <c r="G35" s="308"/>
      <c r="H35" s="171"/>
      <c r="I35" s="11"/>
      <c r="J35" s="236"/>
      <c r="K35" s="236"/>
      <c r="L35" s="373"/>
      <c r="M35" s="24"/>
    </row>
    <row r="36" spans="1:14" ht="15.75" x14ac:dyDescent="0.2">
      <c r="A36" s="12" t="s">
        <v>287</v>
      </c>
      <c r="B36" s="236"/>
      <c r="C36" s="308"/>
      <c r="D36" s="171"/>
      <c r="E36" s="11"/>
      <c r="F36" s="318"/>
      <c r="G36" s="319"/>
      <c r="H36" s="171"/>
      <c r="I36" s="379"/>
      <c r="J36" s="236"/>
      <c r="K36" s="236"/>
      <c r="L36" s="373"/>
      <c r="M36" s="24"/>
    </row>
    <row r="37" spans="1:14" ht="15.75" x14ac:dyDescent="0.2">
      <c r="A37" s="12" t="s">
        <v>459</v>
      </c>
      <c r="B37" s="236"/>
      <c r="C37" s="308"/>
      <c r="D37" s="171"/>
      <c r="E37" s="11"/>
      <c r="F37" s="318"/>
      <c r="G37" s="320"/>
      <c r="H37" s="171"/>
      <c r="I37" s="379"/>
      <c r="J37" s="236"/>
      <c r="K37" s="236"/>
      <c r="L37" s="373"/>
      <c r="M37" s="24"/>
    </row>
    <row r="38" spans="1:14" ht="15.75" x14ac:dyDescent="0.2">
      <c r="A38" s="12" t="s">
        <v>460</v>
      </c>
      <c r="B38" s="236"/>
      <c r="C38" s="308"/>
      <c r="D38" s="171"/>
      <c r="E38" s="24"/>
      <c r="F38" s="318"/>
      <c r="G38" s="319"/>
      <c r="H38" s="171"/>
      <c r="I38" s="379"/>
      <c r="J38" s="236"/>
      <c r="K38" s="236"/>
      <c r="L38" s="373"/>
      <c r="M38" s="24"/>
    </row>
    <row r="39" spans="1:14" ht="15.75" x14ac:dyDescent="0.2">
      <c r="A39" s="18" t="s">
        <v>461</v>
      </c>
      <c r="B39" s="275"/>
      <c r="C39" s="314"/>
      <c r="D39" s="169"/>
      <c r="E39" s="36"/>
      <c r="F39" s="321"/>
      <c r="G39" s="322"/>
      <c r="H39" s="169"/>
      <c r="I39" s="36"/>
      <c r="J39" s="236"/>
      <c r="K39" s="236"/>
      <c r="L39" s="374"/>
      <c r="M39" s="36"/>
    </row>
    <row r="40" spans="1:14" ht="15.75" x14ac:dyDescent="0.25">
      <c r="A40" s="47"/>
      <c r="B40" s="253"/>
      <c r="C40" s="253"/>
      <c r="D40" s="976"/>
      <c r="E40" s="976"/>
      <c r="F40" s="976"/>
      <c r="G40" s="976"/>
      <c r="H40" s="976"/>
      <c r="I40" s="976"/>
      <c r="J40" s="976"/>
      <c r="K40" s="976"/>
      <c r="L40" s="976"/>
      <c r="M40" s="301"/>
    </row>
    <row r="41" spans="1:14" x14ac:dyDescent="0.2">
      <c r="A41" s="155"/>
    </row>
    <row r="42" spans="1:14" ht="15.75" x14ac:dyDescent="0.25">
      <c r="A42" s="147" t="s">
        <v>276</v>
      </c>
      <c r="B42" s="972"/>
      <c r="C42" s="972"/>
      <c r="D42" s="972"/>
      <c r="E42" s="298"/>
      <c r="F42" s="977"/>
      <c r="G42" s="977"/>
      <c r="H42" s="977"/>
      <c r="I42" s="301"/>
      <c r="J42" s="977"/>
      <c r="K42" s="977"/>
      <c r="L42" s="977"/>
      <c r="M42" s="301"/>
    </row>
    <row r="43" spans="1:14" ht="15.75" x14ac:dyDescent="0.25">
      <c r="A43" s="163"/>
      <c r="B43" s="302"/>
      <c r="C43" s="302"/>
      <c r="D43" s="302"/>
      <c r="E43" s="302"/>
      <c r="F43" s="301"/>
      <c r="G43" s="301"/>
      <c r="H43" s="301"/>
      <c r="I43" s="301"/>
      <c r="J43" s="301"/>
      <c r="K43" s="301"/>
      <c r="L43" s="301"/>
      <c r="M43" s="301"/>
    </row>
    <row r="44" spans="1:14" ht="15.75" x14ac:dyDescent="0.25">
      <c r="A44" s="247"/>
      <c r="B44" s="973" t="s">
        <v>0</v>
      </c>
      <c r="C44" s="974"/>
      <c r="D44" s="974"/>
      <c r="E44" s="243"/>
      <c r="F44" s="301"/>
      <c r="G44" s="301"/>
      <c r="H44" s="301"/>
      <c r="I44" s="301"/>
      <c r="J44" s="301"/>
      <c r="K44" s="301"/>
      <c r="L44" s="301"/>
      <c r="M44" s="301"/>
    </row>
    <row r="45" spans="1:14" s="3" customFormat="1" x14ac:dyDescent="0.2">
      <c r="A45" s="140"/>
      <c r="B45" s="152" t="s">
        <v>492</v>
      </c>
      <c r="C45" s="152" t="s">
        <v>493</v>
      </c>
      <c r="D45" s="162" t="s">
        <v>3</v>
      </c>
      <c r="E45" s="162" t="s">
        <v>29</v>
      </c>
      <c r="F45" s="174"/>
      <c r="G45" s="174"/>
      <c r="H45" s="173"/>
      <c r="I45" s="173"/>
      <c r="J45" s="174"/>
      <c r="K45" s="174"/>
      <c r="L45" s="173"/>
      <c r="M45" s="173"/>
      <c r="N45" s="148"/>
    </row>
    <row r="46" spans="1:14" s="3" customFormat="1" x14ac:dyDescent="0.2">
      <c r="A46" s="947"/>
      <c r="B46" s="244"/>
      <c r="C46" s="244"/>
      <c r="D46" s="245" t="s">
        <v>4</v>
      </c>
      <c r="E46" s="156" t="s">
        <v>30</v>
      </c>
      <c r="F46" s="173"/>
      <c r="G46" s="173"/>
      <c r="H46" s="173"/>
      <c r="I46" s="173"/>
      <c r="J46" s="173"/>
      <c r="K46" s="173"/>
      <c r="L46" s="173"/>
      <c r="M46" s="173"/>
      <c r="N46" s="148"/>
    </row>
    <row r="47" spans="1:14" s="3" customFormat="1" ht="15.75" x14ac:dyDescent="0.2">
      <c r="A47" s="14" t="s">
        <v>23</v>
      </c>
      <c r="B47" s="309">
        <v>7955</v>
      </c>
      <c r="C47" s="310">
        <v>8197</v>
      </c>
      <c r="D47" s="372">
        <f t="shared" ref="D47:D57" si="0">IF(B47=0, "    ---- ", IF(ABS(ROUND(100/B47*C47-100,1))&lt;999,ROUND(100/B47*C47-100,1),IF(ROUND(100/B47*C47-100,1)&gt;999,999,-999)))</f>
        <v>3</v>
      </c>
      <c r="E47" s="11">
        <f>IFERROR(100/'Skjema total MA'!C47*C47,0)</f>
        <v>0.1893927474485031</v>
      </c>
      <c r="F47" s="145"/>
      <c r="G47" s="33"/>
      <c r="H47" s="159"/>
      <c r="I47" s="159"/>
      <c r="J47" s="37"/>
      <c r="K47" s="37"/>
      <c r="L47" s="159"/>
      <c r="M47" s="159"/>
      <c r="N47" s="148"/>
    </row>
    <row r="48" spans="1:14" s="3" customFormat="1" ht="15.75" x14ac:dyDescent="0.2">
      <c r="A48" s="38" t="s">
        <v>462</v>
      </c>
      <c r="B48" s="280">
        <v>7955</v>
      </c>
      <c r="C48" s="281">
        <v>8197</v>
      </c>
      <c r="D48" s="254">
        <f t="shared" si="0"/>
        <v>3</v>
      </c>
      <c r="E48" s="27">
        <f>IFERROR(100/'Skjema total MA'!C48*C48,0)</f>
        <v>0.34162216425183839</v>
      </c>
      <c r="F48" s="145"/>
      <c r="G48" s="33"/>
      <c r="H48" s="145"/>
      <c r="I48" s="145"/>
      <c r="J48" s="33"/>
      <c r="K48" s="33"/>
      <c r="L48" s="159"/>
      <c r="M48" s="159"/>
      <c r="N48" s="148"/>
    </row>
    <row r="49" spans="1:14" s="3" customFormat="1" ht="15.75" x14ac:dyDescent="0.2">
      <c r="A49" s="38" t="s">
        <v>463</v>
      </c>
      <c r="B49" s="44"/>
      <c r="C49" s="286"/>
      <c r="D49" s="254"/>
      <c r="E49" s="27"/>
      <c r="F49" s="145"/>
      <c r="G49" s="33"/>
      <c r="H49" s="145"/>
      <c r="I49" s="145"/>
      <c r="J49" s="37"/>
      <c r="K49" s="37"/>
      <c r="L49" s="159"/>
      <c r="M49" s="159"/>
      <c r="N49" s="148"/>
    </row>
    <row r="50" spans="1:14" s="3" customFormat="1" x14ac:dyDescent="0.2">
      <c r="A50" s="295" t="s">
        <v>6</v>
      </c>
      <c r="B50" s="289"/>
      <c r="C50" s="290"/>
      <c r="D50" s="254"/>
      <c r="E50" s="23"/>
      <c r="F50" s="145"/>
      <c r="G50" s="33"/>
      <c r="H50" s="145"/>
      <c r="I50" s="145"/>
      <c r="J50" s="33"/>
      <c r="K50" s="33"/>
      <c r="L50" s="159"/>
      <c r="M50" s="159"/>
      <c r="N50" s="148"/>
    </row>
    <row r="51" spans="1:14" s="3" customFormat="1" x14ac:dyDescent="0.2">
      <c r="A51" s="295" t="s">
        <v>7</v>
      </c>
      <c r="B51" s="289"/>
      <c r="C51" s="290"/>
      <c r="D51" s="254"/>
      <c r="E51" s="23"/>
      <c r="F51" s="145"/>
      <c r="G51" s="33"/>
      <c r="H51" s="145"/>
      <c r="I51" s="145"/>
      <c r="J51" s="33"/>
      <c r="K51" s="33"/>
      <c r="L51" s="159"/>
      <c r="M51" s="159"/>
      <c r="N51" s="148"/>
    </row>
    <row r="52" spans="1:14" s="3" customFormat="1" x14ac:dyDescent="0.2">
      <c r="A52" s="295" t="s">
        <v>8</v>
      </c>
      <c r="B52" s="289"/>
      <c r="C52" s="290"/>
      <c r="D52" s="254"/>
      <c r="E52" s="23"/>
      <c r="F52" s="145"/>
      <c r="G52" s="33"/>
      <c r="H52" s="145"/>
      <c r="I52" s="145"/>
      <c r="J52" s="33"/>
      <c r="K52" s="33"/>
      <c r="L52" s="159"/>
      <c r="M52" s="159"/>
      <c r="N52" s="148"/>
    </row>
    <row r="53" spans="1:14" s="3" customFormat="1" ht="15.75" x14ac:dyDescent="0.2">
      <c r="A53" s="39" t="s">
        <v>464</v>
      </c>
      <c r="B53" s="309">
        <v>1860</v>
      </c>
      <c r="C53" s="310">
        <v>0</v>
      </c>
      <c r="D53" s="373">
        <f t="shared" si="0"/>
        <v>-100</v>
      </c>
      <c r="E53" s="11">
        <f>IFERROR(100/'Skjema total MA'!C53*C53,0)</f>
        <v>0</v>
      </c>
      <c r="F53" s="145"/>
      <c r="G53" s="33"/>
      <c r="H53" s="145"/>
      <c r="I53" s="145"/>
      <c r="J53" s="33"/>
      <c r="K53" s="33"/>
      <c r="L53" s="159"/>
      <c r="M53" s="159"/>
      <c r="N53" s="148"/>
    </row>
    <row r="54" spans="1:14" s="3" customFormat="1" ht="15.75" x14ac:dyDescent="0.2">
      <c r="A54" s="38" t="s">
        <v>462</v>
      </c>
      <c r="B54" s="280">
        <v>1860</v>
      </c>
      <c r="C54" s="281">
        <v>0</v>
      </c>
      <c r="D54" s="254">
        <f t="shared" si="0"/>
        <v>-100</v>
      </c>
      <c r="E54" s="27">
        <f>IFERROR(100/'Skjema total MA'!C54*C54,0)</f>
        <v>0</v>
      </c>
      <c r="F54" s="145"/>
      <c r="G54" s="33"/>
      <c r="H54" s="145"/>
      <c r="I54" s="145"/>
      <c r="J54" s="33"/>
      <c r="K54" s="33"/>
      <c r="L54" s="159"/>
      <c r="M54" s="159"/>
      <c r="N54" s="148"/>
    </row>
    <row r="55" spans="1:14" s="3" customFormat="1" ht="15.75" x14ac:dyDescent="0.2">
      <c r="A55" s="38" t="s">
        <v>463</v>
      </c>
      <c r="B55" s="280"/>
      <c r="C55" s="281"/>
      <c r="D55" s="254"/>
      <c r="E55" s="27"/>
      <c r="F55" s="145"/>
      <c r="G55" s="33"/>
      <c r="H55" s="145"/>
      <c r="I55" s="145"/>
      <c r="J55" s="33"/>
      <c r="K55" s="33"/>
      <c r="L55" s="159"/>
      <c r="M55" s="159"/>
      <c r="N55" s="148"/>
    </row>
    <row r="56" spans="1:14" s="3" customFormat="1" ht="15.75" x14ac:dyDescent="0.2">
      <c r="A56" s="39" t="s">
        <v>465</v>
      </c>
      <c r="B56" s="309">
        <v>325</v>
      </c>
      <c r="C56" s="310">
        <v>0</v>
      </c>
      <c r="D56" s="373">
        <f t="shared" si="0"/>
        <v>-100</v>
      </c>
      <c r="E56" s="11">
        <f>IFERROR(100/'Skjema total MA'!C56*C56,0)</f>
        <v>0</v>
      </c>
      <c r="F56" s="145"/>
      <c r="G56" s="33"/>
      <c r="H56" s="145"/>
      <c r="I56" s="145"/>
      <c r="J56" s="33"/>
      <c r="K56" s="33"/>
      <c r="L56" s="159"/>
      <c r="M56" s="159"/>
      <c r="N56" s="148"/>
    </row>
    <row r="57" spans="1:14" s="3" customFormat="1" ht="15.75" x14ac:dyDescent="0.2">
      <c r="A57" s="38" t="s">
        <v>462</v>
      </c>
      <c r="B57" s="280">
        <v>325</v>
      </c>
      <c r="C57" s="281">
        <v>0</v>
      </c>
      <c r="D57" s="254">
        <f t="shared" si="0"/>
        <v>-100</v>
      </c>
      <c r="E57" s="27">
        <f>IFERROR(100/'Skjema total MA'!C57*C57,0)</f>
        <v>0</v>
      </c>
      <c r="F57" s="145"/>
      <c r="G57" s="33"/>
      <c r="H57" s="145"/>
      <c r="I57" s="145"/>
      <c r="J57" s="33"/>
      <c r="K57" s="33"/>
      <c r="L57" s="159"/>
      <c r="M57" s="159"/>
      <c r="N57" s="148"/>
    </row>
    <row r="58" spans="1:14" s="3" customFormat="1" ht="15.75" x14ac:dyDescent="0.2">
      <c r="A58" s="46" t="s">
        <v>463</v>
      </c>
      <c r="B58" s="282"/>
      <c r="C58" s="283"/>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975"/>
      <c r="C62" s="975"/>
      <c r="D62" s="975"/>
      <c r="E62" s="298"/>
      <c r="F62" s="975"/>
      <c r="G62" s="975"/>
      <c r="H62" s="975"/>
      <c r="I62" s="298"/>
      <c r="J62" s="975"/>
      <c r="K62" s="975"/>
      <c r="L62" s="975"/>
      <c r="M62" s="298"/>
    </row>
    <row r="63" spans="1:14" x14ac:dyDescent="0.2">
      <c r="A63" s="144"/>
      <c r="B63" s="973" t="s">
        <v>0</v>
      </c>
      <c r="C63" s="974"/>
      <c r="D63" s="978"/>
      <c r="E63" s="299"/>
      <c r="F63" s="974" t="s">
        <v>1</v>
      </c>
      <c r="G63" s="974"/>
      <c r="H63" s="974"/>
      <c r="I63" s="303"/>
      <c r="J63" s="973" t="s">
        <v>2</v>
      </c>
      <c r="K63" s="974"/>
      <c r="L63" s="974"/>
      <c r="M63" s="303"/>
    </row>
    <row r="64" spans="1:14" x14ac:dyDescent="0.2">
      <c r="A64" s="140"/>
      <c r="B64" s="152" t="s">
        <v>492</v>
      </c>
      <c r="C64" s="152" t="s">
        <v>493</v>
      </c>
      <c r="D64" s="245" t="s">
        <v>3</v>
      </c>
      <c r="E64" s="304" t="s">
        <v>29</v>
      </c>
      <c r="F64" s="152" t="s">
        <v>492</v>
      </c>
      <c r="G64" s="152" t="s">
        <v>493</v>
      </c>
      <c r="H64" s="245" t="s">
        <v>3</v>
      </c>
      <c r="I64" s="304" t="s">
        <v>29</v>
      </c>
      <c r="J64" s="152" t="s">
        <v>492</v>
      </c>
      <c r="K64" s="152" t="s">
        <v>493</v>
      </c>
      <c r="L64" s="245" t="s">
        <v>3</v>
      </c>
      <c r="M64" s="162" t="s">
        <v>29</v>
      </c>
    </row>
    <row r="65" spans="1:14" x14ac:dyDescent="0.2">
      <c r="A65" s="947"/>
      <c r="B65" s="156"/>
      <c r="C65" s="156"/>
      <c r="D65" s="246" t="s">
        <v>4</v>
      </c>
      <c r="E65" s="156" t="s">
        <v>30</v>
      </c>
      <c r="F65" s="161"/>
      <c r="G65" s="161"/>
      <c r="H65" s="245" t="s">
        <v>4</v>
      </c>
      <c r="I65" s="156" t="s">
        <v>30</v>
      </c>
      <c r="J65" s="161"/>
      <c r="K65" s="206"/>
      <c r="L65" s="156" t="s">
        <v>4</v>
      </c>
      <c r="M65" s="156" t="s">
        <v>30</v>
      </c>
    </row>
    <row r="66" spans="1:14" ht="15.75" x14ac:dyDescent="0.2">
      <c r="A66" s="14" t="s">
        <v>23</v>
      </c>
      <c r="B66" s="352"/>
      <c r="C66" s="352"/>
      <c r="D66" s="349"/>
      <c r="E66" s="11"/>
      <c r="F66" s="351"/>
      <c r="G66" s="351"/>
      <c r="H66" s="349"/>
      <c r="I66" s="11"/>
      <c r="J66" s="308"/>
      <c r="K66" s="315"/>
      <c r="L66" s="373"/>
      <c r="M66" s="11"/>
    </row>
    <row r="67" spans="1:14" x14ac:dyDescent="0.2">
      <c r="A67" s="367" t="s">
        <v>9</v>
      </c>
      <c r="B67" s="44"/>
      <c r="C67" s="145"/>
      <c r="D67" s="166"/>
      <c r="E67" s="27"/>
      <c r="F67" s="234"/>
      <c r="G67" s="145"/>
      <c r="H67" s="166"/>
      <c r="I67" s="27"/>
      <c r="J67" s="286"/>
      <c r="K67" s="44"/>
      <c r="L67" s="254"/>
      <c r="M67" s="27"/>
    </row>
    <row r="68" spans="1:14" x14ac:dyDescent="0.2">
      <c r="A68" s="21" t="s">
        <v>10</v>
      </c>
      <c r="B68" s="291"/>
      <c r="C68" s="292"/>
      <c r="D68" s="166"/>
      <c r="E68" s="27"/>
      <c r="F68" s="291"/>
      <c r="G68" s="292"/>
      <c r="H68" s="166"/>
      <c r="I68" s="27"/>
      <c r="J68" s="286"/>
      <c r="K68" s="44"/>
      <c r="L68" s="254"/>
      <c r="M68" s="27"/>
    </row>
    <row r="69" spans="1:14" ht="15.75" x14ac:dyDescent="0.2">
      <c r="A69" s="295" t="s">
        <v>466</v>
      </c>
      <c r="B69" s="280"/>
      <c r="C69" s="280"/>
      <c r="D69" s="166"/>
      <c r="E69" s="365"/>
      <c r="F69" s="280"/>
      <c r="G69" s="280"/>
      <c r="H69" s="166"/>
      <c r="I69" s="365"/>
      <c r="J69" s="289"/>
      <c r="K69" s="289"/>
      <c r="L69" s="166"/>
      <c r="M69" s="23"/>
    </row>
    <row r="70" spans="1:14" x14ac:dyDescent="0.2">
      <c r="A70" s="295" t="s">
        <v>12</v>
      </c>
      <c r="B70" s="293"/>
      <c r="C70" s="294"/>
      <c r="D70" s="166"/>
      <c r="E70" s="365"/>
      <c r="F70" s="280"/>
      <c r="G70" s="280"/>
      <c r="H70" s="166"/>
      <c r="I70" s="365"/>
      <c r="J70" s="289"/>
      <c r="K70" s="289"/>
      <c r="L70" s="166"/>
      <c r="M70" s="23"/>
    </row>
    <row r="71" spans="1:14" x14ac:dyDescent="0.2">
      <c r="A71" s="295" t="s">
        <v>13</v>
      </c>
      <c r="B71" s="235"/>
      <c r="C71" s="288"/>
      <c r="D71" s="166"/>
      <c r="E71" s="365"/>
      <c r="F71" s="280"/>
      <c r="G71" s="280"/>
      <c r="H71" s="166"/>
      <c r="I71" s="365"/>
      <c r="J71" s="289"/>
      <c r="K71" s="289"/>
      <c r="L71" s="166"/>
      <c r="M71" s="23"/>
    </row>
    <row r="72" spans="1:14" ht="15.75" x14ac:dyDescent="0.2">
      <c r="A72" s="295" t="s">
        <v>467</v>
      </c>
      <c r="B72" s="280"/>
      <c r="C72" s="280"/>
      <c r="D72" s="166"/>
      <c r="E72" s="365"/>
      <c r="F72" s="280"/>
      <c r="G72" s="280"/>
      <c r="H72" s="166"/>
      <c r="I72" s="365"/>
      <c r="J72" s="289"/>
      <c r="K72" s="289"/>
      <c r="L72" s="166"/>
      <c r="M72" s="23"/>
    </row>
    <row r="73" spans="1:14" x14ac:dyDescent="0.2">
      <c r="A73" s="295" t="s">
        <v>12</v>
      </c>
      <c r="B73" s="235"/>
      <c r="C73" s="288"/>
      <c r="D73" s="166"/>
      <c r="E73" s="365"/>
      <c r="F73" s="280"/>
      <c r="G73" s="280"/>
      <c r="H73" s="166"/>
      <c r="I73" s="365"/>
      <c r="J73" s="289"/>
      <c r="K73" s="289"/>
      <c r="L73" s="166"/>
      <c r="M73" s="23"/>
    </row>
    <row r="74" spans="1:14" s="3" customFormat="1" x14ac:dyDescent="0.2">
      <c r="A74" s="295" t="s">
        <v>13</v>
      </c>
      <c r="B74" s="235"/>
      <c r="C74" s="288"/>
      <c r="D74" s="166"/>
      <c r="E74" s="365"/>
      <c r="F74" s="280"/>
      <c r="G74" s="280"/>
      <c r="H74" s="166"/>
      <c r="I74" s="365"/>
      <c r="J74" s="289"/>
      <c r="K74" s="289"/>
      <c r="L74" s="166"/>
      <c r="M74" s="23"/>
      <c r="N74" s="148"/>
    </row>
    <row r="75" spans="1:14" s="3" customFormat="1" x14ac:dyDescent="0.2">
      <c r="A75" s="21" t="s">
        <v>353</v>
      </c>
      <c r="B75" s="234"/>
      <c r="C75" s="145"/>
      <c r="D75" s="166"/>
      <c r="E75" s="27"/>
      <c r="F75" s="234"/>
      <c r="G75" s="145"/>
      <c r="H75" s="166"/>
      <c r="I75" s="27"/>
      <c r="J75" s="286"/>
      <c r="K75" s="44"/>
      <c r="L75" s="254"/>
      <c r="M75" s="27"/>
      <c r="N75" s="148"/>
    </row>
    <row r="76" spans="1:14" s="3" customFormat="1" x14ac:dyDescent="0.2">
      <c r="A76" s="21" t="s">
        <v>352</v>
      </c>
      <c r="B76" s="234"/>
      <c r="C76" s="145"/>
      <c r="D76" s="166"/>
      <c r="E76" s="27"/>
      <c r="F76" s="234"/>
      <c r="G76" s="145"/>
      <c r="H76" s="166"/>
      <c r="I76" s="27"/>
      <c r="J76" s="286"/>
      <c r="K76" s="44"/>
      <c r="L76" s="254"/>
      <c r="M76" s="27"/>
      <c r="N76" s="148"/>
    </row>
    <row r="77" spans="1:14" ht="15.75" x14ac:dyDescent="0.2">
      <c r="A77" s="21" t="s">
        <v>468</v>
      </c>
      <c r="B77" s="234"/>
      <c r="C77" s="234"/>
      <c r="D77" s="166"/>
      <c r="E77" s="27"/>
      <c r="F77" s="234"/>
      <c r="G77" s="145"/>
      <c r="H77" s="166"/>
      <c r="I77" s="27"/>
      <c r="J77" s="286"/>
      <c r="K77" s="44"/>
      <c r="L77" s="254"/>
      <c r="M77" s="27"/>
    </row>
    <row r="78" spans="1:14" x14ac:dyDescent="0.2">
      <c r="A78" s="21" t="s">
        <v>9</v>
      </c>
      <c r="B78" s="234"/>
      <c r="C78" s="145"/>
      <c r="D78" s="166"/>
      <c r="E78" s="27"/>
      <c r="F78" s="234"/>
      <c r="G78" s="145"/>
      <c r="H78" s="166"/>
      <c r="I78" s="27"/>
      <c r="J78" s="286"/>
      <c r="K78" s="44"/>
      <c r="L78" s="254"/>
      <c r="M78" s="27"/>
    </row>
    <row r="79" spans="1:14" x14ac:dyDescent="0.2">
      <c r="A79" s="21" t="s">
        <v>10</v>
      </c>
      <c r="B79" s="291"/>
      <c r="C79" s="292"/>
      <c r="D79" s="166"/>
      <c r="E79" s="27"/>
      <c r="F79" s="291"/>
      <c r="G79" s="292"/>
      <c r="H79" s="166"/>
      <c r="I79" s="27"/>
      <c r="J79" s="286"/>
      <c r="K79" s="44"/>
      <c r="L79" s="254"/>
      <c r="M79" s="27"/>
    </row>
    <row r="80" spans="1:14" ht="15.75" x14ac:dyDescent="0.2">
      <c r="A80" s="295" t="s">
        <v>466</v>
      </c>
      <c r="B80" s="280"/>
      <c r="C80" s="280"/>
      <c r="D80" s="166"/>
      <c r="E80" s="365"/>
      <c r="F80" s="280"/>
      <c r="G80" s="280"/>
      <c r="H80" s="166"/>
      <c r="I80" s="365"/>
      <c r="J80" s="289"/>
      <c r="K80" s="289"/>
      <c r="L80" s="166"/>
      <c r="M80" s="23"/>
    </row>
    <row r="81" spans="1:13" x14ac:dyDescent="0.2">
      <c r="A81" s="295" t="s">
        <v>12</v>
      </c>
      <c r="B81" s="235"/>
      <c r="C81" s="288"/>
      <c r="D81" s="166"/>
      <c r="E81" s="365"/>
      <c r="F81" s="280"/>
      <c r="G81" s="280"/>
      <c r="H81" s="166"/>
      <c r="I81" s="365"/>
      <c r="J81" s="289"/>
      <c r="K81" s="289"/>
      <c r="L81" s="166"/>
      <c r="M81" s="23"/>
    </row>
    <row r="82" spans="1:13" x14ac:dyDescent="0.2">
      <c r="A82" s="295" t="s">
        <v>13</v>
      </c>
      <c r="B82" s="235"/>
      <c r="C82" s="288"/>
      <c r="D82" s="166"/>
      <c r="E82" s="365"/>
      <c r="F82" s="280"/>
      <c r="G82" s="280"/>
      <c r="H82" s="166"/>
      <c r="I82" s="365"/>
      <c r="J82" s="289"/>
      <c r="K82" s="289"/>
      <c r="L82" s="166"/>
      <c r="M82" s="23"/>
    </row>
    <row r="83" spans="1:13" ht="15.75" x14ac:dyDescent="0.2">
      <c r="A83" s="295" t="s">
        <v>467</v>
      </c>
      <c r="B83" s="280"/>
      <c r="C83" s="280"/>
      <c r="D83" s="166"/>
      <c r="E83" s="365"/>
      <c r="F83" s="280"/>
      <c r="G83" s="280"/>
      <c r="H83" s="166"/>
      <c r="I83" s="365"/>
      <c r="J83" s="289"/>
      <c r="K83" s="289"/>
      <c r="L83" s="166"/>
      <c r="M83" s="23"/>
    </row>
    <row r="84" spans="1:13" x14ac:dyDescent="0.2">
      <c r="A84" s="295" t="s">
        <v>12</v>
      </c>
      <c r="B84" s="235"/>
      <c r="C84" s="288"/>
      <c r="D84" s="166"/>
      <c r="E84" s="365"/>
      <c r="F84" s="280"/>
      <c r="G84" s="280"/>
      <c r="H84" s="166"/>
      <c r="I84" s="365"/>
      <c r="J84" s="289"/>
      <c r="K84" s="289"/>
      <c r="L84" s="166"/>
      <c r="M84" s="23"/>
    </row>
    <row r="85" spans="1:13" x14ac:dyDescent="0.2">
      <c r="A85" s="295" t="s">
        <v>13</v>
      </c>
      <c r="B85" s="235"/>
      <c r="C85" s="288"/>
      <c r="D85" s="166"/>
      <c r="E85" s="365"/>
      <c r="F85" s="280"/>
      <c r="G85" s="280"/>
      <c r="H85" s="166"/>
      <c r="I85" s="365"/>
      <c r="J85" s="289"/>
      <c r="K85" s="289"/>
      <c r="L85" s="166"/>
      <c r="M85" s="23"/>
    </row>
    <row r="86" spans="1:13" ht="15.75" x14ac:dyDescent="0.2">
      <c r="A86" s="21" t="s">
        <v>469</v>
      </c>
      <c r="B86" s="234"/>
      <c r="C86" s="145"/>
      <c r="D86" s="166"/>
      <c r="E86" s="27"/>
      <c r="F86" s="234"/>
      <c r="G86" s="145"/>
      <c r="H86" s="166"/>
      <c r="I86" s="27"/>
      <c r="J86" s="286"/>
      <c r="K86" s="44"/>
      <c r="L86" s="254"/>
      <c r="M86" s="27"/>
    </row>
    <row r="87" spans="1:13" ht="15.75" x14ac:dyDescent="0.2">
      <c r="A87" s="13" t="s">
        <v>451</v>
      </c>
      <c r="B87" s="352"/>
      <c r="C87" s="352"/>
      <c r="D87" s="171"/>
      <c r="E87" s="11"/>
      <c r="F87" s="351"/>
      <c r="G87" s="351"/>
      <c r="H87" s="171"/>
      <c r="I87" s="11"/>
      <c r="J87" s="308"/>
      <c r="K87" s="236"/>
      <c r="L87" s="373"/>
      <c r="M87" s="11"/>
    </row>
    <row r="88" spans="1:13" x14ac:dyDescent="0.2">
      <c r="A88" s="21" t="s">
        <v>9</v>
      </c>
      <c r="B88" s="234"/>
      <c r="C88" s="145"/>
      <c r="D88" s="166"/>
      <c r="E88" s="27"/>
      <c r="F88" s="234"/>
      <c r="G88" s="145"/>
      <c r="H88" s="166"/>
      <c r="I88" s="27"/>
      <c r="J88" s="286"/>
      <c r="K88" s="44"/>
      <c r="L88" s="254"/>
      <c r="M88" s="27"/>
    </row>
    <row r="89" spans="1:13" x14ac:dyDescent="0.2">
      <c r="A89" s="21" t="s">
        <v>10</v>
      </c>
      <c r="B89" s="234"/>
      <c r="C89" s="145"/>
      <c r="D89" s="166"/>
      <c r="E89" s="27"/>
      <c r="F89" s="234"/>
      <c r="G89" s="145"/>
      <c r="H89" s="166"/>
      <c r="I89" s="27"/>
      <c r="J89" s="286"/>
      <c r="K89" s="44"/>
      <c r="L89" s="254"/>
      <c r="M89" s="27"/>
    </row>
    <row r="90" spans="1:13" ht="15.75" x14ac:dyDescent="0.2">
      <c r="A90" s="295" t="s">
        <v>466</v>
      </c>
      <c r="B90" s="280"/>
      <c r="C90" s="280"/>
      <c r="D90" s="166"/>
      <c r="E90" s="365"/>
      <c r="F90" s="280"/>
      <c r="G90" s="280"/>
      <c r="H90" s="166"/>
      <c r="I90" s="365"/>
      <c r="J90" s="289"/>
      <c r="K90" s="289"/>
      <c r="L90" s="166"/>
      <c r="M90" s="23"/>
    </row>
    <row r="91" spans="1:13" x14ac:dyDescent="0.2">
      <c r="A91" s="295" t="s">
        <v>12</v>
      </c>
      <c r="B91" s="235"/>
      <c r="C91" s="288"/>
      <c r="D91" s="166"/>
      <c r="E91" s="365"/>
      <c r="F91" s="280"/>
      <c r="G91" s="280"/>
      <c r="H91" s="166"/>
      <c r="I91" s="365"/>
      <c r="J91" s="289"/>
      <c r="K91" s="289"/>
      <c r="L91" s="166"/>
      <c r="M91" s="23"/>
    </row>
    <row r="92" spans="1:13" x14ac:dyDescent="0.2">
      <c r="A92" s="295" t="s">
        <v>13</v>
      </c>
      <c r="B92" s="235"/>
      <c r="C92" s="288"/>
      <c r="D92" s="166"/>
      <c r="E92" s="365"/>
      <c r="F92" s="280"/>
      <c r="G92" s="280"/>
      <c r="H92" s="166"/>
      <c r="I92" s="365"/>
      <c r="J92" s="289"/>
      <c r="K92" s="289"/>
      <c r="L92" s="166"/>
      <c r="M92" s="23"/>
    </row>
    <row r="93" spans="1:13" ht="15.75" x14ac:dyDescent="0.2">
      <c r="A93" s="295" t="s">
        <v>467</v>
      </c>
      <c r="B93" s="280"/>
      <c r="C93" s="280"/>
      <c r="D93" s="166"/>
      <c r="E93" s="365"/>
      <c r="F93" s="280"/>
      <c r="G93" s="280"/>
      <c r="H93" s="166"/>
      <c r="I93" s="365"/>
      <c r="J93" s="289"/>
      <c r="K93" s="289"/>
      <c r="L93" s="166"/>
      <c r="M93" s="23"/>
    </row>
    <row r="94" spans="1:13" x14ac:dyDescent="0.2">
      <c r="A94" s="295" t="s">
        <v>12</v>
      </c>
      <c r="B94" s="235"/>
      <c r="C94" s="288"/>
      <c r="D94" s="166"/>
      <c r="E94" s="365"/>
      <c r="F94" s="280"/>
      <c r="G94" s="280"/>
      <c r="H94" s="166"/>
      <c r="I94" s="365"/>
      <c r="J94" s="289"/>
      <c r="K94" s="289"/>
      <c r="L94" s="166"/>
      <c r="M94" s="23"/>
    </row>
    <row r="95" spans="1:13" x14ac:dyDescent="0.2">
      <c r="A95" s="295" t="s">
        <v>13</v>
      </c>
      <c r="B95" s="235"/>
      <c r="C95" s="288"/>
      <c r="D95" s="166"/>
      <c r="E95" s="365"/>
      <c r="F95" s="280"/>
      <c r="G95" s="280"/>
      <c r="H95" s="166"/>
      <c r="I95" s="365"/>
      <c r="J95" s="289"/>
      <c r="K95" s="289"/>
      <c r="L95" s="166"/>
      <c r="M95" s="23"/>
    </row>
    <row r="96" spans="1:13" x14ac:dyDescent="0.2">
      <c r="A96" s="21" t="s">
        <v>351</v>
      </c>
      <c r="B96" s="234"/>
      <c r="C96" s="145"/>
      <c r="D96" s="166"/>
      <c r="E96" s="27"/>
      <c r="F96" s="234"/>
      <c r="G96" s="145"/>
      <c r="H96" s="166"/>
      <c r="I96" s="27"/>
      <c r="J96" s="286"/>
      <c r="K96" s="44"/>
      <c r="L96" s="254"/>
      <c r="M96" s="27"/>
    </row>
    <row r="97" spans="1:13" x14ac:dyDescent="0.2">
      <c r="A97" s="21" t="s">
        <v>350</v>
      </c>
      <c r="B97" s="234"/>
      <c r="C97" s="145"/>
      <c r="D97" s="166"/>
      <c r="E97" s="27"/>
      <c r="F97" s="234"/>
      <c r="G97" s="145"/>
      <c r="H97" s="166"/>
      <c r="I97" s="27"/>
      <c r="J97" s="286"/>
      <c r="K97" s="44"/>
      <c r="L97" s="254"/>
      <c r="M97" s="27"/>
    </row>
    <row r="98" spans="1:13" ht="15.75" x14ac:dyDescent="0.2">
      <c r="A98" s="21" t="s">
        <v>468</v>
      </c>
      <c r="B98" s="234"/>
      <c r="C98" s="234"/>
      <c r="D98" s="166"/>
      <c r="E98" s="27"/>
      <c r="F98" s="291"/>
      <c r="G98" s="291"/>
      <c r="H98" s="166"/>
      <c r="I98" s="27"/>
      <c r="J98" s="286"/>
      <c r="K98" s="44"/>
      <c r="L98" s="254"/>
      <c r="M98" s="27"/>
    </row>
    <row r="99" spans="1:13" x14ac:dyDescent="0.2">
      <c r="A99" s="21" t="s">
        <v>9</v>
      </c>
      <c r="B99" s="291"/>
      <c r="C99" s="292"/>
      <c r="D99" s="166"/>
      <c r="E99" s="27"/>
      <c r="F99" s="234"/>
      <c r="G99" s="145"/>
      <c r="H99" s="166"/>
      <c r="I99" s="27"/>
      <c r="J99" s="286"/>
      <c r="K99" s="44"/>
      <c r="L99" s="254"/>
      <c r="M99" s="27"/>
    </row>
    <row r="100" spans="1:13" x14ac:dyDescent="0.2">
      <c r="A100" s="21" t="s">
        <v>10</v>
      </c>
      <c r="B100" s="291"/>
      <c r="C100" s="292"/>
      <c r="D100" s="166"/>
      <c r="E100" s="27"/>
      <c r="F100" s="234"/>
      <c r="G100" s="234"/>
      <c r="H100" s="166"/>
      <c r="I100" s="27"/>
      <c r="J100" s="286"/>
      <c r="K100" s="44"/>
      <c r="L100" s="254"/>
      <c r="M100" s="27"/>
    </row>
    <row r="101" spans="1:13" ht="15.75" x14ac:dyDescent="0.2">
      <c r="A101" s="295" t="s">
        <v>466</v>
      </c>
      <c r="B101" s="280"/>
      <c r="C101" s="280"/>
      <c r="D101" s="166"/>
      <c r="E101" s="365"/>
      <c r="F101" s="280"/>
      <c r="G101" s="280"/>
      <c r="H101" s="166"/>
      <c r="I101" s="365"/>
      <c r="J101" s="289"/>
      <c r="K101" s="289"/>
      <c r="L101" s="166"/>
      <c r="M101" s="23"/>
    </row>
    <row r="102" spans="1:13" x14ac:dyDescent="0.2">
      <c r="A102" s="295" t="s">
        <v>12</v>
      </c>
      <c r="B102" s="235"/>
      <c r="C102" s="288"/>
      <c r="D102" s="166"/>
      <c r="E102" s="365"/>
      <c r="F102" s="280"/>
      <c r="G102" s="280"/>
      <c r="H102" s="166"/>
      <c r="I102" s="365"/>
      <c r="J102" s="289"/>
      <c r="K102" s="289"/>
      <c r="L102" s="166"/>
      <c r="M102" s="23"/>
    </row>
    <row r="103" spans="1:13" x14ac:dyDescent="0.2">
      <c r="A103" s="295" t="s">
        <v>13</v>
      </c>
      <c r="B103" s="235"/>
      <c r="C103" s="288"/>
      <c r="D103" s="166"/>
      <c r="E103" s="365"/>
      <c r="F103" s="280"/>
      <c r="G103" s="280"/>
      <c r="H103" s="166"/>
      <c r="I103" s="365"/>
      <c r="J103" s="289"/>
      <c r="K103" s="289"/>
      <c r="L103" s="166"/>
      <c r="M103" s="23"/>
    </row>
    <row r="104" spans="1:13" ht="15.75" x14ac:dyDescent="0.2">
      <c r="A104" s="295" t="s">
        <v>467</v>
      </c>
      <c r="B104" s="280"/>
      <c r="C104" s="280"/>
      <c r="D104" s="166"/>
      <c r="E104" s="365"/>
      <c r="F104" s="280"/>
      <c r="G104" s="280"/>
      <c r="H104" s="166"/>
      <c r="I104" s="365"/>
      <c r="J104" s="289"/>
      <c r="K104" s="289"/>
      <c r="L104" s="166"/>
      <c r="M104" s="23"/>
    </row>
    <row r="105" spans="1:13" x14ac:dyDescent="0.2">
      <c r="A105" s="295" t="s">
        <v>12</v>
      </c>
      <c r="B105" s="235"/>
      <c r="C105" s="288"/>
      <c r="D105" s="166"/>
      <c r="E105" s="365"/>
      <c r="F105" s="280"/>
      <c r="G105" s="280"/>
      <c r="H105" s="166"/>
      <c r="I105" s="365"/>
      <c r="J105" s="289"/>
      <c r="K105" s="289"/>
      <c r="L105" s="166"/>
      <c r="M105" s="23"/>
    </row>
    <row r="106" spans="1:13" x14ac:dyDescent="0.2">
      <c r="A106" s="295" t="s">
        <v>13</v>
      </c>
      <c r="B106" s="235"/>
      <c r="C106" s="288"/>
      <c r="D106" s="166"/>
      <c r="E106" s="365"/>
      <c r="F106" s="280"/>
      <c r="G106" s="280"/>
      <c r="H106" s="166"/>
      <c r="I106" s="365"/>
      <c r="J106" s="289"/>
      <c r="K106" s="289"/>
      <c r="L106" s="166"/>
      <c r="M106" s="23"/>
    </row>
    <row r="107" spans="1:13" ht="15.75" x14ac:dyDescent="0.2">
      <c r="A107" s="21" t="s">
        <v>469</v>
      </c>
      <c r="B107" s="234"/>
      <c r="C107" s="145"/>
      <c r="D107" s="166"/>
      <c r="E107" s="27"/>
      <c r="F107" s="234"/>
      <c r="G107" s="145"/>
      <c r="H107" s="166"/>
      <c r="I107" s="27"/>
      <c r="J107" s="286"/>
      <c r="K107" s="44"/>
      <c r="L107" s="254"/>
      <c r="M107" s="27"/>
    </row>
    <row r="108" spans="1:13" ht="15.75" x14ac:dyDescent="0.2">
      <c r="A108" s="21" t="s">
        <v>470</v>
      </c>
      <c r="B108" s="234"/>
      <c r="C108" s="234"/>
      <c r="D108" s="166"/>
      <c r="E108" s="27"/>
      <c r="F108" s="234"/>
      <c r="G108" s="234"/>
      <c r="H108" s="166"/>
      <c r="I108" s="27"/>
      <c r="J108" s="286"/>
      <c r="K108" s="44"/>
      <c r="L108" s="254"/>
      <c r="M108" s="27"/>
    </row>
    <row r="109" spans="1:13" ht="15.75" x14ac:dyDescent="0.2">
      <c r="A109" s="21" t="s">
        <v>471</v>
      </c>
      <c r="B109" s="234"/>
      <c r="C109" s="234"/>
      <c r="D109" s="166"/>
      <c r="E109" s="27"/>
      <c r="F109" s="234"/>
      <c r="G109" s="234"/>
      <c r="H109" s="166"/>
      <c r="I109" s="27"/>
      <c r="J109" s="286"/>
      <c r="K109" s="44"/>
      <c r="L109" s="254"/>
      <c r="M109" s="27"/>
    </row>
    <row r="110" spans="1:13" ht="15.75" x14ac:dyDescent="0.2">
      <c r="A110" s="21" t="s">
        <v>472</v>
      </c>
      <c r="B110" s="234"/>
      <c r="C110" s="234"/>
      <c r="D110" s="166"/>
      <c r="E110" s="27"/>
      <c r="F110" s="234"/>
      <c r="G110" s="234"/>
      <c r="H110" s="166"/>
      <c r="I110" s="27"/>
      <c r="J110" s="286"/>
      <c r="K110" s="44"/>
      <c r="L110" s="254"/>
      <c r="M110" s="27"/>
    </row>
    <row r="111" spans="1:13" ht="15.75" x14ac:dyDescent="0.2">
      <c r="A111" s="13" t="s">
        <v>452</v>
      </c>
      <c r="B111" s="307"/>
      <c r="C111" s="159"/>
      <c r="D111" s="171"/>
      <c r="E111" s="11"/>
      <c r="F111" s="307"/>
      <c r="G111" s="159"/>
      <c r="H111" s="171"/>
      <c r="I111" s="11"/>
      <c r="J111" s="308"/>
      <c r="K111" s="236"/>
      <c r="L111" s="373"/>
      <c r="M111" s="11"/>
    </row>
    <row r="112" spans="1:13" x14ac:dyDescent="0.2">
      <c r="A112" s="21" t="s">
        <v>9</v>
      </c>
      <c r="B112" s="234"/>
      <c r="C112" s="145"/>
      <c r="D112" s="166"/>
      <c r="E112" s="27"/>
      <c r="F112" s="234"/>
      <c r="G112" s="145"/>
      <c r="H112" s="166"/>
      <c r="I112" s="27"/>
      <c r="J112" s="286"/>
      <c r="K112" s="44"/>
      <c r="L112" s="254"/>
      <c r="M112" s="27"/>
    </row>
    <row r="113" spans="1:14" x14ac:dyDescent="0.2">
      <c r="A113" s="21" t="s">
        <v>10</v>
      </c>
      <c r="B113" s="234"/>
      <c r="C113" s="145"/>
      <c r="D113" s="166"/>
      <c r="E113" s="27"/>
      <c r="F113" s="234"/>
      <c r="G113" s="145"/>
      <c r="H113" s="166"/>
      <c r="I113" s="27"/>
      <c r="J113" s="286"/>
      <c r="K113" s="44"/>
      <c r="L113" s="254"/>
      <c r="M113" s="27"/>
    </row>
    <row r="114" spans="1:14" x14ac:dyDescent="0.2">
      <c r="A114" s="21" t="s">
        <v>26</v>
      </c>
      <c r="B114" s="234"/>
      <c r="C114" s="145"/>
      <c r="D114" s="166"/>
      <c r="E114" s="27"/>
      <c r="F114" s="234"/>
      <c r="G114" s="145"/>
      <c r="H114" s="166"/>
      <c r="I114" s="27"/>
      <c r="J114" s="286"/>
      <c r="K114" s="44"/>
      <c r="L114" s="254"/>
      <c r="M114" s="27"/>
    </row>
    <row r="115" spans="1:14" x14ac:dyDescent="0.2">
      <c r="A115" s="295" t="s">
        <v>15</v>
      </c>
      <c r="B115" s="280"/>
      <c r="C115" s="280"/>
      <c r="D115" s="166"/>
      <c r="E115" s="365"/>
      <c r="F115" s="280"/>
      <c r="G115" s="280"/>
      <c r="H115" s="166"/>
      <c r="I115" s="365"/>
      <c r="J115" s="289"/>
      <c r="K115" s="289"/>
      <c r="L115" s="166"/>
      <c r="M115" s="23"/>
    </row>
    <row r="116" spans="1:14" ht="15.75" x14ac:dyDescent="0.2">
      <c r="A116" s="21" t="s">
        <v>473</v>
      </c>
      <c r="B116" s="234"/>
      <c r="C116" s="234"/>
      <c r="D116" s="166"/>
      <c r="E116" s="27"/>
      <c r="F116" s="234"/>
      <c r="G116" s="234"/>
      <c r="H116" s="166"/>
      <c r="I116" s="27"/>
      <c r="J116" s="286"/>
      <c r="K116" s="44"/>
      <c r="L116" s="254"/>
      <c r="M116" s="27"/>
    </row>
    <row r="117" spans="1:14" ht="15.75" x14ac:dyDescent="0.2">
      <c r="A117" s="21" t="s">
        <v>474</v>
      </c>
      <c r="B117" s="234"/>
      <c r="C117" s="234"/>
      <c r="D117" s="166"/>
      <c r="E117" s="27"/>
      <c r="F117" s="234"/>
      <c r="G117" s="234"/>
      <c r="H117" s="166"/>
      <c r="I117" s="27"/>
      <c r="J117" s="286"/>
      <c r="K117" s="44"/>
      <c r="L117" s="254"/>
      <c r="M117" s="27"/>
    </row>
    <row r="118" spans="1:14" ht="15.75" x14ac:dyDescent="0.2">
      <c r="A118" s="21" t="s">
        <v>472</v>
      </c>
      <c r="B118" s="234"/>
      <c r="C118" s="234"/>
      <c r="D118" s="166"/>
      <c r="E118" s="27"/>
      <c r="F118" s="234"/>
      <c r="G118" s="234"/>
      <c r="H118" s="166"/>
      <c r="I118" s="27"/>
      <c r="J118" s="286"/>
      <c r="K118" s="44"/>
      <c r="L118" s="254"/>
      <c r="M118" s="27"/>
    </row>
    <row r="119" spans="1:14" ht="15.75" x14ac:dyDescent="0.2">
      <c r="A119" s="13" t="s">
        <v>453</v>
      </c>
      <c r="B119" s="307"/>
      <c r="C119" s="159"/>
      <c r="D119" s="171"/>
      <c r="E119" s="11"/>
      <c r="F119" s="307"/>
      <c r="G119" s="159"/>
      <c r="H119" s="171"/>
      <c r="I119" s="11"/>
      <c r="J119" s="308"/>
      <c r="K119" s="236"/>
      <c r="L119" s="373"/>
      <c r="M119" s="11"/>
    </row>
    <row r="120" spans="1:14" x14ac:dyDescent="0.2">
      <c r="A120" s="21" t="s">
        <v>9</v>
      </c>
      <c r="B120" s="234"/>
      <c r="C120" s="145"/>
      <c r="D120" s="166"/>
      <c r="E120" s="27"/>
      <c r="F120" s="234"/>
      <c r="G120" s="145"/>
      <c r="H120" s="166"/>
      <c r="I120" s="27"/>
      <c r="J120" s="286"/>
      <c r="K120" s="44"/>
      <c r="L120" s="254"/>
      <c r="M120" s="27"/>
    </row>
    <row r="121" spans="1:14" x14ac:dyDescent="0.2">
      <c r="A121" s="21" t="s">
        <v>10</v>
      </c>
      <c r="B121" s="234"/>
      <c r="C121" s="145"/>
      <c r="D121" s="166"/>
      <c r="E121" s="27"/>
      <c r="F121" s="234"/>
      <c r="G121" s="145"/>
      <c r="H121" s="166"/>
      <c r="I121" s="27"/>
      <c r="J121" s="286"/>
      <c r="K121" s="44"/>
      <c r="L121" s="254"/>
      <c r="M121" s="27"/>
    </row>
    <row r="122" spans="1:14" x14ac:dyDescent="0.2">
      <c r="A122" s="21" t="s">
        <v>26</v>
      </c>
      <c r="B122" s="234"/>
      <c r="C122" s="145"/>
      <c r="D122" s="166"/>
      <c r="E122" s="27"/>
      <c r="F122" s="234"/>
      <c r="G122" s="145"/>
      <c r="H122" s="166"/>
      <c r="I122" s="27"/>
      <c r="J122" s="286"/>
      <c r="K122" s="44"/>
      <c r="L122" s="254"/>
      <c r="M122" s="27"/>
    </row>
    <row r="123" spans="1:14" x14ac:dyDescent="0.2">
      <c r="A123" s="295" t="s">
        <v>14</v>
      </c>
      <c r="B123" s="280"/>
      <c r="C123" s="280"/>
      <c r="D123" s="166"/>
      <c r="E123" s="365"/>
      <c r="F123" s="280"/>
      <c r="G123" s="280"/>
      <c r="H123" s="166"/>
      <c r="I123" s="365"/>
      <c r="J123" s="289"/>
      <c r="K123" s="289"/>
      <c r="L123" s="166"/>
      <c r="M123" s="23"/>
    </row>
    <row r="124" spans="1:14" ht="15.75" x14ac:dyDescent="0.2">
      <c r="A124" s="21" t="s">
        <v>479</v>
      </c>
      <c r="B124" s="234"/>
      <c r="C124" s="234"/>
      <c r="D124" s="166"/>
      <c r="E124" s="27"/>
      <c r="F124" s="234"/>
      <c r="G124" s="234"/>
      <c r="H124" s="166"/>
      <c r="I124" s="27"/>
      <c r="J124" s="286"/>
      <c r="K124" s="44"/>
      <c r="L124" s="254"/>
      <c r="M124" s="27"/>
    </row>
    <row r="125" spans="1:14" ht="15.75" x14ac:dyDescent="0.2">
      <c r="A125" s="21" t="s">
        <v>471</v>
      </c>
      <c r="B125" s="234"/>
      <c r="C125" s="234"/>
      <c r="D125" s="166"/>
      <c r="E125" s="27"/>
      <c r="F125" s="234"/>
      <c r="G125" s="234"/>
      <c r="H125" s="166"/>
      <c r="I125" s="27"/>
      <c r="J125" s="286"/>
      <c r="K125" s="44"/>
      <c r="L125" s="254"/>
      <c r="M125" s="27"/>
    </row>
    <row r="126" spans="1:14" ht="15.75" x14ac:dyDescent="0.2">
      <c r="A126" s="10" t="s">
        <v>472</v>
      </c>
      <c r="B126" s="45"/>
      <c r="C126" s="45"/>
      <c r="D126" s="167"/>
      <c r="E126" s="366"/>
      <c r="F126" s="45"/>
      <c r="G126" s="45"/>
      <c r="H126" s="167"/>
      <c r="I126" s="22"/>
      <c r="J126" s="287"/>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975"/>
      <c r="C130" s="975"/>
      <c r="D130" s="975"/>
      <c r="E130" s="298"/>
      <c r="F130" s="975"/>
      <c r="G130" s="975"/>
      <c r="H130" s="975"/>
      <c r="I130" s="298"/>
      <c r="J130" s="975"/>
      <c r="K130" s="975"/>
      <c r="L130" s="975"/>
      <c r="M130" s="298"/>
    </row>
    <row r="131" spans="1:14" s="3" customFormat="1" x14ac:dyDescent="0.2">
      <c r="A131" s="144"/>
      <c r="B131" s="973" t="s">
        <v>0</v>
      </c>
      <c r="C131" s="974"/>
      <c r="D131" s="974"/>
      <c r="E131" s="300"/>
      <c r="F131" s="973" t="s">
        <v>1</v>
      </c>
      <c r="G131" s="974"/>
      <c r="H131" s="974"/>
      <c r="I131" s="303"/>
      <c r="J131" s="973" t="s">
        <v>2</v>
      </c>
      <c r="K131" s="974"/>
      <c r="L131" s="974"/>
      <c r="M131" s="303"/>
      <c r="N131" s="148"/>
    </row>
    <row r="132" spans="1:14" s="3" customFormat="1" x14ac:dyDescent="0.2">
      <c r="A132" s="140"/>
      <c r="B132" s="152" t="s">
        <v>492</v>
      </c>
      <c r="C132" s="152" t="s">
        <v>493</v>
      </c>
      <c r="D132" s="245" t="s">
        <v>3</v>
      </c>
      <c r="E132" s="304" t="s">
        <v>29</v>
      </c>
      <c r="F132" s="152" t="s">
        <v>492</v>
      </c>
      <c r="G132" s="152" t="s">
        <v>493</v>
      </c>
      <c r="H132" s="206" t="s">
        <v>3</v>
      </c>
      <c r="I132" s="162" t="s">
        <v>29</v>
      </c>
      <c r="J132" s="152" t="s">
        <v>492</v>
      </c>
      <c r="K132" s="152" t="s">
        <v>493</v>
      </c>
      <c r="L132" s="246" t="s">
        <v>3</v>
      </c>
      <c r="M132" s="162" t="s">
        <v>29</v>
      </c>
      <c r="N132" s="148"/>
    </row>
    <row r="133" spans="1:14" s="3" customFormat="1" x14ac:dyDescent="0.2">
      <c r="A133" s="947"/>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475</v>
      </c>
      <c r="B134" s="236"/>
      <c r="C134" s="308"/>
      <c r="D134" s="349"/>
      <c r="E134" s="11"/>
      <c r="F134" s="315"/>
      <c r="G134" s="316"/>
      <c r="H134" s="376"/>
      <c r="I134" s="24"/>
      <c r="J134" s="317"/>
      <c r="K134" s="317"/>
      <c r="L134" s="372"/>
      <c r="M134" s="11"/>
      <c r="N134" s="148"/>
    </row>
    <row r="135" spans="1:14" s="3" customFormat="1" ht="15.75" x14ac:dyDescent="0.2">
      <c r="A135" s="13" t="s">
        <v>480</v>
      </c>
      <c r="B135" s="236"/>
      <c r="C135" s="308"/>
      <c r="D135" s="171"/>
      <c r="E135" s="11"/>
      <c r="F135" s="236"/>
      <c r="G135" s="308"/>
      <c r="H135" s="377"/>
      <c r="I135" s="24"/>
      <c r="J135" s="307"/>
      <c r="K135" s="307"/>
      <c r="L135" s="373"/>
      <c r="M135" s="11"/>
      <c r="N135" s="148"/>
    </row>
    <row r="136" spans="1:14" s="3" customFormat="1" ht="15.75" x14ac:dyDescent="0.2">
      <c r="A136" s="13" t="s">
        <v>477</v>
      </c>
      <c r="B136" s="236"/>
      <c r="C136" s="308"/>
      <c r="D136" s="171"/>
      <c r="E136" s="11"/>
      <c r="F136" s="236"/>
      <c r="G136" s="308"/>
      <c r="H136" s="377"/>
      <c r="I136" s="24"/>
      <c r="J136" s="307"/>
      <c r="K136" s="307"/>
      <c r="L136" s="373"/>
      <c r="M136" s="11"/>
      <c r="N136" s="148"/>
    </row>
    <row r="137" spans="1:14" s="3" customFormat="1" ht="15.75" x14ac:dyDescent="0.2">
      <c r="A137" s="41" t="s">
        <v>478</v>
      </c>
      <c r="B137" s="275"/>
      <c r="C137" s="314"/>
      <c r="D137" s="169"/>
      <c r="E137" s="9"/>
      <c r="F137" s="275"/>
      <c r="G137" s="314"/>
      <c r="H137" s="378"/>
      <c r="I137" s="36"/>
      <c r="J137" s="313"/>
      <c r="K137" s="313"/>
      <c r="L137" s="374"/>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213" priority="132">
      <formula>kvartal &lt; 4</formula>
    </cfRule>
  </conditionalFormatting>
  <conditionalFormatting sqref="B69">
    <cfRule type="expression" dxfId="1212" priority="100">
      <formula>kvartal &lt; 4</formula>
    </cfRule>
  </conditionalFormatting>
  <conditionalFormatting sqref="C69">
    <cfRule type="expression" dxfId="1211" priority="99">
      <formula>kvartal &lt; 4</formula>
    </cfRule>
  </conditionalFormatting>
  <conditionalFormatting sqref="B72">
    <cfRule type="expression" dxfId="1210" priority="98">
      <formula>kvartal &lt; 4</formula>
    </cfRule>
  </conditionalFormatting>
  <conditionalFormatting sqref="C72">
    <cfRule type="expression" dxfId="1209" priority="97">
      <formula>kvartal &lt; 4</formula>
    </cfRule>
  </conditionalFormatting>
  <conditionalFormatting sqref="B80">
    <cfRule type="expression" dxfId="1208" priority="96">
      <formula>kvartal &lt; 4</formula>
    </cfRule>
  </conditionalFormatting>
  <conditionalFormatting sqref="C80">
    <cfRule type="expression" dxfId="1207" priority="95">
      <formula>kvartal &lt; 4</formula>
    </cfRule>
  </conditionalFormatting>
  <conditionalFormatting sqref="B83">
    <cfRule type="expression" dxfId="1206" priority="94">
      <formula>kvartal &lt; 4</formula>
    </cfRule>
  </conditionalFormatting>
  <conditionalFormatting sqref="C83">
    <cfRule type="expression" dxfId="1205" priority="93">
      <formula>kvartal &lt; 4</formula>
    </cfRule>
  </conditionalFormatting>
  <conditionalFormatting sqref="B90">
    <cfRule type="expression" dxfId="1204" priority="84">
      <formula>kvartal &lt; 4</formula>
    </cfRule>
  </conditionalFormatting>
  <conditionalFormatting sqref="C90">
    <cfRule type="expression" dxfId="1203" priority="83">
      <formula>kvartal &lt; 4</formula>
    </cfRule>
  </conditionalFormatting>
  <conditionalFormatting sqref="B93">
    <cfRule type="expression" dxfId="1202" priority="82">
      <formula>kvartal &lt; 4</formula>
    </cfRule>
  </conditionalFormatting>
  <conditionalFormatting sqref="C93">
    <cfRule type="expression" dxfId="1201" priority="81">
      <formula>kvartal &lt; 4</formula>
    </cfRule>
  </conditionalFormatting>
  <conditionalFormatting sqref="B101">
    <cfRule type="expression" dxfId="1200" priority="80">
      <formula>kvartal &lt; 4</formula>
    </cfRule>
  </conditionalFormatting>
  <conditionalFormatting sqref="C101">
    <cfRule type="expression" dxfId="1199" priority="79">
      <formula>kvartal &lt; 4</formula>
    </cfRule>
  </conditionalFormatting>
  <conditionalFormatting sqref="B104">
    <cfRule type="expression" dxfId="1198" priority="78">
      <formula>kvartal &lt; 4</formula>
    </cfRule>
  </conditionalFormatting>
  <conditionalFormatting sqref="C104">
    <cfRule type="expression" dxfId="1197" priority="77">
      <formula>kvartal &lt; 4</formula>
    </cfRule>
  </conditionalFormatting>
  <conditionalFormatting sqref="B115">
    <cfRule type="expression" dxfId="1196" priority="76">
      <formula>kvartal &lt; 4</formula>
    </cfRule>
  </conditionalFormatting>
  <conditionalFormatting sqref="C115">
    <cfRule type="expression" dxfId="1195" priority="75">
      <formula>kvartal &lt; 4</formula>
    </cfRule>
  </conditionalFormatting>
  <conditionalFormatting sqref="B123">
    <cfRule type="expression" dxfId="1194" priority="74">
      <formula>kvartal &lt; 4</formula>
    </cfRule>
  </conditionalFormatting>
  <conditionalFormatting sqref="C123">
    <cfRule type="expression" dxfId="1193" priority="73">
      <formula>kvartal &lt; 4</formula>
    </cfRule>
  </conditionalFormatting>
  <conditionalFormatting sqref="F70">
    <cfRule type="expression" dxfId="1192" priority="72">
      <formula>kvartal &lt; 4</formula>
    </cfRule>
  </conditionalFormatting>
  <conditionalFormatting sqref="G70">
    <cfRule type="expression" dxfId="1191" priority="71">
      <formula>kvartal &lt; 4</formula>
    </cfRule>
  </conditionalFormatting>
  <conditionalFormatting sqref="F71:G71">
    <cfRule type="expression" dxfId="1190" priority="70">
      <formula>kvartal &lt; 4</formula>
    </cfRule>
  </conditionalFormatting>
  <conditionalFormatting sqref="F73:G74">
    <cfRule type="expression" dxfId="1189" priority="69">
      <formula>kvartal &lt; 4</formula>
    </cfRule>
  </conditionalFormatting>
  <conditionalFormatting sqref="F81:G82">
    <cfRule type="expression" dxfId="1188" priority="68">
      <formula>kvartal &lt; 4</formula>
    </cfRule>
  </conditionalFormatting>
  <conditionalFormatting sqref="F84:G85">
    <cfRule type="expression" dxfId="1187" priority="67">
      <formula>kvartal &lt; 4</formula>
    </cfRule>
  </conditionalFormatting>
  <conditionalFormatting sqref="F91:G92">
    <cfRule type="expression" dxfId="1186" priority="62">
      <formula>kvartal &lt; 4</formula>
    </cfRule>
  </conditionalFormatting>
  <conditionalFormatting sqref="F94:G95">
    <cfRule type="expression" dxfId="1185" priority="61">
      <formula>kvartal &lt; 4</formula>
    </cfRule>
  </conditionalFormatting>
  <conditionalFormatting sqref="F102:G103">
    <cfRule type="expression" dxfId="1184" priority="60">
      <formula>kvartal &lt; 4</formula>
    </cfRule>
  </conditionalFormatting>
  <conditionalFormatting sqref="F105:G106">
    <cfRule type="expression" dxfId="1183" priority="59">
      <formula>kvartal &lt; 4</formula>
    </cfRule>
  </conditionalFormatting>
  <conditionalFormatting sqref="F115">
    <cfRule type="expression" dxfId="1182" priority="58">
      <formula>kvartal &lt; 4</formula>
    </cfRule>
  </conditionalFormatting>
  <conditionalFormatting sqref="G115">
    <cfRule type="expression" dxfId="1181" priority="57">
      <formula>kvartal &lt; 4</formula>
    </cfRule>
  </conditionalFormatting>
  <conditionalFormatting sqref="F123:G123">
    <cfRule type="expression" dxfId="1180" priority="56">
      <formula>kvartal &lt; 4</formula>
    </cfRule>
  </conditionalFormatting>
  <conditionalFormatting sqref="F69:G69">
    <cfRule type="expression" dxfId="1179" priority="55">
      <formula>kvartal &lt; 4</formula>
    </cfRule>
  </conditionalFormatting>
  <conditionalFormatting sqref="F72:G72">
    <cfRule type="expression" dxfId="1178" priority="54">
      <formula>kvartal &lt; 4</formula>
    </cfRule>
  </conditionalFormatting>
  <conditionalFormatting sqref="F80:G80">
    <cfRule type="expression" dxfId="1177" priority="53">
      <formula>kvartal &lt; 4</formula>
    </cfRule>
  </conditionalFormatting>
  <conditionalFormatting sqref="F83:G83">
    <cfRule type="expression" dxfId="1176" priority="52">
      <formula>kvartal &lt; 4</formula>
    </cfRule>
  </conditionalFormatting>
  <conditionalFormatting sqref="F90:G90">
    <cfRule type="expression" dxfId="1175" priority="46">
      <formula>kvartal &lt; 4</formula>
    </cfRule>
  </conditionalFormatting>
  <conditionalFormatting sqref="F93">
    <cfRule type="expression" dxfId="1174" priority="45">
      <formula>kvartal &lt; 4</formula>
    </cfRule>
  </conditionalFormatting>
  <conditionalFormatting sqref="G93">
    <cfRule type="expression" dxfId="1173" priority="44">
      <formula>kvartal &lt; 4</formula>
    </cfRule>
  </conditionalFormatting>
  <conditionalFormatting sqref="F101">
    <cfRule type="expression" dxfId="1172" priority="43">
      <formula>kvartal &lt; 4</formula>
    </cfRule>
  </conditionalFormatting>
  <conditionalFormatting sqref="G101">
    <cfRule type="expression" dxfId="1171" priority="42">
      <formula>kvartal &lt; 4</formula>
    </cfRule>
  </conditionalFormatting>
  <conditionalFormatting sqref="G104">
    <cfRule type="expression" dxfId="1170" priority="41">
      <formula>kvartal &lt; 4</formula>
    </cfRule>
  </conditionalFormatting>
  <conditionalFormatting sqref="F104">
    <cfRule type="expression" dxfId="1169" priority="40">
      <formula>kvartal &lt; 4</formula>
    </cfRule>
  </conditionalFormatting>
  <conditionalFormatting sqref="J69:K73">
    <cfRule type="expression" dxfId="1168" priority="39">
      <formula>kvartal &lt; 4</formula>
    </cfRule>
  </conditionalFormatting>
  <conditionalFormatting sqref="J74:K74">
    <cfRule type="expression" dxfId="1167" priority="38">
      <formula>kvartal &lt; 4</formula>
    </cfRule>
  </conditionalFormatting>
  <conditionalFormatting sqref="J80:K85">
    <cfRule type="expression" dxfId="1166" priority="37">
      <formula>kvartal &lt; 4</formula>
    </cfRule>
  </conditionalFormatting>
  <conditionalFormatting sqref="J90:K95">
    <cfRule type="expression" dxfId="1165" priority="34">
      <formula>kvartal &lt; 4</formula>
    </cfRule>
  </conditionalFormatting>
  <conditionalFormatting sqref="J101:K106">
    <cfRule type="expression" dxfId="1164" priority="33">
      <formula>kvartal &lt; 4</formula>
    </cfRule>
  </conditionalFormatting>
  <conditionalFormatting sqref="J115:K115">
    <cfRule type="expression" dxfId="1163" priority="32">
      <formula>kvartal &lt; 4</formula>
    </cfRule>
  </conditionalFormatting>
  <conditionalFormatting sqref="J123:K123">
    <cfRule type="expression" dxfId="1162" priority="31">
      <formula>kvartal &lt; 4</formula>
    </cfRule>
  </conditionalFormatting>
  <conditionalFormatting sqref="A50:A52">
    <cfRule type="expression" dxfId="1161" priority="12">
      <formula>kvartal &lt; 4</formula>
    </cfRule>
  </conditionalFormatting>
  <conditionalFormatting sqref="A69:A74">
    <cfRule type="expression" dxfId="1160" priority="10">
      <formula>kvartal &lt; 4</formula>
    </cfRule>
  </conditionalFormatting>
  <conditionalFormatting sqref="A80:A85">
    <cfRule type="expression" dxfId="1159" priority="9">
      <formula>kvartal &lt; 4</formula>
    </cfRule>
  </conditionalFormatting>
  <conditionalFormatting sqref="A90:A95">
    <cfRule type="expression" dxfId="1158" priority="6">
      <formula>kvartal &lt; 4</formula>
    </cfRule>
  </conditionalFormatting>
  <conditionalFormatting sqref="A101:A106">
    <cfRule type="expression" dxfId="1157" priority="5">
      <formula>kvartal &lt; 4</formula>
    </cfRule>
  </conditionalFormatting>
  <conditionalFormatting sqref="A115">
    <cfRule type="expression" dxfId="1156" priority="4">
      <formula>kvartal &lt; 4</formula>
    </cfRule>
  </conditionalFormatting>
  <conditionalFormatting sqref="A123">
    <cfRule type="expression" dxfId="1155" priority="3">
      <formula>kvartal &lt; 4</formula>
    </cfRule>
  </conditionalFormatting>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dimension ref="A1:N144"/>
  <sheetViews>
    <sheetView showGridLines="0" zoomScaleNormal="100" zoomScaleSheetLayoutView="100" workbookViewId="0">
      <selection activeCell="B1" sqref="B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139</v>
      </c>
      <c r="B1" s="945"/>
      <c r="C1" s="248" t="s">
        <v>131</v>
      </c>
      <c r="D1" s="26"/>
      <c r="E1" s="26"/>
      <c r="F1" s="26"/>
      <c r="G1" s="26"/>
      <c r="H1" s="26"/>
      <c r="I1" s="26"/>
      <c r="J1" s="26"/>
      <c r="K1" s="26"/>
      <c r="L1" s="26"/>
      <c r="M1" s="26"/>
    </row>
    <row r="2" spans="1:14" ht="15.75" x14ac:dyDescent="0.25">
      <c r="A2" s="165" t="s">
        <v>28</v>
      </c>
      <c r="B2" s="972"/>
      <c r="C2" s="972"/>
      <c r="D2" s="972"/>
      <c r="E2" s="298"/>
      <c r="F2" s="972"/>
      <c r="G2" s="972"/>
      <c r="H2" s="972"/>
      <c r="I2" s="298"/>
      <c r="J2" s="972"/>
      <c r="K2" s="972"/>
      <c r="L2" s="972"/>
      <c r="M2" s="298"/>
    </row>
    <row r="3" spans="1:14" ht="15.75" x14ac:dyDescent="0.25">
      <c r="A3" s="163"/>
      <c r="B3" s="298"/>
      <c r="C3" s="298"/>
      <c r="D3" s="298"/>
      <c r="E3" s="298"/>
      <c r="F3" s="298"/>
      <c r="G3" s="298"/>
      <c r="H3" s="298"/>
      <c r="I3" s="298"/>
      <c r="J3" s="298"/>
      <c r="K3" s="298"/>
      <c r="L3" s="298"/>
      <c r="M3" s="298"/>
    </row>
    <row r="4" spans="1:14" x14ac:dyDescent="0.2">
      <c r="A4" s="144"/>
      <c r="B4" s="973" t="s">
        <v>0</v>
      </c>
      <c r="C4" s="974"/>
      <c r="D4" s="974"/>
      <c r="E4" s="300"/>
      <c r="F4" s="973" t="s">
        <v>1</v>
      </c>
      <c r="G4" s="974"/>
      <c r="H4" s="974"/>
      <c r="I4" s="303"/>
      <c r="J4" s="973" t="s">
        <v>2</v>
      </c>
      <c r="K4" s="974"/>
      <c r="L4" s="974"/>
      <c r="M4" s="303"/>
    </row>
    <row r="5" spans="1:14" x14ac:dyDescent="0.2">
      <c r="A5" s="158"/>
      <c r="B5" s="152" t="s">
        <v>492</v>
      </c>
      <c r="C5" s="152" t="s">
        <v>493</v>
      </c>
      <c r="D5" s="245" t="s">
        <v>3</v>
      </c>
      <c r="E5" s="304" t="s">
        <v>29</v>
      </c>
      <c r="F5" s="152" t="s">
        <v>492</v>
      </c>
      <c r="G5" s="152" t="s">
        <v>493</v>
      </c>
      <c r="H5" s="245" t="s">
        <v>3</v>
      </c>
      <c r="I5" s="162" t="s">
        <v>29</v>
      </c>
      <c r="J5" s="152" t="s">
        <v>492</v>
      </c>
      <c r="K5" s="152" t="s">
        <v>493</v>
      </c>
      <c r="L5" s="245" t="s">
        <v>3</v>
      </c>
      <c r="M5" s="162" t="s">
        <v>29</v>
      </c>
    </row>
    <row r="6" spans="1:14" x14ac:dyDescent="0.2">
      <c r="A6" s="946"/>
      <c r="B6" s="156"/>
      <c r="C6" s="156"/>
      <c r="D6" s="246" t="s">
        <v>4</v>
      </c>
      <c r="E6" s="156" t="s">
        <v>30</v>
      </c>
      <c r="F6" s="161"/>
      <c r="G6" s="161"/>
      <c r="H6" s="245" t="s">
        <v>4</v>
      </c>
      <c r="I6" s="156" t="s">
        <v>30</v>
      </c>
      <c r="J6" s="161"/>
      <c r="K6" s="161"/>
      <c r="L6" s="245" t="s">
        <v>4</v>
      </c>
      <c r="M6" s="156" t="s">
        <v>30</v>
      </c>
    </row>
    <row r="7" spans="1:14" ht="15.75" x14ac:dyDescent="0.2">
      <c r="A7" s="14" t="s">
        <v>23</v>
      </c>
      <c r="B7" s="305">
        <v>721318</v>
      </c>
      <c r="C7" s="306">
        <v>746870</v>
      </c>
      <c r="D7" s="349">
        <f>IF(B7=0, "    ---- ", IF(ABS(ROUND(100/B7*C7-100,1))&lt;999,ROUND(100/B7*C7-100,1),IF(ROUND(100/B7*C7-100,1)&gt;999,999,-999)))</f>
        <v>3.5</v>
      </c>
      <c r="E7" s="11">
        <f>IFERROR(100/'Skjema total MA'!C7*C7,0)</f>
        <v>15.883333952085621</v>
      </c>
      <c r="F7" s="305"/>
      <c r="G7" s="306"/>
      <c r="H7" s="349"/>
      <c r="I7" s="160"/>
      <c r="J7" s="307">
        <f t="shared" ref="J7:K12" si="0">SUM(B7,F7)</f>
        <v>721318</v>
      </c>
      <c r="K7" s="308">
        <f t="shared" si="0"/>
        <v>746870</v>
      </c>
      <c r="L7" s="372">
        <f>IF(J7=0, "    ---- ", IF(ABS(ROUND(100/J7*K7-100,1))&lt;999,ROUND(100/J7*K7-100,1),IF(ROUND(100/J7*K7-100,1)&gt;999,999,-999)))</f>
        <v>3.5</v>
      </c>
      <c r="M7" s="11">
        <f>IFERROR(100/'Skjema total MA'!I7*K7,0)</f>
        <v>4.9300191809349618</v>
      </c>
    </row>
    <row r="8" spans="1:14" ht="15.75" x14ac:dyDescent="0.2">
      <c r="A8" s="21" t="s">
        <v>25</v>
      </c>
      <c r="B8" s="280">
        <v>426082</v>
      </c>
      <c r="C8" s="281">
        <v>446247</v>
      </c>
      <c r="D8" s="166">
        <f t="shared" ref="D8:D12" si="1">IF(B8=0, "    ---- ", IF(ABS(ROUND(100/B8*C8-100,1))&lt;999,ROUND(100/B8*C8-100,1),IF(ROUND(100/B8*C8-100,1)&gt;999,999,-999)))</f>
        <v>4.7</v>
      </c>
      <c r="E8" s="27">
        <f>IFERROR(100/'Skjema total MA'!C8*C8,0)</f>
        <v>15.887123579370677</v>
      </c>
      <c r="F8" s="284"/>
      <c r="G8" s="285"/>
      <c r="H8" s="166"/>
      <c r="I8" s="175"/>
      <c r="J8" s="234">
        <f t="shared" si="0"/>
        <v>426082</v>
      </c>
      <c r="K8" s="286">
        <f t="shared" si="0"/>
        <v>446247</v>
      </c>
      <c r="L8" s="254"/>
      <c r="M8" s="27">
        <f>IFERROR(100/'Skjema total MA'!I8*K8,0)</f>
        <v>15.887123579370677</v>
      </c>
    </row>
    <row r="9" spans="1:14" ht="15.75" x14ac:dyDescent="0.2">
      <c r="A9" s="21" t="s">
        <v>24</v>
      </c>
      <c r="B9" s="280">
        <v>295236</v>
      </c>
      <c r="C9" s="281">
        <v>300623</v>
      </c>
      <c r="D9" s="166">
        <f t="shared" si="1"/>
        <v>1.8</v>
      </c>
      <c r="E9" s="27">
        <f>IFERROR(100/'Skjema total MA'!C9*C9,0)</f>
        <v>30.529307283603853</v>
      </c>
      <c r="F9" s="284"/>
      <c r="G9" s="285"/>
      <c r="H9" s="166"/>
      <c r="I9" s="175"/>
      <c r="J9" s="234">
        <f t="shared" si="0"/>
        <v>295236</v>
      </c>
      <c r="K9" s="286">
        <f t="shared" si="0"/>
        <v>300623</v>
      </c>
      <c r="L9" s="254"/>
      <c r="M9" s="27">
        <f>IFERROR(100/'Skjema total MA'!I9*K9,0)</f>
        <v>30.529307283603853</v>
      </c>
    </row>
    <row r="10" spans="1:14" ht="15.75" x14ac:dyDescent="0.2">
      <c r="A10" s="13" t="s">
        <v>451</v>
      </c>
      <c r="B10" s="309">
        <v>1236175</v>
      </c>
      <c r="C10" s="310">
        <v>1122791</v>
      </c>
      <c r="D10" s="171">
        <f t="shared" si="1"/>
        <v>-9.1999999999999993</v>
      </c>
      <c r="E10" s="11">
        <f>IFERROR(100/'Skjema total MA'!C10*C10,0)</f>
        <v>5.3110006948540214</v>
      </c>
      <c r="F10" s="309"/>
      <c r="G10" s="310"/>
      <c r="H10" s="171"/>
      <c r="I10" s="160"/>
      <c r="J10" s="307">
        <f t="shared" si="0"/>
        <v>1236175</v>
      </c>
      <c r="K10" s="308">
        <f t="shared" si="0"/>
        <v>1122791</v>
      </c>
      <c r="L10" s="373">
        <f t="shared" ref="L10:L12" si="2">IF(J10=0, "    ---- ", IF(ABS(ROUND(100/J10*K10-100,1))&lt;999,ROUND(100/J10*K10-100,1),IF(ROUND(100/J10*K10-100,1)&gt;999,999,-999)))</f>
        <v>-9.1999999999999993</v>
      </c>
      <c r="M10" s="11">
        <f>IFERROR(100/'Skjema total MA'!I10*K10,0)</f>
        <v>1.5148597689009762</v>
      </c>
    </row>
    <row r="11" spans="1:14" s="43" customFormat="1" ht="15.75" x14ac:dyDescent="0.2">
      <c r="A11" s="13" t="s">
        <v>452</v>
      </c>
      <c r="B11" s="309">
        <v>0</v>
      </c>
      <c r="C11" s="310">
        <v>0</v>
      </c>
      <c r="D11" s="171" t="str">
        <f t="shared" si="1"/>
        <v xml:space="preserve">    ---- </v>
      </c>
      <c r="E11" s="11">
        <f>IFERROR(100/'Skjema total MA'!C11*C11,0)</f>
        <v>0</v>
      </c>
      <c r="F11" s="309"/>
      <c r="G11" s="310"/>
      <c r="H11" s="171"/>
      <c r="I11" s="160"/>
      <c r="J11" s="307">
        <f t="shared" si="0"/>
        <v>0</v>
      </c>
      <c r="K11" s="308">
        <f t="shared" si="0"/>
        <v>0</v>
      </c>
      <c r="L11" s="373" t="str">
        <f t="shared" si="2"/>
        <v xml:space="preserve">    ---- </v>
      </c>
      <c r="M11" s="11">
        <f>IFERROR(100/'Skjema total MA'!I11*K11,0)</f>
        <v>0</v>
      </c>
      <c r="N11" s="143"/>
    </row>
    <row r="12" spans="1:14" s="43" customFormat="1" ht="15.75" x14ac:dyDescent="0.2">
      <c r="A12" s="41" t="s">
        <v>453</v>
      </c>
      <c r="B12" s="311">
        <v>0</v>
      </c>
      <c r="C12" s="312">
        <v>0</v>
      </c>
      <c r="D12" s="169" t="str">
        <f t="shared" si="1"/>
        <v xml:space="preserve">    ---- </v>
      </c>
      <c r="E12" s="36">
        <f>IFERROR(100/'Skjema total MA'!C12*C12,0)</f>
        <v>0</v>
      </c>
      <c r="F12" s="311"/>
      <c r="G12" s="312"/>
      <c r="H12" s="169"/>
      <c r="I12" s="169"/>
      <c r="J12" s="313">
        <f t="shared" si="0"/>
        <v>0</v>
      </c>
      <c r="K12" s="314">
        <f t="shared" si="0"/>
        <v>0</v>
      </c>
      <c r="L12" s="374" t="str">
        <f t="shared" si="2"/>
        <v xml:space="preserve">    ---- </v>
      </c>
      <c r="M12" s="36">
        <f>IFERROR(100/'Skjema total MA'!I12*K12,0)</f>
        <v>0</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975"/>
      <c r="C18" s="975"/>
      <c r="D18" s="975"/>
      <c r="E18" s="298"/>
      <c r="F18" s="975"/>
      <c r="G18" s="975"/>
      <c r="H18" s="975"/>
      <c r="I18" s="298"/>
      <c r="J18" s="975"/>
      <c r="K18" s="975"/>
      <c r="L18" s="975"/>
      <c r="M18" s="298"/>
    </row>
    <row r="19" spans="1:14" x14ac:dyDescent="0.2">
      <c r="A19" s="144"/>
      <c r="B19" s="973" t="s">
        <v>0</v>
      </c>
      <c r="C19" s="974"/>
      <c r="D19" s="974"/>
      <c r="E19" s="300"/>
      <c r="F19" s="973" t="s">
        <v>1</v>
      </c>
      <c r="G19" s="974"/>
      <c r="H19" s="974"/>
      <c r="I19" s="303"/>
      <c r="J19" s="973" t="s">
        <v>2</v>
      </c>
      <c r="K19" s="974"/>
      <c r="L19" s="974"/>
      <c r="M19" s="303"/>
    </row>
    <row r="20" spans="1:14" x14ac:dyDescent="0.2">
      <c r="A20" s="140" t="s">
        <v>5</v>
      </c>
      <c r="B20" s="152" t="s">
        <v>492</v>
      </c>
      <c r="C20" s="152" t="s">
        <v>493</v>
      </c>
      <c r="D20" s="162" t="s">
        <v>3</v>
      </c>
      <c r="E20" s="304" t="s">
        <v>29</v>
      </c>
      <c r="F20" s="152" t="s">
        <v>492</v>
      </c>
      <c r="G20" s="152" t="s">
        <v>493</v>
      </c>
      <c r="H20" s="162" t="s">
        <v>3</v>
      </c>
      <c r="I20" s="162" t="s">
        <v>29</v>
      </c>
      <c r="J20" s="152" t="s">
        <v>492</v>
      </c>
      <c r="K20" s="152" t="s">
        <v>493</v>
      </c>
      <c r="L20" s="162" t="s">
        <v>3</v>
      </c>
      <c r="M20" s="162" t="s">
        <v>29</v>
      </c>
    </row>
    <row r="21" spans="1:14" x14ac:dyDescent="0.2">
      <c r="A21" s="947"/>
      <c r="B21" s="156"/>
      <c r="C21" s="156"/>
      <c r="D21" s="246" t="s">
        <v>4</v>
      </c>
      <c r="E21" s="156" t="s">
        <v>30</v>
      </c>
      <c r="F21" s="161"/>
      <c r="G21" s="161"/>
      <c r="H21" s="245"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372"/>
      <c r="M22" s="24"/>
    </row>
    <row r="23" spans="1:14" ht="15.75" x14ac:dyDescent="0.2">
      <c r="A23" s="753" t="s">
        <v>454</v>
      </c>
      <c r="B23" s="280"/>
      <c r="C23" s="280"/>
      <c r="D23" s="166"/>
      <c r="E23" s="11"/>
      <c r="F23" s="289"/>
      <c r="G23" s="289"/>
      <c r="H23" s="166"/>
      <c r="I23" s="365"/>
      <c r="J23" s="289"/>
      <c r="K23" s="289"/>
      <c r="L23" s="166"/>
      <c r="M23" s="23"/>
    </row>
    <row r="24" spans="1:14" ht="15.75" x14ac:dyDescent="0.2">
      <c r="A24" s="753" t="s">
        <v>455</v>
      </c>
      <c r="B24" s="280"/>
      <c r="C24" s="280"/>
      <c r="D24" s="166"/>
      <c r="E24" s="11"/>
      <c r="F24" s="289"/>
      <c r="G24" s="289"/>
      <c r="H24" s="166"/>
      <c r="I24" s="365"/>
      <c r="J24" s="289"/>
      <c r="K24" s="289"/>
      <c r="L24" s="166"/>
      <c r="M24" s="23"/>
    </row>
    <row r="25" spans="1:14" ht="15.75" x14ac:dyDescent="0.2">
      <c r="A25" s="753" t="s">
        <v>456</v>
      </c>
      <c r="B25" s="280"/>
      <c r="C25" s="280"/>
      <c r="D25" s="166"/>
      <c r="E25" s="11"/>
      <c r="F25" s="289"/>
      <c r="G25" s="289"/>
      <c r="H25" s="166"/>
      <c r="I25" s="365"/>
      <c r="J25" s="289"/>
      <c r="K25" s="289"/>
      <c r="L25" s="166"/>
      <c r="M25" s="23"/>
    </row>
    <row r="26" spans="1:14" ht="15.75" x14ac:dyDescent="0.2">
      <c r="A26" s="753" t="s">
        <v>457</v>
      </c>
      <c r="B26" s="280"/>
      <c r="C26" s="280"/>
      <c r="D26" s="166"/>
      <c r="E26" s="11"/>
      <c r="F26" s="289"/>
      <c r="G26" s="289"/>
      <c r="H26" s="166"/>
      <c r="I26" s="365"/>
      <c r="J26" s="289"/>
      <c r="K26" s="289"/>
      <c r="L26" s="166"/>
      <c r="M26" s="23"/>
    </row>
    <row r="27" spans="1:14" x14ac:dyDescent="0.2">
      <c r="A27" s="753" t="s">
        <v>11</v>
      </c>
      <c r="B27" s="280"/>
      <c r="C27" s="280"/>
      <c r="D27" s="166"/>
      <c r="E27" s="11"/>
      <c r="F27" s="289"/>
      <c r="G27" s="289"/>
      <c r="H27" s="166"/>
      <c r="I27" s="365"/>
      <c r="J27" s="289"/>
      <c r="K27" s="289"/>
      <c r="L27" s="166"/>
      <c r="M27" s="23"/>
    </row>
    <row r="28" spans="1:14" ht="15.75" x14ac:dyDescent="0.2">
      <c r="A28" s="49" t="s">
        <v>279</v>
      </c>
      <c r="B28" s="44"/>
      <c r="C28" s="286"/>
      <c r="D28" s="166"/>
      <c r="E28" s="11"/>
      <c r="F28" s="234"/>
      <c r="G28" s="286"/>
      <c r="H28" s="166"/>
      <c r="I28" s="27"/>
      <c r="J28" s="44"/>
      <c r="K28" s="44"/>
      <c r="L28" s="254"/>
      <c r="M28" s="23"/>
    </row>
    <row r="29" spans="1:14" s="3" customFormat="1" ht="15.75" x14ac:dyDescent="0.2">
      <c r="A29" s="13" t="s">
        <v>451</v>
      </c>
      <c r="B29" s="236"/>
      <c r="C29" s="236"/>
      <c r="D29" s="171"/>
      <c r="E29" s="11"/>
      <c r="F29" s="307"/>
      <c r="G29" s="307"/>
      <c r="H29" s="171"/>
      <c r="I29" s="11"/>
      <c r="J29" s="236"/>
      <c r="K29" s="236"/>
      <c r="L29" s="373"/>
      <c r="M29" s="24"/>
      <c r="N29" s="148"/>
    </row>
    <row r="30" spans="1:14" s="3" customFormat="1" ht="15.75" x14ac:dyDescent="0.2">
      <c r="A30" s="753" t="s">
        <v>454</v>
      </c>
      <c r="B30" s="280"/>
      <c r="C30" s="280"/>
      <c r="D30" s="166"/>
      <c r="E30" s="11"/>
      <c r="F30" s="289"/>
      <c r="G30" s="289"/>
      <c r="H30" s="166"/>
      <c r="I30" s="365"/>
      <c r="J30" s="289"/>
      <c r="K30" s="289"/>
      <c r="L30" s="166"/>
      <c r="M30" s="23"/>
      <c r="N30" s="148"/>
    </row>
    <row r="31" spans="1:14" s="3" customFormat="1" ht="15.75" x14ac:dyDescent="0.2">
      <c r="A31" s="753" t="s">
        <v>455</v>
      </c>
      <c r="B31" s="280"/>
      <c r="C31" s="280"/>
      <c r="D31" s="166"/>
      <c r="E31" s="11"/>
      <c r="F31" s="289"/>
      <c r="G31" s="289"/>
      <c r="H31" s="166"/>
      <c r="I31" s="365"/>
      <c r="J31" s="289"/>
      <c r="K31" s="289"/>
      <c r="L31" s="166"/>
      <c r="M31" s="23"/>
      <c r="N31" s="148"/>
    </row>
    <row r="32" spans="1:14" ht="15.75" x14ac:dyDescent="0.2">
      <c r="A32" s="753" t="s">
        <v>456</v>
      </c>
      <c r="B32" s="280"/>
      <c r="C32" s="280"/>
      <c r="D32" s="166"/>
      <c r="E32" s="11"/>
      <c r="F32" s="289"/>
      <c r="G32" s="289"/>
      <c r="H32" s="166"/>
      <c r="I32" s="365"/>
      <c r="J32" s="289"/>
      <c r="K32" s="289"/>
      <c r="L32" s="166"/>
      <c r="M32" s="23"/>
    </row>
    <row r="33" spans="1:14" ht="15.75" x14ac:dyDescent="0.2">
      <c r="A33" s="753" t="s">
        <v>457</v>
      </c>
      <c r="B33" s="280"/>
      <c r="C33" s="280"/>
      <c r="D33" s="166"/>
      <c r="E33" s="11"/>
      <c r="F33" s="289"/>
      <c r="G33" s="289"/>
      <c r="H33" s="166"/>
      <c r="I33" s="365"/>
      <c r="J33" s="289"/>
      <c r="K33" s="289"/>
      <c r="L33" s="166"/>
      <c r="M33" s="23"/>
    </row>
    <row r="34" spans="1:14" ht="15.75" x14ac:dyDescent="0.2">
      <c r="A34" s="13" t="s">
        <v>452</v>
      </c>
      <c r="B34" s="236"/>
      <c r="C34" s="308"/>
      <c r="D34" s="171"/>
      <c r="E34" s="11"/>
      <c r="F34" s="307"/>
      <c r="G34" s="308"/>
      <c r="H34" s="171"/>
      <c r="I34" s="11"/>
      <c r="J34" s="236"/>
      <c r="K34" s="236"/>
      <c r="L34" s="373"/>
      <c r="M34" s="24"/>
    </row>
    <row r="35" spans="1:14" ht="15.75" x14ac:dyDescent="0.2">
      <c r="A35" s="13" t="s">
        <v>453</v>
      </c>
      <c r="B35" s="236"/>
      <c r="C35" s="308"/>
      <c r="D35" s="171"/>
      <c r="E35" s="11"/>
      <c r="F35" s="307"/>
      <c r="G35" s="308"/>
      <c r="H35" s="171"/>
      <c r="I35" s="11"/>
      <c r="J35" s="236"/>
      <c r="K35" s="236"/>
      <c r="L35" s="373"/>
      <c r="M35" s="24"/>
    </row>
    <row r="36" spans="1:14" ht="15.75" x14ac:dyDescent="0.2">
      <c r="A36" s="12" t="s">
        <v>287</v>
      </c>
      <c r="B36" s="236"/>
      <c r="C36" s="308"/>
      <c r="D36" s="171"/>
      <c r="E36" s="11"/>
      <c r="F36" s="318"/>
      <c r="G36" s="319"/>
      <c r="H36" s="171"/>
      <c r="I36" s="379"/>
      <c r="J36" s="236"/>
      <c r="K36" s="236"/>
      <c r="L36" s="373"/>
      <c r="M36" s="24"/>
    </row>
    <row r="37" spans="1:14" ht="15.75" x14ac:dyDescent="0.2">
      <c r="A37" s="12" t="s">
        <v>459</v>
      </c>
      <c r="B37" s="236"/>
      <c r="C37" s="308"/>
      <c r="D37" s="171"/>
      <c r="E37" s="11"/>
      <c r="F37" s="318"/>
      <c r="G37" s="320"/>
      <c r="H37" s="171"/>
      <c r="I37" s="379"/>
      <c r="J37" s="236"/>
      <c r="K37" s="236"/>
      <c r="L37" s="373"/>
      <c r="M37" s="24"/>
    </row>
    <row r="38" spans="1:14" ht="15.75" x14ac:dyDescent="0.2">
      <c r="A38" s="12" t="s">
        <v>460</v>
      </c>
      <c r="B38" s="236"/>
      <c r="C38" s="308"/>
      <c r="D38" s="171"/>
      <c r="E38" s="24"/>
      <c r="F38" s="318"/>
      <c r="G38" s="319"/>
      <c r="H38" s="171"/>
      <c r="I38" s="379"/>
      <c r="J38" s="236"/>
      <c r="K38" s="236"/>
      <c r="L38" s="373"/>
      <c r="M38" s="24"/>
    </row>
    <row r="39" spans="1:14" ht="15.75" x14ac:dyDescent="0.2">
      <c r="A39" s="18" t="s">
        <v>461</v>
      </c>
      <c r="B39" s="275"/>
      <c r="C39" s="314"/>
      <c r="D39" s="169"/>
      <c r="E39" s="36"/>
      <c r="F39" s="321"/>
      <c r="G39" s="322"/>
      <c r="H39" s="169"/>
      <c r="I39" s="36"/>
      <c r="J39" s="236"/>
      <c r="K39" s="236"/>
      <c r="L39" s="374"/>
      <c r="M39" s="36"/>
    </row>
    <row r="40" spans="1:14" ht="15.75" x14ac:dyDescent="0.25">
      <c r="A40" s="47"/>
      <c r="B40" s="253"/>
      <c r="C40" s="253"/>
      <c r="D40" s="976"/>
      <c r="E40" s="976"/>
      <c r="F40" s="976"/>
      <c r="G40" s="976"/>
      <c r="H40" s="976"/>
      <c r="I40" s="976"/>
      <c r="J40" s="976"/>
      <c r="K40" s="976"/>
      <c r="L40" s="976"/>
      <c r="M40" s="301"/>
    </row>
    <row r="41" spans="1:14" x14ac:dyDescent="0.2">
      <c r="A41" s="155"/>
    </row>
    <row r="42" spans="1:14" ht="15.75" x14ac:dyDescent="0.25">
      <c r="A42" s="147" t="s">
        <v>276</v>
      </c>
      <c r="B42" s="972"/>
      <c r="C42" s="972"/>
      <c r="D42" s="972"/>
      <c r="E42" s="298"/>
      <c r="F42" s="977"/>
      <c r="G42" s="977"/>
      <c r="H42" s="977"/>
      <c r="I42" s="301"/>
      <c r="J42" s="977"/>
      <c r="K42" s="977"/>
      <c r="L42" s="977"/>
      <c r="M42" s="301"/>
    </row>
    <row r="43" spans="1:14" ht="15.75" x14ac:dyDescent="0.25">
      <c r="A43" s="163"/>
      <c r="B43" s="302"/>
      <c r="C43" s="302"/>
      <c r="D43" s="302"/>
      <c r="E43" s="302"/>
      <c r="F43" s="301"/>
      <c r="G43" s="301"/>
      <c r="H43" s="301"/>
      <c r="I43" s="301"/>
      <c r="J43" s="301"/>
      <c r="K43" s="301"/>
      <c r="L43" s="301"/>
      <c r="M43" s="301"/>
    </row>
    <row r="44" spans="1:14" ht="15.75" x14ac:dyDescent="0.25">
      <c r="A44" s="247"/>
      <c r="B44" s="973" t="s">
        <v>0</v>
      </c>
      <c r="C44" s="974"/>
      <c r="D44" s="974"/>
      <c r="E44" s="243"/>
      <c r="F44" s="301"/>
      <c r="G44" s="301"/>
      <c r="H44" s="301"/>
      <c r="I44" s="301"/>
      <c r="J44" s="301"/>
      <c r="K44" s="301"/>
      <c r="L44" s="301"/>
      <c r="M44" s="301"/>
    </row>
    <row r="45" spans="1:14" s="3" customFormat="1" x14ac:dyDescent="0.2">
      <c r="A45" s="140"/>
      <c r="B45" s="152" t="s">
        <v>492</v>
      </c>
      <c r="C45" s="152" t="s">
        <v>493</v>
      </c>
      <c r="D45" s="162" t="s">
        <v>3</v>
      </c>
      <c r="E45" s="162" t="s">
        <v>29</v>
      </c>
      <c r="F45" s="174"/>
      <c r="G45" s="174"/>
      <c r="H45" s="173"/>
      <c r="I45" s="173"/>
      <c r="J45" s="174"/>
      <c r="K45" s="174"/>
      <c r="L45" s="173"/>
      <c r="M45" s="173"/>
      <c r="N45" s="148"/>
    </row>
    <row r="46" spans="1:14" s="3" customFormat="1" x14ac:dyDescent="0.2">
      <c r="A46" s="947"/>
      <c r="B46" s="244"/>
      <c r="C46" s="244"/>
      <c r="D46" s="245" t="s">
        <v>4</v>
      </c>
      <c r="E46" s="156" t="s">
        <v>30</v>
      </c>
      <c r="F46" s="173"/>
      <c r="G46" s="173"/>
      <c r="H46" s="173"/>
      <c r="I46" s="173"/>
      <c r="J46" s="173"/>
      <c r="K46" s="173"/>
      <c r="L46" s="173"/>
      <c r="M46" s="173"/>
      <c r="N46" s="148"/>
    </row>
    <row r="47" spans="1:14" s="3" customFormat="1" ht="15.75" x14ac:dyDescent="0.2">
      <c r="A47" s="14" t="s">
        <v>23</v>
      </c>
      <c r="B47" s="309">
        <v>839040</v>
      </c>
      <c r="C47" s="310">
        <v>812800</v>
      </c>
      <c r="D47" s="372">
        <f t="shared" ref="D47:D58" si="3">IF(B47=0, "    ---- ", IF(ABS(ROUND(100/B47*C47-100,1))&lt;999,ROUND(100/B47*C47-100,1),IF(ROUND(100/B47*C47-100,1)&gt;999,999,-999)))</f>
        <v>-3.1</v>
      </c>
      <c r="E47" s="11">
        <f>IFERROR(100/'Skjema total MA'!C47*C47,0)</f>
        <v>18.779849350511569</v>
      </c>
      <c r="F47" s="145"/>
      <c r="G47" s="33"/>
      <c r="H47" s="159"/>
      <c r="I47" s="159"/>
      <c r="J47" s="37"/>
      <c r="K47" s="37"/>
      <c r="L47" s="159"/>
      <c r="M47" s="159"/>
      <c r="N47" s="148"/>
    </row>
    <row r="48" spans="1:14" s="3" customFormat="1" ht="15.75" x14ac:dyDescent="0.2">
      <c r="A48" s="38" t="s">
        <v>462</v>
      </c>
      <c r="B48" s="280">
        <v>505201</v>
      </c>
      <c r="C48" s="281">
        <v>530720</v>
      </c>
      <c r="D48" s="254">
        <f t="shared" si="3"/>
        <v>5.0999999999999996</v>
      </c>
      <c r="E48" s="27">
        <f>IFERROR(100/'Skjema total MA'!C48*C48,0)</f>
        <v>22.118545200894921</v>
      </c>
      <c r="F48" s="145"/>
      <c r="G48" s="33"/>
      <c r="H48" s="145"/>
      <c r="I48" s="145"/>
      <c r="J48" s="33"/>
      <c r="K48" s="33"/>
      <c r="L48" s="159"/>
      <c r="M48" s="159"/>
      <c r="N48" s="148"/>
    </row>
    <row r="49" spans="1:14" s="3" customFormat="1" ht="15.75" x14ac:dyDescent="0.2">
      <c r="A49" s="38" t="s">
        <v>463</v>
      </c>
      <c r="B49" s="44">
        <v>333839</v>
      </c>
      <c r="C49" s="286">
        <v>282080</v>
      </c>
      <c r="D49" s="254">
        <f>IF(B49=0, "    ---- ", IF(ABS(ROUND(100/B49*C49-100,1))&lt;999,ROUND(100/B49*C49-100,1),IF(ROUND(100/B49*C49-100,1)&gt;999,999,-999)))</f>
        <v>-15.5</v>
      </c>
      <c r="E49" s="27">
        <f>IFERROR(100/'Skjema total MA'!C49*C49,0)</f>
        <v>14.626087263805829</v>
      </c>
      <c r="F49" s="145"/>
      <c r="G49" s="33"/>
      <c r="H49" s="145"/>
      <c r="I49" s="145"/>
      <c r="J49" s="37"/>
      <c r="K49" s="37"/>
      <c r="L49" s="159"/>
      <c r="M49" s="159"/>
      <c r="N49" s="148"/>
    </row>
    <row r="50" spans="1:14" s="3" customFormat="1" x14ac:dyDescent="0.2">
      <c r="A50" s="295" t="s">
        <v>6</v>
      </c>
      <c r="B50" s="289">
        <v>0</v>
      </c>
      <c r="C50" s="290">
        <v>0</v>
      </c>
      <c r="D50" s="254" t="e">
        <f>IF(kvartal=4,IF(B49=0, "    ---- ", IF(ABS(ROUND(100/B49*C49-100,1))&lt;999,ROUND(100/B49*C49-100,1),IF(ROUND(100/B49*C49-100,1)&gt;999,999,-999))),"")</f>
        <v>#REF!</v>
      </c>
      <c r="E50" s="23" t="e">
        <f>IF(kvartal=4,IFERROR(100/'Skjema total MA'!B50*C50,0),"")</f>
        <v>#REF!</v>
      </c>
      <c r="F50" s="145"/>
      <c r="G50" s="33"/>
      <c r="H50" s="145"/>
      <c r="I50" s="145"/>
      <c r="J50" s="33"/>
      <c r="K50" s="33"/>
      <c r="L50" s="159"/>
      <c r="M50" s="159"/>
      <c r="N50" s="148"/>
    </row>
    <row r="51" spans="1:14" s="3" customFormat="1" x14ac:dyDescent="0.2">
      <c r="A51" s="295" t="s">
        <v>7</v>
      </c>
      <c r="B51" s="289">
        <v>289635</v>
      </c>
      <c r="C51" s="290">
        <v>241527</v>
      </c>
      <c r="D51" s="254" t="e">
        <f>IF(kvartal=4,IF(B50=0, "    ---- ", IF(ABS(ROUND(100/B50*C50-100,1))&lt;999,ROUND(100/B50*C50-100,1),IF(ROUND(100/B50*C50-100,1)&gt;999,999,-999))),"")</f>
        <v>#REF!</v>
      </c>
      <c r="E51" s="23" t="e">
        <f>IF(kvartal=4,IFERROR(100/'Skjema total MA'!B51*C51,0),"")</f>
        <v>#REF!</v>
      </c>
      <c r="F51" s="145"/>
      <c r="G51" s="33"/>
      <c r="H51" s="145"/>
      <c r="I51" s="145"/>
      <c r="J51" s="33"/>
      <c r="K51" s="33"/>
      <c r="L51" s="159"/>
      <c r="M51" s="159"/>
      <c r="N51" s="148"/>
    </row>
    <row r="52" spans="1:14" s="3" customFormat="1" x14ac:dyDescent="0.2">
      <c r="A52" s="295" t="s">
        <v>8</v>
      </c>
      <c r="B52" s="289">
        <v>44204</v>
      </c>
      <c r="C52" s="290">
        <v>40553</v>
      </c>
      <c r="D52" s="254" t="e">
        <f>IF(kvartal=4,IF(B51=0, "    ---- ", IF(ABS(ROUND(100/B51*C51-100,1))&lt;999,ROUND(100/B51*C51-100,1),IF(ROUND(100/B51*C51-100,1)&gt;999,999,-999))),"")</f>
        <v>#REF!</v>
      </c>
      <c r="E52" s="23" t="e">
        <f>IF(kvartal=4,IFERROR(100/'Skjema total MA'!B52*C52,0),"")</f>
        <v>#REF!</v>
      </c>
      <c r="F52" s="145"/>
      <c r="G52" s="33"/>
      <c r="H52" s="145"/>
      <c r="I52" s="145"/>
      <c r="J52" s="33"/>
      <c r="K52" s="33"/>
      <c r="L52" s="159"/>
      <c r="M52" s="159"/>
      <c r="N52" s="148"/>
    </row>
    <row r="53" spans="1:14" s="3" customFormat="1" ht="15.75" x14ac:dyDescent="0.2">
      <c r="A53" s="39" t="s">
        <v>464</v>
      </c>
      <c r="B53" s="309">
        <v>54126</v>
      </c>
      <c r="C53" s="310">
        <v>30886</v>
      </c>
      <c r="D53" s="373">
        <f t="shared" si="3"/>
        <v>-42.9</v>
      </c>
      <c r="E53" s="11">
        <f>IFERROR(100/'Skjema total MA'!C53*C53,0)</f>
        <v>13.236482361313712</v>
      </c>
      <c r="F53" s="145"/>
      <c r="G53" s="33"/>
      <c r="H53" s="145"/>
      <c r="I53" s="145"/>
      <c r="J53" s="33"/>
      <c r="K53" s="33"/>
      <c r="L53" s="159"/>
      <c r="M53" s="159"/>
      <c r="N53" s="148"/>
    </row>
    <row r="54" spans="1:14" s="3" customFormat="1" ht="15.75" x14ac:dyDescent="0.2">
      <c r="A54" s="38" t="s">
        <v>462</v>
      </c>
      <c r="B54" s="280">
        <v>54126</v>
      </c>
      <c r="C54" s="281">
        <v>30886</v>
      </c>
      <c r="D54" s="254">
        <f t="shared" si="3"/>
        <v>-42.9</v>
      </c>
      <c r="E54" s="27">
        <f>IFERROR(100/'Skjema total MA'!C54*C54,0)</f>
        <v>22.255455928335447</v>
      </c>
      <c r="F54" s="145"/>
      <c r="G54" s="33"/>
      <c r="H54" s="145"/>
      <c r="I54" s="145"/>
      <c r="J54" s="33"/>
      <c r="K54" s="33"/>
      <c r="L54" s="159"/>
      <c r="M54" s="159"/>
      <c r="N54" s="148"/>
    </row>
    <row r="55" spans="1:14" s="3" customFormat="1" ht="15.75" x14ac:dyDescent="0.2">
      <c r="A55" s="38" t="s">
        <v>463</v>
      </c>
      <c r="B55" s="280">
        <v>0</v>
      </c>
      <c r="C55" s="281">
        <v>0</v>
      </c>
      <c r="D55" s="254" t="str">
        <f t="shared" si="3"/>
        <v xml:space="preserve">    ---- </v>
      </c>
      <c r="E55" s="27">
        <f>IFERROR(100/'Skjema total MA'!C55*C55,0)</f>
        <v>0</v>
      </c>
      <c r="F55" s="145"/>
      <c r="G55" s="33"/>
      <c r="H55" s="145"/>
      <c r="I55" s="145"/>
      <c r="J55" s="33"/>
      <c r="K55" s="33"/>
      <c r="L55" s="159"/>
      <c r="M55" s="159"/>
      <c r="N55" s="148"/>
    </row>
    <row r="56" spans="1:14" s="3" customFormat="1" ht="15.75" x14ac:dyDescent="0.2">
      <c r="A56" s="39" t="s">
        <v>465</v>
      </c>
      <c r="B56" s="309">
        <v>41615</v>
      </c>
      <c r="C56" s="310">
        <v>110091</v>
      </c>
      <c r="D56" s="373">
        <f t="shared" si="3"/>
        <v>164.5</v>
      </c>
      <c r="E56" s="11">
        <f>IFERROR(100/'Skjema total MA'!C56*C56,0)</f>
        <v>59.190958933858845</v>
      </c>
      <c r="F56" s="145"/>
      <c r="G56" s="33"/>
      <c r="H56" s="145"/>
      <c r="I56" s="145"/>
      <c r="J56" s="33"/>
      <c r="K56" s="33"/>
      <c r="L56" s="159"/>
      <c r="M56" s="159"/>
      <c r="N56" s="148"/>
    </row>
    <row r="57" spans="1:14" s="3" customFormat="1" ht="15.75" x14ac:dyDescent="0.2">
      <c r="A57" s="38" t="s">
        <v>462</v>
      </c>
      <c r="B57" s="280">
        <v>41615</v>
      </c>
      <c r="C57" s="281">
        <v>44059</v>
      </c>
      <c r="D57" s="254">
        <f t="shared" si="3"/>
        <v>5.9</v>
      </c>
      <c r="E57" s="27">
        <f>IFERROR(100/'Skjema total MA'!C57*C57,0)</f>
        <v>36.903571025030423</v>
      </c>
      <c r="F57" s="145"/>
      <c r="G57" s="33"/>
      <c r="H57" s="145"/>
      <c r="I57" s="145"/>
      <c r="J57" s="33"/>
      <c r="K57" s="33"/>
      <c r="L57" s="159"/>
      <c r="M57" s="159"/>
      <c r="N57" s="148"/>
    </row>
    <row r="58" spans="1:14" s="3" customFormat="1" ht="15.75" x14ac:dyDescent="0.2">
      <c r="A58" s="46" t="s">
        <v>463</v>
      </c>
      <c r="B58" s="282">
        <v>0</v>
      </c>
      <c r="C58" s="283">
        <v>66032</v>
      </c>
      <c r="D58" s="255" t="str">
        <f t="shared" si="3"/>
        <v xml:space="preserve">    ---- </v>
      </c>
      <c r="E58" s="22">
        <f>IFERROR(100/'Skjema total MA'!C58*C58,0)</f>
        <v>99.142082862373911</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975"/>
      <c r="C62" s="975"/>
      <c r="D62" s="975"/>
      <c r="E62" s="298"/>
      <c r="F62" s="975"/>
      <c r="G62" s="975"/>
      <c r="H62" s="975"/>
      <c r="I62" s="298"/>
      <c r="J62" s="975"/>
      <c r="K62" s="975"/>
      <c r="L62" s="975"/>
      <c r="M62" s="298"/>
    </row>
    <row r="63" spans="1:14" x14ac:dyDescent="0.2">
      <c r="A63" s="144"/>
      <c r="B63" s="973" t="s">
        <v>0</v>
      </c>
      <c r="C63" s="974"/>
      <c r="D63" s="978"/>
      <c r="E63" s="299"/>
      <c r="F63" s="974" t="s">
        <v>1</v>
      </c>
      <c r="G63" s="974"/>
      <c r="H63" s="974"/>
      <c r="I63" s="303"/>
      <c r="J63" s="973" t="s">
        <v>2</v>
      </c>
      <c r="K63" s="974"/>
      <c r="L63" s="974"/>
      <c r="M63" s="303"/>
    </row>
    <row r="64" spans="1:14" x14ac:dyDescent="0.2">
      <c r="A64" s="140"/>
      <c r="B64" s="152" t="s">
        <v>492</v>
      </c>
      <c r="C64" s="152" t="s">
        <v>493</v>
      </c>
      <c r="D64" s="245" t="s">
        <v>3</v>
      </c>
      <c r="E64" s="304" t="s">
        <v>29</v>
      </c>
      <c r="F64" s="152" t="s">
        <v>492</v>
      </c>
      <c r="G64" s="152" t="s">
        <v>493</v>
      </c>
      <c r="H64" s="245" t="s">
        <v>3</v>
      </c>
      <c r="I64" s="304" t="s">
        <v>29</v>
      </c>
      <c r="J64" s="152" t="s">
        <v>492</v>
      </c>
      <c r="K64" s="152" t="s">
        <v>493</v>
      </c>
      <c r="L64" s="245" t="s">
        <v>3</v>
      </c>
      <c r="M64" s="162" t="s">
        <v>29</v>
      </c>
    </row>
    <row r="65" spans="1:14" x14ac:dyDescent="0.2">
      <c r="A65" s="947"/>
      <c r="B65" s="156"/>
      <c r="C65" s="156"/>
      <c r="D65" s="246" t="s">
        <v>4</v>
      </c>
      <c r="E65" s="156" t="s">
        <v>30</v>
      </c>
      <c r="F65" s="161"/>
      <c r="G65" s="161"/>
      <c r="H65" s="245" t="s">
        <v>4</v>
      </c>
      <c r="I65" s="156" t="s">
        <v>30</v>
      </c>
      <c r="J65" s="161"/>
      <c r="K65" s="206"/>
      <c r="L65" s="156" t="s">
        <v>4</v>
      </c>
      <c r="M65" s="156" t="s">
        <v>30</v>
      </c>
    </row>
    <row r="66" spans="1:14" ht="15.75" x14ac:dyDescent="0.2">
      <c r="A66" s="14" t="s">
        <v>23</v>
      </c>
      <c r="B66" s="352"/>
      <c r="C66" s="352"/>
      <c r="D66" s="349"/>
      <c r="E66" s="11"/>
      <c r="F66" s="351"/>
      <c r="G66" s="351"/>
      <c r="H66" s="349"/>
      <c r="I66" s="11"/>
      <c r="J66" s="308"/>
      <c r="K66" s="315"/>
      <c r="L66" s="373"/>
      <c r="M66" s="11"/>
    </row>
    <row r="67" spans="1:14" x14ac:dyDescent="0.2">
      <c r="A67" s="367" t="s">
        <v>9</v>
      </c>
      <c r="B67" s="44"/>
      <c r="C67" s="145"/>
      <c r="D67" s="166"/>
      <c r="E67" s="27"/>
      <c r="F67" s="234"/>
      <c r="G67" s="145"/>
      <c r="H67" s="166"/>
      <c r="I67" s="27"/>
      <c r="J67" s="286"/>
      <c r="K67" s="44"/>
      <c r="L67" s="254"/>
      <c r="M67" s="27"/>
    </row>
    <row r="68" spans="1:14" x14ac:dyDescent="0.2">
      <c r="A68" s="21" t="s">
        <v>10</v>
      </c>
      <c r="B68" s="291"/>
      <c r="C68" s="292"/>
      <c r="D68" s="166"/>
      <c r="E68" s="27"/>
      <c r="F68" s="291"/>
      <c r="G68" s="292"/>
      <c r="H68" s="166"/>
      <c r="I68" s="27"/>
      <c r="J68" s="286"/>
      <c r="K68" s="44"/>
      <c r="L68" s="254"/>
      <c r="M68" s="27"/>
    </row>
    <row r="69" spans="1:14" ht="15.75" x14ac:dyDescent="0.2">
      <c r="A69" s="295" t="s">
        <v>466</v>
      </c>
      <c r="B69" s="280"/>
      <c r="C69" s="280"/>
      <c r="D69" s="166"/>
      <c r="E69" s="365"/>
      <c r="F69" s="280"/>
      <c r="G69" s="280"/>
      <c r="H69" s="166"/>
      <c r="I69" s="365"/>
      <c r="J69" s="289"/>
      <c r="K69" s="289"/>
      <c r="L69" s="166"/>
      <c r="M69" s="23"/>
    </row>
    <row r="70" spans="1:14" x14ac:dyDescent="0.2">
      <c r="A70" s="295" t="s">
        <v>12</v>
      </c>
      <c r="B70" s="293"/>
      <c r="C70" s="294"/>
      <c r="D70" s="166"/>
      <c r="E70" s="365"/>
      <c r="F70" s="280"/>
      <c r="G70" s="280"/>
      <c r="H70" s="166"/>
      <c r="I70" s="365"/>
      <c r="J70" s="289"/>
      <c r="K70" s="289"/>
      <c r="L70" s="166"/>
      <c r="M70" s="23"/>
    </row>
    <row r="71" spans="1:14" x14ac:dyDescent="0.2">
      <c r="A71" s="295" t="s">
        <v>13</v>
      </c>
      <c r="B71" s="235"/>
      <c r="C71" s="288"/>
      <c r="D71" s="166"/>
      <c r="E71" s="365"/>
      <c r="F71" s="280"/>
      <c r="G71" s="280"/>
      <c r="H71" s="166"/>
      <c r="I71" s="365"/>
      <c r="J71" s="289"/>
      <c r="K71" s="289"/>
      <c r="L71" s="166"/>
      <c r="M71" s="23"/>
    </row>
    <row r="72" spans="1:14" ht="15.75" x14ac:dyDescent="0.2">
      <c r="A72" s="295" t="s">
        <v>467</v>
      </c>
      <c r="B72" s="280"/>
      <c r="C72" s="280"/>
      <c r="D72" s="166"/>
      <c r="E72" s="365"/>
      <c r="F72" s="280"/>
      <c r="G72" s="280"/>
      <c r="H72" s="166"/>
      <c r="I72" s="365"/>
      <c r="J72" s="289"/>
      <c r="K72" s="289"/>
      <c r="L72" s="166"/>
      <c r="M72" s="23"/>
    </row>
    <row r="73" spans="1:14" x14ac:dyDescent="0.2">
      <c r="A73" s="295" t="s">
        <v>12</v>
      </c>
      <c r="B73" s="235"/>
      <c r="C73" s="288"/>
      <c r="D73" s="166"/>
      <c r="E73" s="365"/>
      <c r="F73" s="280"/>
      <c r="G73" s="280"/>
      <c r="H73" s="166"/>
      <c r="I73" s="365"/>
      <c r="J73" s="289"/>
      <c r="K73" s="289"/>
      <c r="L73" s="166"/>
      <c r="M73" s="23"/>
    </row>
    <row r="74" spans="1:14" s="3" customFormat="1" x14ac:dyDescent="0.2">
      <c r="A74" s="295" t="s">
        <v>13</v>
      </c>
      <c r="B74" s="235"/>
      <c r="C74" s="288"/>
      <c r="D74" s="166"/>
      <c r="E74" s="365"/>
      <c r="F74" s="280"/>
      <c r="G74" s="280"/>
      <c r="H74" s="166"/>
      <c r="I74" s="365"/>
      <c r="J74" s="289"/>
      <c r="K74" s="289"/>
      <c r="L74" s="166"/>
      <c r="M74" s="23"/>
      <c r="N74" s="148"/>
    </row>
    <row r="75" spans="1:14" s="3" customFormat="1" x14ac:dyDescent="0.2">
      <c r="A75" s="21" t="s">
        <v>353</v>
      </c>
      <c r="B75" s="234"/>
      <c r="C75" s="145"/>
      <c r="D75" s="166"/>
      <c r="E75" s="27"/>
      <c r="F75" s="234"/>
      <c r="G75" s="145"/>
      <c r="H75" s="166"/>
      <c r="I75" s="27"/>
      <c r="J75" s="286"/>
      <c r="K75" s="44"/>
      <c r="L75" s="254"/>
      <c r="M75" s="27"/>
      <c r="N75" s="148"/>
    </row>
    <row r="76" spans="1:14" s="3" customFormat="1" x14ac:dyDescent="0.2">
      <c r="A76" s="21" t="s">
        <v>352</v>
      </c>
      <c r="B76" s="234"/>
      <c r="C76" s="145"/>
      <c r="D76" s="166"/>
      <c r="E76" s="27"/>
      <c r="F76" s="234"/>
      <c r="G76" s="145"/>
      <c r="H76" s="166"/>
      <c r="I76" s="27"/>
      <c r="J76" s="286"/>
      <c r="K76" s="44"/>
      <c r="L76" s="254"/>
      <c r="M76" s="27"/>
      <c r="N76" s="148"/>
    </row>
    <row r="77" spans="1:14" ht="15.75" x14ac:dyDescent="0.2">
      <c r="A77" s="21" t="s">
        <v>468</v>
      </c>
      <c r="B77" s="234"/>
      <c r="C77" s="234"/>
      <c r="D77" s="166"/>
      <c r="E77" s="27"/>
      <c r="F77" s="234"/>
      <c r="G77" s="145"/>
      <c r="H77" s="166"/>
      <c r="I77" s="27"/>
      <c r="J77" s="286"/>
      <c r="K77" s="44"/>
      <c r="L77" s="254"/>
      <c r="M77" s="27"/>
    </row>
    <row r="78" spans="1:14" x14ac:dyDescent="0.2">
      <c r="A78" s="21" t="s">
        <v>9</v>
      </c>
      <c r="B78" s="234"/>
      <c r="C78" s="145"/>
      <c r="D78" s="166"/>
      <c r="E78" s="27"/>
      <c r="F78" s="234"/>
      <c r="G78" s="145"/>
      <c r="H78" s="166"/>
      <c r="I78" s="27"/>
      <c r="J78" s="286"/>
      <c r="K78" s="44"/>
      <c r="L78" s="254"/>
      <c r="M78" s="27"/>
    </row>
    <row r="79" spans="1:14" x14ac:dyDescent="0.2">
      <c r="A79" s="21" t="s">
        <v>10</v>
      </c>
      <c r="B79" s="291"/>
      <c r="C79" s="292"/>
      <c r="D79" s="166"/>
      <c r="E79" s="27"/>
      <c r="F79" s="291"/>
      <c r="G79" s="292"/>
      <c r="H79" s="166"/>
      <c r="I79" s="27"/>
      <c r="J79" s="286"/>
      <c r="K79" s="44"/>
      <c r="L79" s="254"/>
      <c r="M79" s="27"/>
    </row>
    <row r="80" spans="1:14" ht="15.75" x14ac:dyDescent="0.2">
      <c r="A80" s="295" t="s">
        <v>466</v>
      </c>
      <c r="B80" s="280"/>
      <c r="C80" s="280"/>
      <c r="D80" s="166"/>
      <c r="E80" s="365"/>
      <c r="F80" s="280"/>
      <c r="G80" s="280"/>
      <c r="H80" s="166"/>
      <c r="I80" s="365"/>
      <c r="J80" s="289"/>
      <c r="K80" s="289"/>
      <c r="L80" s="166"/>
      <c r="M80" s="23"/>
    </row>
    <row r="81" spans="1:13" x14ac:dyDescent="0.2">
      <c r="A81" s="295" t="s">
        <v>12</v>
      </c>
      <c r="B81" s="235"/>
      <c r="C81" s="288"/>
      <c r="D81" s="166"/>
      <c r="E81" s="365"/>
      <c r="F81" s="280"/>
      <c r="G81" s="280"/>
      <c r="H81" s="166"/>
      <c r="I81" s="365"/>
      <c r="J81" s="289"/>
      <c r="K81" s="289"/>
      <c r="L81" s="166"/>
      <c r="M81" s="23"/>
    </row>
    <row r="82" spans="1:13" x14ac:dyDescent="0.2">
      <c r="A82" s="295" t="s">
        <v>13</v>
      </c>
      <c r="B82" s="235"/>
      <c r="C82" s="288"/>
      <c r="D82" s="166"/>
      <c r="E82" s="365"/>
      <c r="F82" s="280"/>
      <c r="G82" s="280"/>
      <c r="H82" s="166"/>
      <c r="I82" s="365"/>
      <c r="J82" s="289"/>
      <c r="K82" s="289"/>
      <c r="L82" s="166"/>
      <c r="M82" s="23"/>
    </row>
    <row r="83" spans="1:13" ht="15.75" x14ac:dyDescent="0.2">
      <c r="A83" s="295" t="s">
        <v>467</v>
      </c>
      <c r="B83" s="280"/>
      <c r="C83" s="280"/>
      <c r="D83" s="166"/>
      <c r="E83" s="365"/>
      <c r="F83" s="280"/>
      <c r="G83" s="280"/>
      <c r="H83" s="166"/>
      <c r="I83" s="365"/>
      <c r="J83" s="289"/>
      <c r="K83" s="289"/>
      <c r="L83" s="166"/>
      <c r="M83" s="23"/>
    </row>
    <row r="84" spans="1:13" x14ac:dyDescent="0.2">
      <c r="A84" s="295" t="s">
        <v>12</v>
      </c>
      <c r="B84" s="235"/>
      <c r="C84" s="288"/>
      <c r="D84" s="166"/>
      <c r="E84" s="365"/>
      <c r="F84" s="280"/>
      <c r="G84" s="280"/>
      <c r="H84" s="166"/>
      <c r="I84" s="365"/>
      <c r="J84" s="289"/>
      <c r="K84" s="289"/>
      <c r="L84" s="166"/>
      <c r="M84" s="23"/>
    </row>
    <row r="85" spans="1:13" x14ac:dyDescent="0.2">
      <c r="A85" s="295" t="s">
        <v>13</v>
      </c>
      <c r="B85" s="235"/>
      <c r="C85" s="288"/>
      <c r="D85" s="166"/>
      <c r="E85" s="365"/>
      <c r="F85" s="280"/>
      <c r="G85" s="280"/>
      <c r="H85" s="166"/>
      <c r="I85" s="365"/>
      <c r="J85" s="289"/>
      <c r="K85" s="289"/>
      <c r="L85" s="166"/>
      <c r="M85" s="23"/>
    </row>
    <row r="86" spans="1:13" ht="15.75" x14ac:dyDescent="0.2">
      <c r="A86" s="21" t="s">
        <v>469</v>
      </c>
      <c r="B86" s="234"/>
      <c r="C86" s="145"/>
      <c r="D86" s="166"/>
      <c r="E86" s="27"/>
      <c r="F86" s="234"/>
      <c r="G86" s="145"/>
      <c r="H86" s="166"/>
      <c r="I86" s="27"/>
      <c r="J86" s="286"/>
      <c r="K86" s="44"/>
      <c r="L86" s="254"/>
      <c r="M86" s="27"/>
    </row>
    <row r="87" spans="1:13" ht="15.75" x14ac:dyDescent="0.2">
      <c r="A87" s="13" t="s">
        <v>451</v>
      </c>
      <c r="B87" s="352"/>
      <c r="C87" s="352"/>
      <c r="D87" s="171"/>
      <c r="E87" s="11"/>
      <c r="F87" s="351"/>
      <c r="G87" s="351"/>
      <c r="H87" s="171"/>
      <c r="I87" s="11"/>
      <c r="J87" s="308"/>
      <c r="K87" s="236"/>
      <c r="L87" s="373"/>
      <c r="M87" s="11"/>
    </row>
    <row r="88" spans="1:13" x14ac:dyDescent="0.2">
      <c r="A88" s="21" t="s">
        <v>9</v>
      </c>
      <c r="B88" s="234"/>
      <c r="C88" s="145"/>
      <c r="D88" s="166"/>
      <c r="E88" s="27"/>
      <c r="F88" s="234"/>
      <c r="G88" s="145"/>
      <c r="H88" s="166"/>
      <c r="I88" s="27"/>
      <c r="J88" s="286"/>
      <c r="K88" s="44"/>
      <c r="L88" s="254"/>
      <c r="M88" s="27"/>
    </row>
    <row r="89" spans="1:13" x14ac:dyDescent="0.2">
      <c r="A89" s="21" t="s">
        <v>10</v>
      </c>
      <c r="B89" s="234"/>
      <c r="C89" s="145"/>
      <c r="D89" s="166"/>
      <c r="E89" s="27"/>
      <c r="F89" s="234"/>
      <c r="G89" s="145"/>
      <c r="H89" s="166"/>
      <c r="I89" s="27"/>
      <c r="J89" s="286"/>
      <c r="K89" s="44"/>
      <c r="L89" s="254"/>
      <c r="M89" s="27"/>
    </row>
    <row r="90" spans="1:13" ht="15.75" x14ac:dyDescent="0.2">
      <c r="A90" s="295" t="s">
        <v>466</v>
      </c>
      <c r="B90" s="280"/>
      <c r="C90" s="280"/>
      <c r="D90" s="166"/>
      <c r="E90" s="365"/>
      <c r="F90" s="280"/>
      <c r="G90" s="280"/>
      <c r="H90" s="166"/>
      <c r="I90" s="365"/>
      <c r="J90" s="289"/>
      <c r="K90" s="289"/>
      <c r="L90" s="166"/>
      <c r="M90" s="23"/>
    </row>
    <row r="91" spans="1:13" x14ac:dyDescent="0.2">
      <c r="A91" s="295" t="s">
        <v>12</v>
      </c>
      <c r="B91" s="235"/>
      <c r="C91" s="288"/>
      <c r="D91" s="166"/>
      <c r="E91" s="365"/>
      <c r="F91" s="280"/>
      <c r="G91" s="280"/>
      <c r="H91" s="166"/>
      <c r="I91" s="365"/>
      <c r="J91" s="289"/>
      <c r="K91" s="289"/>
      <c r="L91" s="166"/>
      <c r="M91" s="23"/>
    </row>
    <row r="92" spans="1:13" x14ac:dyDescent="0.2">
      <c r="A92" s="295" t="s">
        <v>13</v>
      </c>
      <c r="B92" s="235"/>
      <c r="C92" s="288"/>
      <c r="D92" s="166"/>
      <c r="E92" s="365"/>
      <c r="F92" s="280"/>
      <c r="G92" s="280"/>
      <c r="H92" s="166"/>
      <c r="I92" s="365"/>
      <c r="J92" s="289"/>
      <c r="K92" s="289"/>
      <c r="L92" s="166"/>
      <c r="M92" s="23"/>
    </row>
    <row r="93" spans="1:13" ht="15.75" x14ac:dyDescent="0.2">
      <c r="A93" s="295" t="s">
        <v>467</v>
      </c>
      <c r="B93" s="280"/>
      <c r="C93" s="280"/>
      <c r="D93" s="166"/>
      <c r="E93" s="365"/>
      <c r="F93" s="280"/>
      <c r="G93" s="280"/>
      <c r="H93" s="166"/>
      <c r="I93" s="365"/>
      <c r="J93" s="289"/>
      <c r="K93" s="289"/>
      <c r="L93" s="166"/>
      <c r="M93" s="23"/>
    </row>
    <row r="94" spans="1:13" x14ac:dyDescent="0.2">
      <c r="A94" s="295" t="s">
        <v>12</v>
      </c>
      <c r="B94" s="235"/>
      <c r="C94" s="288"/>
      <c r="D94" s="166"/>
      <c r="E94" s="365"/>
      <c r="F94" s="280"/>
      <c r="G94" s="280"/>
      <c r="H94" s="166"/>
      <c r="I94" s="365"/>
      <c r="J94" s="289"/>
      <c r="K94" s="289"/>
      <c r="L94" s="166"/>
      <c r="M94" s="23"/>
    </row>
    <row r="95" spans="1:13" x14ac:dyDescent="0.2">
      <c r="A95" s="295" t="s">
        <v>13</v>
      </c>
      <c r="B95" s="235"/>
      <c r="C95" s="288"/>
      <c r="D95" s="166"/>
      <c r="E95" s="365"/>
      <c r="F95" s="280"/>
      <c r="G95" s="280"/>
      <c r="H95" s="166"/>
      <c r="I95" s="365"/>
      <c r="J95" s="289"/>
      <c r="K95" s="289"/>
      <c r="L95" s="166"/>
      <c r="M95" s="23"/>
    </row>
    <row r="96" spans="1:13" x14ac:dyDescent="0.2">
      <c r="A96" s="21" t="s">
        <v>351</v>
      </c>
      <c r="B96" s="234"/>
      <c r="C96" s="145"/>
      <c r="D96" s="166"/>
      <c r="E96" s="27"/>
      <c r="F96" s="234"/>
      <c r="G96" s="145"/>
      <c r="H96" s="166"/>
      <c r="I96" s="27"/>
      <c r="J96" s="286"/>
      <c r="K96" s="44"/>
      <c r="L96" s="254"/>
      <c r="M96" s="27"/>
    </row>
    <row r="97" spans="1:13" x14ac:dyDescent="0.2">
      <c r="A97" s="21" t="s">
        <v>350</v>
      </c>
      <c r="B97" s="234"/>
      <c r="C97" s="145"/>
      <c r="D97" s="166"/>
      <c r="E97" s="27"/>
      <c r="F97" s="234"/>
      <c r="G97" s="145"/>
      <c r="H97" s="166"/>
      <c r="I97" s="27"/>
      <c r="J97" s="286"/>
      <c r="K97" s="44"/>
      <c r="L97" s="254"/>
      <c r="M97" s="27"/>
    </row>
    <row r="98" spans="1:13" ht="15.75" x14ac:dyDescent="0.2">
      <c r="A98" s="21" t="s">
        <v>468</v>
      </c>
      <c r="B98" s="234"/>
      <c r="C98" s="234"/>
      <c r="D98" s="166"/>
      <c r="E98" s="27"/>
      <c r="F98" s="291"/>
      <c r="G98" s="291"/>
      <c r="H98" s="166"/>
      <c r="I98" s="27"/>
      <c r="J98" s="286"/>
      <c r="K98" s="44"/>
      <c r="L98" s="254"/>
      <c r="M98" s="27"/>
    </row>
    <row r="99" spans="1:13" x14ac:dyDescent="0.2">
      <c r="A99" s="21" t="s">
        <v>9</v>
      </c>
      <c r="B99" s="291"/>
      <c r="C99" s="292"/>
      <c r="D99" s="166"/>
      <c r="E99" s="27"/>
      <c r="F99" s="234"/>
      <c r="G99" s="145"/>
      <c r="H99" s="166"/>
      <c r="I99" s="27"/>
      <c r="J99" s="286"/>
      <c r="K99" s="44"/>
      <c r="L99" s="254"/>
      <c r="M99" s="27"/>
    </row>
    <row r="100" spans="1:13" x14ac:dyDescent="0.2">
      <c r="A100" s="21" t="s">
        <v>10</v>
      </c>
      <c r="B100" s="291"/>
      <c r="C100" s="292"/>
      <c r="D100" s="166"/>
      <c r="E100" s="27"/>
      <c r="F100" s="234"/>
      <c r="G100" s="234"/>
      <c r="H100" s="166"/>
      <c r="I100" s="27"/>
      <c r="J100" s="286"/>
      <c r="K100" s="44"/>
      <c r="L100" s="254"/>
      <c r="M100" s="27"/>
    </row>
    <row r="101" spans="1:13" ht="15.75" x14ac:dyDescent="0.2">
      <c r="A101" s="295" t="s">
        <v>466</v>
      </c>
      <c r="B101" s="280"/>
      <c r="C101" s="280"/>
      <c r="D101" s="166"/>
      <c r="E101" s="365"/>
      <c r="F101" s="280"/>
      <c r="G101" s="280"/>
      <c r="H101" s="166"/>
      <c r="I101" s="365"/>
      <c r="J101" s="289"/>
      <c r="K101" s="289"/>
      <c r="L101" s="166"/>
      <c r="M101" s="23"/>
    </row>
    <row r="102" spans="1:13" x14ac:dyDescent="0.2">
      <c r="A102" s="295" t="s">
        <v>12</v>
      </c>
      <c r="B102" s="235"/>
      <c r="C102" s="288"/>
      <c r="D102" s="166"/>
      <c r="E102" s="365"/>
      <c r="F102" s="280"/>
      <c r="G102" s="280"/>
      <c r="H102" s="166"/>
      <c r="I102" s="365"/>
      <c r="J102" s="289"/>
      <c r="K102" s="289"/>
      <c r="L102" s="166"/>
      <c r="M102" s="23"/>
    </row>
    <row r="103" spans="1:13" x14ac:dyDescent="0.2">
      <c r="A103" s="295" t="s">
        <v>13</v>
      </c>
      <c r="B103" s="235"/>
      <c r="C103" s="288"/>
      <c r="D103" s="166"/>
      <c r="E103" s="365"/>
      <c r="F103" s="280"/>
      <c r="G103" s="280"/>
      <c r="H103" s="166"/>
      <c r="I103" s="365"/>
      <c r="J103" s="289"/>
      <c r="K103" s="289"/>
      <c r="L103" s="166"/>
      <c r="M103" s="23"/>
    </row>
    <row r="104" spans="1:13" ht="15.75" x14ac:dyDescent="0.2">
      <c r="A104" s="295" t="s">
        <v>467</v>
      </c>
      <c r="B104" s="280"/>
      <c r="C104" s="280"/>
      <c r="D104" s="166"/>
      <c r="E104" s="365"/>
      <c r="F104" s="280"/>
      <c r="G104" s="280"/>
      <c r="H104" s="166"/>
      <c r="I104" s="365"/>
      <c r="J104" s="289"/>
      <c r="K104" s="289"/>
      <c r="L104" s="166"/>
      <c r="M104" s="23"/>
    </row>
    <row r="105" spans="1:13" x14ac:dyDescent="0.2">
      <c r="A105" s="295" t="s">
        <v>12</v>
      </c>
      <c r="B105" s="235"/>
      <c r="C105" s="288"/>
      <c r="D105" s="166"/>
      <c r="E105" s="365"/>
      <c r="F105" s="280"/>
      <c r="G105" s="280"/>
      <c r="H105" s="166"/>
      <c r="I105" s="365"/>
      <c r="J105" s="289"/>
      <c r="K105" s="289"/>
      <c r="L105" s="166"/>
      <c r="M105" s="23"/>
    </row>
    <row r="106" spans="1:13" x14ac:dyDescent="0.2">
      <c r="A106" s="295" t="s">
        <v>13</v>
      </c>
      <c r="B106" s="235"/>
      <c r="C106" s="288"/>
      <c r="D106" s="166"/>
      <c r="E106" s="365"/>
      <c r="F106" s="280"/>
      <c r="G106" s="280"/>
      <c r="H106" s="166"/>
      <c r="I106" s="365"/>
      <c r="J106" s="289"/>
      <c r="K106" s="289"/>
      <c r="L106" s="166"/>
      <c r="M106" s="23"/>
    </row>
    <row r="107" spans="1:13" ht="15.75" x14ac:dyDescent="0.2">
      <c r="A107" s="21" t="s">
        <v>469</v>
      </c>
      <c r="B107" s="234"/>
      <c r="C107" s="145"/>
      <c r="D107" s="166"/>
      <c r="E107" s="27"/>
      <c r="F107" s="234"/>
      <c r="G107" s="145"/>
      <c r="H107" s="166"/>
      <c r="I107" s="27"/>
      <c r="J107" s="286"/>
      <c r="K107" s="44"/>
      <c r="L107" s="254"/>
      <c r="M107" s="27"/>
    </row>
    <row r="108" spans="1:13" ht="15.75" x14ac:dyDescent="0.2">
      <c r="A108" s="21" t="s">
        <v>470</v>
      </c>
      <c r="B108" s="234"/>
      <c r="C108" s="234"/>
      <c r="D108" s="166"/>
      <c r="E108" s="27"/>
      <c r="F108" s="234"/>
      <c r="G108" s="234"/>
      <c r="H108" s="166"/>
      <c r="I108" s="27"/>
      <c r="J108" s="286"/>
      <c r="K108" s="44"/>
      <c r="L108" s="254"/>
      <c r="M108" s="27"/>
    </row>
    <row r="109" spans="1:13" ht="15.75" x14ac:dyDescent="0.2">
      <c r="A109" s="21" t="s">
        <v>471</v>
      </c>
      <c r="B109" s="234"/>
      <c r="C109" s="234"/>
      <c r="D109" s="166"/>
      <c r="E109" s="27"/>
      <c r="F109" s="234"/>
      <c r="G109" s="234"/>
      <c r="H109" s="166"/>
      <c r="I109" s="27"/>
      <c r="J109" s="286"/>
      <c r="K109" s="44"/>
      <c r="L109" s="254"/>
      <c r="M109" s="27"/>
    </row>
    <row r="110" spans="1:13" ht="15.75" x14ac:dyDescent="0.2">
      <c r="A110" s="21" t="s">
        <v>472</v>
      </c>
      <c r="B110" s="234"/>
      <c r="C110" s="234"/>
      <c r="D110" s="166"/>
      <c r="E110" s="27"/>
      <c r="F110" s="234"/>
      <c r="G110" s="234"/>
      <c r="H110" s="166"/>
      <c r="I110" s="27"/>
      <c r="J110" s="286"/>
      <c r="K110" s="44"/>
      <c r="L110" s="254"/>
      <c r="M110" s="27"/>
    </row>
    <row r="111" spans="1:13" ht="15.75" x14ac:dyDescent="0.2">
      <c r="A111" s="13" t="s">
        <v>452</v>
      </c>
      <c r="B111" s="307"/>
      <c r="C111" s="159"/>
      <c r="D111" s="171"/>
      <c r="E111" s="11"/>
      <c r="F111" s="307"/>
      <c r="G111" s="159"/>
      <c r="H111" s="171"/>
      <c r="I111" s="11"/>
      <c r="J111" s="308"/>
      <c r="K111" s="236"/>
      <c r="L111" s="373"/>
      <c r="M111" s="11"/>
    </row>
    <row r="112" spans="1:13" x14ac:dyDescent="0.2">
      <c r="A112" s="21" t="s">
        <v>9</v>
      </c>
      <c r="B112" s="234"/>
      <c r="C112" s="145"/>
      <c r="D112" s="166"/>
      <c r="E112" s="27"/>
      <c r="F112" s="234"/>
      <c r="G112" s="145"/>
      <c r="H112" s="166"/>
      <c r="I112" s="27"/>
      <c r="J112" s="286"/>
      <c r="K112" s="44"/>
      <c r="L112" s="254"/>
      <c r="M112" s="27"/>
    </row>
    <row r="113" spans="1:14" x14ac:dyDescent="0.2">
      <c r="A113" s="21" t="s">
        <v>10</v>
      </c>
      <c r="B113" s="234"/>
      <c r="C113" s="145"/>
      <c r="D113" s="166"/>
      <c r="E113" s="27"/>
      <c r="F113" s="234"/>
      <c r="G113" s="145"/>
      <c r="H113" s="166"/>
      <c r="I113" s="27"/>
      <c r="J113" s="286"/>
      <c r="K113" s="44"/>
      <c r="L113" s="254"/>
      <c r="M113" s="27"/>
    </row>
    <row r="114" spans="1:14" x14ac:dyDescent="0.2">
      <c r="A114" s="21" t="s">
        <v>26</v>
      </c>
      <c r="B114" s="234"/>
      <c r="C114" s="145"/>
      <c r="D114" s="166"/>
      <c r="E114" s="27"/>
      <c r="F114" s="234"/>
      <c r="G114" s="145"/>
      <c r="H114" s="166"/>
      <c r="I114" s="27"/>
      <c r="J114" s="286"/>
      <c r="K114" s="44"/>
      <c r="L114" s="254"/>
      <c r="M114" s="27"/>
    </row>
    <row r="115" spans="1:14" x14ac:dyDescent="0.2">
      <c r="A115" s="295" t="s">
        <v>15</v>
      </c>
      <c r="B115" s="280"/>
      <c r="C115" s="280"/>
      <c r="D115" s="166"/>
      <c r="E115" s="365"/>
      <c r="F115" s="280"/>
      <c r="G115" s="280"/>
      <c r="H115" s="166"/>
      <c r="I115" s="365"/>
      <c r="J115" s="289"/>
      <c r="K115" s="289"/>
      <c r="L115" s="166"/>
      <c r="M115" s="23"/>
    </row>
    <row r="116" spans="1:14" ht="15.75" x14ac:dyDescent="0.2">
      <c r="A116" s="21" t="s">
        <v>473</v>
      </c>
      <c r="B116" s="234"/>
      <c r="C116" s="234"/>
      <c r="D116" s="166"/>
      <c r="E116" s="27"/>
      <c r="F116" s="234"/>
      <c r="G116" s="234"/>
      <c r="H116" s="166"/>
      <c r="I116" s="27"/>
      <c r="J116" s="286"/>
      <c r="K116" s="44"/>
      <c r="L116" s="254"/>
      <c r="M116" s="27"/>
    </row>
    <row r="117" spans="1:14" ht="15.75" x14ac:dyDescent="0.2">
      <c r="A117" s="21" t="s">
        <v>474</v>
      </c>
      <c r="B117" s="234"/>
      <c r="C117" s="234"/>
      <c r="D117" s="166"/>
      <c r="E117" s="27"/>
      <c r="F117" s="234"/>
      <c r="G117" s="234"/>
      <c r="H117" s="166"/>
      <c r="I117" s="27"/>
      <c r="J117" s="286"/>
      <c r="K117" s="44"/>
      <c r="L117" s="254"/>
      <c r="M117" s="27"/>
    </row>
    <row r="118" spans="1:14" ht="15.75" x14ac:dyDescent="0.2">
      <c r="A118" s="21" t="s">
        <v>472</v>
      </c>
      <c r="B118" s="234"/>
      <c r="C118" s="234"/>
      <c r="D118" s="166"/>
      <c r="E118" s="27"/>
      <c r="F118" s="234"/>
      <c r="G118" s="234"/>
      <c r="H118" s="166"/>
      <c r="I118" s="27"/>
      <c r="J118" s="286"/>
      <c r="K118" s="44"/>
      <c r="L118" s="254"/>
      <c r="M118" s="27"/>
    </row>
    <row r="119" spans="1:14" ht="15.75" x14ac:dyDescent="0.2">
      <c r="A119" s="13" t="s">
        <v>453</v>
      </c>
      <c r="B119" s="307"/>
      <c r="C119" s="159"/>
      <c r="D119" s="171"/>
      <c r="E119" s="11"/>
      <c r="F119" s="307"/>
      <c r="G119" s="159"/>
      <c r="H119" s="171"/>
      <c r="I119" s="11"/>
      <c r="J119" s="308"/>
      <c r="K119" s="236"/>
      <c r="L119" s="373"/>
      <c r="M119" s="11"/>
    </row>
    <row r="120" spans="1:14" x14ac:dyDescent="0.2">
      <c r="A120" s="21" t="s">
        <v>9</v>
      </c>
      <c r="B120" s="234"/>
      <c r="C120" s="145"/>
      <c r="D120" s="166"/>
      <c r="E120" s="27"/>
      <c r="F120" s="234"/>
      <c r="G120" s="145"/>
      <c r="H120" s="166"/>
      <c r="I120" s="27"/>
      <c r="J120" s="286"/>
      <c r="K120" s="44"/>
      <c r="L120" s="254"/>
      <c r="M120" s="27"/>
    </row>
    <row r="121" spans="1:14" x14ac:dyDescent="0.2">
      <c r="A121" s="21" t="s">
        <v>10</v>
      </c>
      <c r="B121" s="234"/>
      <c r="C121" s="145"/>
      <c r="D121" s="166"/>
      <c r="E121" s="27"/>
      <c r="F121" s="234"/>
      <c r="G121" s="145"/>
      <c r="H121" s="166"/>
      <c r="I121" s="27"/>
      <c r="J121" s="286"/>
      <c r="K121" s="44"/>
      <c r="L121" s="254"/>
      <c r="M121" s="27"/>
    </row>
    <row r="122" spans="1:14" x14ac:dyDescent="0.2">
      <c r="A122" s="21" t="s">
        <v>26</v>
      </c>
      <c r="B122" s="234"/>
      <c r="C122" s="145"/>
      <c r="D122" s="166"/>
      <c r="E122" s="27"/>
      <c r="F122" s="234"/>
      <c r="G122" s="145"/>
      <c r="H122" s="166"/>
      <c r="I122" s="27"/>
      <c r="J122" s="286"/>
      <c r="K122" s="44"/>
      <c r="L122" s="254"/>
      <c r="M122" s="27"/>
    </row>
    <row r="123" spans="1:14" x14ac:dyDescent="0.2">
      <c r="A123" s="295" t="s">
        <v>14</v>
      </c>
      <c r="B123" s="280"/>
      <c r="C123" s="280"/>
      <c r="D123" s="166"/>
      <c r="E123" s="365"/>
      <c r="F123" s="280"/>
      <c r="G123" s="280"/>
      <c r="H123" s="166"/>
      <c r="I123" s="365"/>
      <c r="J123" s="289"/>
      <c r="K123" s="289"/>
      <c r="L123" s="166"/>
      <c r="M123" s="23"/>
    </row>
    <row r="124" spans="1:14" ht="15.75" x14ac:dyDescent="0.2">
      <c r="A124" s="21" t="s">
        <v>479</v>
      </c>
      <c r="B124" s="234"/>
      <c r="C124" s="234"/>
      <c r="D124" s="166"/>
      <c r="E124" s="27"/>
      <c r="F124" s="234"/>
      <c r="G124" s="234"/>
      <c r="H124" s="166"/>
      <c r="I124" s="27"/>
      <c r="J124" s="286"/>
      <c r="K124" s="44"/>
      <c r="L124" s="254"/>
      <c r="M124" s="27"/>
    </row>
    <row r="125" spans="1:14" ht="15.75" x14ac:dyDescent="0.2">
      <c r="A125" s="21" t="s">
        <v>471</v>
      </c>
      <c r="B125" s="234"/>
      <c r="C125" s="234"/>
      <c r="D125" s="166"/>
      <c r="E125" s="27"/>
      <c r="F125" s="234"/>
      <c r="G125" s="234"/>
      <c r="H125" s="166"/>
      <c r="I125" s="27"/>
      <c r="J125" s="286"/>
      <c r="K125" s="44"/>
      <c r="L125" s="254"/>
      <c r="M125" s="27"/>
    </row>
    <row r="126" spans="1:14" ht="15.75" x14ac:dyDescent="0.2">
      <c r="A126" s="10" t="s">
        <v>472</v>
      </c>
      <c r="B126" s="45"/>
      <c r="C126" s="45"/>
      <c r="D126" s="167"/>
      <c r="E126" s="366"/>
      <c r="F126" s="45"/>
      <c r="G126" s="45"/>
      <c r="H126" s="167"/>
      <c r="I126" s="22"/>
      <c r="J126" s="287"/>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975"/>
      <c r="C130" s="975"/>
      <c r="D130" s="975"/>
      <c r="E130" s="298"/>
      <c r="F130" s="975"/>
      <c r="G130" s="975"/>
      <c r="H130" s="975"/>
      <c r="I130" s="298"/>
      <c r="J130" s="975"/>
      <c r="K130" s="975"/>
      <c r="L130" s="975"/>
      <c r="M130" s="298"/>
    </row>
    <row r="131" spans="1:14" s="3" customFormat="1" x14ac:dyDescent="0.2">
      <c r="A131" s="144"/>
      <c r="B131" s="973" t="s">
        <v>0</v>
      </c>
      <c r="C131" s="974"/>
      <c r="D131" s="974"/>
      <c r="E131" s="300"/>
      <c r="F131" s="973" t="s">
        <v>1</v>
      </c>
      <c r="G131" s="974"/>
      <c r="H131" s="974"/>
      <c r="I131" s="303"/>
      <c r="J131" s="973" t="s">
        <v>2</v>
      </c>
      <c r="K131" s="974"/>
      <c r="L131" s="974"/>
      <c r="M131" s="303"/>
      <c r="N131" s="148"/>
    </row>
    <row r="132" spans="1:14" s="3" customFormat="1" x14ac:dyDescent="0.2">
      <c r="A132" s="140"/>
      <c r="B132" s="152" t="s">
        <v>492</v>
      </c>
      <c r="C132" s="152" t="s">
        <v>493</v>
      </c>
      <c r="D132" s="245" t="s">
        <v>3</v>
      </c>
      <c r="E132" s="304" t="s">
        <v>29</v>
      </c>
      <c r="F132" s="152" t="s">
        <v>492</v>
      </c>
      <c r="G132" s="152" t="s">
        <v>493</v>
      </c>
      <c r="H132" s="206" t="s">
        <v>3</v>
      </c>
      <c r="I132" s="162" t="s">
        <v>29</v>
      </c>
      <c r="J132" s="152" t="s">
        <v>492</v>
      </c>
      <c r="K132" s="152" t="s">
        <v>493</v>
      </c>
      <c r="L132" s="246" t="s">
        <v>3</v>
      </c>
      <c r="M132" s="162" t="s">
        <v>29</v>
      </c>
      <c r="N132" s="148"/>
    </row>
    <row r="133" spans="1:14" s="3" customFormat="1" x14ac:dyDescent="0.2">
      <c r="A133" s="947"/>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475</v>
      </c>
      <c r="B134" s="236"/>
      <c r="C134" s="308"/>
      <c r="D134" s="349"/>
      <c r="E134" s="11"/>
      <c r="F134" s="315"/>
      <c r="G134" s="316"/>
      <c r="H134" s="376"/>
      <c r="I134" s="24"/>
      <c r="J134" s="317"/>
      <c r="K134" s="317"/>
      <c r="L134" s="372"/>
      <c r="M134" s="11"/>
      <c r="N134" s="148"/>
    </row>
    <row r="135" spans="1:14" s="3" customFormat="1" ht="15.75" x14ac:dyDescent="0.2">
      <c r="A135" s="13" t="s">
        <v>480</v>
      </c>
      <c r="B135" s="236"/>
      <c r="C135" s="308"/>
      <c r="D135" s="171"/>
      <c r="E135" s="11"/>
      <c r="F135" s="236"/>
      <c r="G135" s="308"/>
      <c r="H135" s="377"/>
      <c r="I135" s="24"/>
      <c r="J135" s="307"/>
      <c r="K135" s="307"/>
      <c r="L135" s="373"/>
      <c r="M135" s="11"/>
      <c r="N135" s="148"/>
    </row>
    <row r="136" spans="1:14" s="3" customFormat="1" ht="15.75" x14ac:dyDescent="0.2">
      <c r="A136" s="13" t="s">
        <v>477</v>
      </c>
      <c r="B136" s="236"/>
      <c r="C136" s="308"/>
      <c r="D136" s="171"/>
      <c r="E136" s="11"/>
      <c r="F136" s="236"/>
      <c r="G136" s="308"/>
      <c r="H136" s="377"/>
      <c r="I136" s="24"/>
      <c r="J136" s="307"/>
      <c r="K136" s="307"/>
      <c r="L136" s="373"/>
      <c r="M136" s="11"/>
      <c r="N136" s="148"/>
    </row>
    <row r="137" spans="1:14" s="3" customFormat="1" ht="15.75" x14ac:dyDescent="0.2">
      <c r="A137" s="41" t="s">
        <v>478</v>
      </c>
      <c r="B137" s="275"/>
      <c r="C137" s="314"/>
      <c r="D137" s="169"/>
      <c r="E137" s="9"/>
      <c r="F137" s="275"/>
      <c r="G137" s="314"/>
      <c r="H137" s="378"/>
      <c r="I137" s="36"/>
      <c r="J137" s="313"/>
      <c r="K137" s="313"/>
      <c r="L137" s="374"/>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154" priority="132">
      <formula>kvartal &lt; 4</formula>
    </cfRule>
  </conditionalFormatting>
  <conditionalFormatting sqref="B69">
    <cfRule type="expression" dxfId="1153" priority="100">
      <formula>kvartal &lt; 4</formula>
    </cfRule>
  </conditionalFormatting>
  <conditionalFormatting sqref="C69">
    <cfRule type="expression" dxfId="1152" priority="99">
      <formula>kvartal &lt; 4</formula>
    </cfRule>
  </conditionalFormatting>
  <conditionalFormatting sqref="B72">
    <cfRule type="expression" dxfId="1151" priority="98">
      <formula>kvartal &lt; 4</formula>
    </cfRule>
  </conditionalFormatting>
  <conditionalFormatting sqref="C72">
    <cfRule type="expression" dxfId="1150" priority="97">
      <formula>kvartal &lt; 4</formula>
    </cfRule>
  </conditionalFormatting>
  <conditionalFormatting sqref="B80">
    <cfRule type="expression" dxfId="1149" priority="96">
      <formula>kvartal &lt; 4</formula>
    </cfRule>
  </conditionalFormatting>
  <conditionalFormatting sqref="C80">
    <cfRule type="expression" dxfId="1148" priority="95">
      <formula>kvartal &lt; 4</formula>
    </cfRule>
  </conditionalFormatting>
  <conditionalFormatting sqref="B83">
    <cfRule type="expression" dxfId="1147" priority="94">
      <formula>kvartal &lt; 4</formula>
    </cfRule>
  </conditionalFormatting>
  <conditionalFormatting sqref="C83">
    <cfRule type="expression" dxfId="1146" priority="93">
      <formula>kvartal &lt; 4</formula>
    </cfRule>
  </conditionalFormatting>
  <conditionalFormatting sqref="B90">
    <cfRule type="expression" dxfId="1145" priority="84">
      <formula>kvartal &lt; 4</formula>
    </cfRule>
  </conditionalFormatting>
  <conditionalFormatting sqref="C90">
    <cfRule type="expression" dxfId="1144" priority="83">
      <formula>kvartal &lt; 4</formula>
    </cfRule>
  </conditionalFormatting>
  <conditionalFormatting sqref="B93">
    <cfRule type="expression" dxfId="1143" priority="82">
      <formula>kvartal &lt; 4</formula>
    </cfRule>
  </conditionalFormatting>
  <conditionalFormatting sqref="C93">
    <cfRule type="expression" dxfId="1142" priority="81">
      <formula>kvartal &lt; 4</formula>
    </cfRule>
  </conditionalFormatting>
  <conditionalFormatting sqref="B101">
    <cfRule type="expression" dxfId="1141" priority="80">
      <formula>kvartal &lt; 4</formula>
    </cfRule>
  </conditionalFormatting>
  <conditionalFormatting sqref="C101">
    <cfRule type="expression" dxfId="1140" priority="79">
      <formula>kvartal &lt; 4</formula>
    </cfRule>
  </conditionalFormatting>
  <conditionalFormatting sqref="B104">
    <cfRule type="expression" dxfId="1139" priority="78">
      <formula>kvartal &lt; 4</formula>
    </cfRule>
  </conditionalFormatting>
  <conditionalFormatting sqref="C104">
    <cfRule type="expression" dxfId="1138" priority="77">
      <formula>kvartal &lt; 4</formula>
    </cfRule>
  </conditionalFormatting>
  <conditionalFormatting sqref="B115">
    <cfRule type="expression" dxfId="1137" priority="76">
      <formula>kvartal &lt; 4</formula>
    </cfRule>
  </conditionalFormatting>
  <conditionalFormatting sqref="C115">
    <cfRule type="expression" dxfId="1136" priority="75">
      <formula>kvartal &lt; 4</formula>
    </cfRule>
  </conditionalFormatting>
  <conditionalFormatting sqref="B123">
    <cfRule type="expression" dxfId="1135" priority="74">
      <formula>kvartal &lt; 4</formula>
    </cfRule>
  </conditionalFormatting>
  <conditionalFormatting sqref="C123">
    <cfRule type="expression" dxfId="1134" priority="73">
      <formula>kvartal &lt; 4</formula>
    </cfRule>
  </conditionalFormatting>
  <conditionalFormatting sqref="F70">
    <cfRule type="expression" dxfId="1133" priority="72">
      <formula>kvartal &lt; 4</formula>
    </cfRule>
  </conditionalFormatting>
  <conditionalFormatting sqref="G70">
    <cfRule type="expression" dxfId="1132" priority="71">
      <formula>kvartal &lt; 4</formula>
    </cfRule>
  </conditionalFormatting>
  <conditionalFormatting sqref="F71:G71">
    <cfRule type="expression" dxfId="1131" priority="70">
      <formula>kvartal &lt; 4</formula>
    </cfRule>
  </conditionalFormatting>
  <conditionalFormatting sqref="F73:G74">
    <cfRule type="expression" dxfId="1130" priority="69">
      <formula>kvartal &lt; 4</formula>
    </cfRule>
  </conditionalFormatting>
  <conditionalFormatting sqref="F81:G82">
    <cfRule type="expression" dxfId="1129" priority="68">
      <formula>kvartal &lt; 4</formula>
    </cfRule>
  </conditionalFormatting>
  <conditionalFormatting sqref="F84:G85">
    <cfRule type="expression" dxfId="1128" priority="67">
      <formula>kvartal &lt; 4</formula>
    </cfRule>
  </conditionalFormatting>
  <conditionalFormatting sqref="F91:G92">
    <cfRule type="expression" dxfId="1127" priority="62">
      <formula>kvartal &lt; 4</formula>
    </cfRule>
  </conditionalFormatting>
  <conditionalFormatting sqref="F94:G95">
    <cfRule type="expression" dxfId="1126" priority="61">
      <formula>kvartal &lt; 4</formula>
    </cfRule>
  </conditionalFormatting>
  <conditionalFormatting sqref="F102:G103">
    <cfRule type="expression" dxfId="1125" priority="60">
      <formula>kvartal &lt; 4</formula>
    </cfRule>
  </conditionalFormatting>
  <conditionalFormatting sqref="F105:G106">
    <cfRule type="expression" dxfId="1124" priority="59">
      <formula>kvartal &lt; 4</formula>
    </cfRule>
  </conditionalFormatting>
  <conditionalFormatting sqref="F115">
    <cfRule type="expression" dxfId="1123" priority="58">
      <formula>kvartal &lt; 4</formula>
    </cfRule>
  </conditionalFormatting>
  <conditionalFormatting sqref="G115">
    <cfRule type="expression" dxfId="1122" priority="57">
      <formula>kvartal &lt; 4</formula>
    </cfRule>
  </conditionalFormatting>
  <conditionalFormatting sqref="F123:G123">
    <cfRule type="expression" dxfId="1121" priority="56">
      <formula>kvartal &lt; 4</formula>
    </cfRule>
  </conditionalFormatting>
  <conditionalFormatting sqref="F69:G69">
    <cfRule type="expression" dxfId="1120" priority="55">
      <formula>kvartal &lt; 4</formula>
    </cfRule>
  </conditionalFormatting>
  <conditionalFormatting sqref="F72:G72">
    <cfRule type="expression" dxfId="1119" priority="54">
      <formula>kvartal &lt; 4</formula>
    </cfRule>
  </conditionalFormatting>
  <conditionalFormatting sqref="F80:G80">
    <cfRule type="expression" dxfId="1118" priority="53">
      <formula>kvartal &lt; 4</formula>
    </cfRule>
  </conditionalFormatting>
  <conditionalFormatting sqref="F83:G83">
    <cfRule type="expression" dxfId="1117" priority="52">
      <formula>kvartal &lt; 4</formula>
    </cfRule>
  </conditionalFormatting>
  <conditionalFormatting sqref="F90:G90">
    <cfRule type="expression" dxfId="1116" priority="46">
      <formula>kvartal &lt; 4</formula>
    </cfRule>
  </conditionalFormatting>
  <conditionalFormatting sqref="F93">
    <cfRule type="expression" dxfId="1115" priority="45">
      <formula>kvartal &lt; 4</formula>
    </cfRule>
  </conditionalFormatting>
  <conditionalFormatting sqref="G93">
    <cfRule type="expression" dxfId="1114" priority="44">
      <formula>kvartal &lt; 4</formula>
    </cfRule>
  </conditionalFormatting>
  <conditionalFormatting sqref="F101">
    <cfRule type="expression" dxfId="1113" priority="43">
      <formula>kvartal &lt; 4</formula>
    </cfRule>
  </conditionalFormatting>
  <conditionalFormatting sqref="G101">
    <cfRule type="expression" dxfId="1112" priority="42">
      <formula>kvartal &lt; 4</formula>
    </cfRule>
  </conditionalFormatting>
  <conditionalFormatting sqref="G104">
    <cfRule type="expression" dxfId="1111" priority="41">
      <formula>kvartal &lt; 4</formula>
    </cfRule>
  </conditionalFormatting>
  <conditionalFormatting sqref="F104">
    <cfRule type="expression" dxfId="1110" priority="40">
      <formula>kvartal &lt; 4</formula>
    </cfRule>
  </conditionalFormatting>
  <conditionalFormatting sqref="J69:K73">
    <cfRule type="expression" dxfId="1109" priority="39">
      <formula>kvartal &lt; 4</formula>
    </cfRule>
  </conditionalFormatting>
  <conditionalFormatting sqref="J74:K74">
    <cfRule type="expression" dxfId="1108" priority="38">
      <formula>kvartal &lt; 4</formula>
    </cfRule>
  </conditionalFormatting>
  <conditionalFormatting sqref="J80:K85">
    <cfRule type="expression" dxfId="1107" priority="37">
      <formula>kvartal &lt; 4</formula>
    </cfRule>
  </conditionalFormatting>
  <conditionalFormatting sqref="J90:K95">
    <cfRule type="expression" dxfId="1106" priority="34">
      <formula>kvartal &lt; 4</formula>
    </cfRule>
  </conditionalFormatting>
  <conditionalFormatting sqref="J101:K106">
    <cfRule type="expression" dxfId="1105" priority="33">
      <formula>kvartal &lt; 4</formula>
    </cfRule>
  </conditionalFormatting>
  <conditionalFormatting sqref="J115:K115">
    <cfRule type="expression" dxfId="1104" priority="32">
      <formula>kvartal &lt; 4</formula>
    </cfRule>
  </conditionalFormatting>
  <conditionalFormatting sqref="J123:K123">
    <cfRule type="expression" dxfId="1103" priority="31">
      <formula>kvartal &lt; 4</formula>
    </cfRule>
  </conditionalFormatting>
  <conditionalFormatting sqref="A50:A52">
    <cfRule type="expression" dxfId="1102" priority="12">
      <formula>kvartal &lt; 4</formula>
    </cfRule>
  </conditionalFormatting>
  <conditionalFormatting sqref="A69:A74">
    <cfRule type="expression" dxfId="1101" priority="10">
      <formula>kvartal &lt; 4</formula>
    </cfRule>
  </conditionalFormatting>
  <conditionalFormatting sqref="A80:A85">
    <cfRule type="expression" dxfId="1100" priority="9">
      <formula>kvartal &lt; 4</formula>
    </cfRule>
  </conditionalFormatting>
  <conditionalFormatting sqref="A90:A95">
    <cfRule type="expression" dxfId="1099" priority="6">
      <formula>kvartal &lt; 4</formula>
    </cfRule>
  </conditionalFormatting>
  <conditionalFormatting sqref="A101:A106">
    <cfRule type="expression" dxfId="1098" priority="5">
      <formula>kvartal &lt; 4</formula>
    </cfRule>
  </conditionalFormatting>
  <conditionalFormatting sqref="A115">
    <cfRule type="expression" dxfId="1097" priority="4">
      <formula>kvartal &lt; 4</formula>
    </cfRule>
  </conditionalFormatting>
  <conditionalFormatting sqref="A123">
    <cfRule type="expression" dxfId="1096" priority="3">
      <formula>kvartal &lt; 4</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dimension ref="A1:N144"/>
  <sheetViews>
    <sheetView showGridLines="0" zoomScaleNormal="100" workbookViewId="0">
      <selection activeCell="A4" sqref="A4"/>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139</v>
      </c>
      <c r="B1" s="945"/>
      <c r="C1" s="248" t="s">
        <v>132</v>
      </c>
      <c r="D1" s="26"/>
      <c r="E1" s="26"/>
      <c r="F1" s="26"/>
      <c r="G1" s="26"/>
      <c r="H1" s="26"/>
      <c r="I1" s="26"/>
      <c r="J1" s="26"/>
      <c r="K1" s="26"/>
      <c r="L1" s="26"/>
      <c r="M1" s="26"/>
    </row>
    <row r="2" spans="1:14" ht="15.75" x14ac:dyDescent="0.25">
      <c r="A2" s="165" t="s">
        <v>28</v>
      </c>
      <c r="B2" s="972"/>
      <c r="C2" s="972"/>
      <c r="D2" s="972"/>
      <c r="E2" s="298"/>
      <c r="F2" s="972"/>
      <c r="G2" s="972"/>
      <c r="H2" s="972"/>
      <c r="I2" s="298"/>
      <c r="J2" s="972"/>
      <c r="K2" s="972"/>
      <c r="L2" s="972"/>
      <c r="M2" s="298"/>
    </row>
    <row r="3" spans="1:14" ht="15.75" x14ac:dyDescent="0.25">
      <c r="A3" s="163"/>
      <c r="B3" s="298"/>
      <c r="C3" s="298"/>
      <c r="D3" s="298"/>
      <c r="E3" s="298"/>
      <c r="F3" s="298"/>
      <c r="G3" s="298"/>
      <c r="H3" s="298"/>
      <c r="I3" s="298"/>
      <c r="J3" s="298"/>
      <c r="K3" s="298"/>
      <c r="L3" s="298"/>
      <c r="M3" s="298"/>
    </row>
    <row r="4" spans="1:14" x14ac:dyDescent="0.2">
      <c r="A4" s="144"/>
      <c r="B4" s="973" t="s">
        <v>0</v>
      </c>
      <c r="C4" s="974"/>
      <c r="D4" s="974"/>
      <c r="E4" s="300"/>
      <c r="F4" s="973" t="s">
        <v>1</v>
      </c>
      <c r="G4" s="974"/>
      <c r="H4" s="974"/>
      <c r="I4" s="303"/>
      <c r="J4" s="973" t="s">
        <v>2</v>
      </c>
      <c r="K4" s="974"/>
      <c r="L4" s="974"/>
      <c r="M4" s="303"/>
    </row>
    <row r="5" spans="1:14" x14ac:dyDescent="0.2">
      <c r="A5" s="158"/>
      <c r="B5" s="152" t="s">
        <v>492</v>
      </c>
      <c r="C5" s="152" t="s">
        <v>493</v>
      </c>
      <c r="D5" s="245" t="s">
        <v>3</v>
      </c>
      <c r="E5" s="304" t="s">
        <v>29</v>
      </c>
      <c r="F5" s="152" t="s">
        <v>492</v>
      </c>
      <c r="G5" s="152" t="s">
        <v>493</v>
      </c>
      <c r="H5" s="245" t="s">
        <v>3</v>
      </c>
      <c r="I5" s="162" t="s">
        <v>29</v>
      </c>
      <c r="J5" s="152" t="s">
        <v>492</v>
      </c>
      <c r="K5" s="152" t="s">
        <v>493</v>
      </c>
      <c r="L5" s="245" t="s">
        <v>3</v>
      </c>
      <c r="M5" s="162" t="s">
        <v>29</v>
      </c>
    </row>
    <row r="6" spans="1:14" x14ac:dyDescent="0.2">
      <c r="A6" s="946"/>
      <c r="B6" s="156"/>
      <c r="C6" s="156"/>
      <c r="D6" s="246" t="s">
        <v>4</v>
      </c>
      <c r="E6" s="156" t="s">
        <v>30</v>
      </c>
      <c r="F6" s="161"/>
      <c r="G6" s="161"/>
      <c r="H6" s="245" t="s">
        <v>4</v>
      </c>
      <c r="I6" s="156" t="s">
        <v>30</v>
      </c>
      <c r="J6" s="161"/>
      <c r="K6" s="161"/>
      <c r="L6" s="245" t="s">
        <v>4</v>
      </c>
      <c r="M6" s="156" t="s">
        <v>30</v>
      </c>
    </row>
    <row r="7" spans="1:14" ht="15.75" x14ac:dyDescent="0.2">
      <c r="A7" s="14" t="s">
        <v>23</v>
      </c>
      <c r="B7" s="305"/>
      <c r="C7" s="306"/>
      <c r="D7" s="349"/>
      <c r="E7" s="11"/>
      <c r="F7" s="305">
        <v>89619</v>
      </c>
      <c r="G7" s="306">
        <v>157974</v>
      </c>
      <c r="H7" s="349">
        <f>IF(F7=0, "    ---- ", IF(ABS(ROUND(100/F7*G7-100,1))&lt;999,ROUND(100/F7*G7-100,1),IF(ROUND(100/F7*G7-100,1)&gt;999,999,-999)))</f>
        <v>76.3</v>
      </c>
      <c r="I7" s="160">
        <f>IFERROR(100/'Skjema total MA'!F7*G7,0)</f>
        <v>1.5121166916546043</v>
      </c>
      <c r="J7" s="307">
        <f t="shared" ref="J7:K12" si="0">SUM(B7,F7)</f>
        <v>89619</v>
      </c>
      <c r="K7" s="308">
        <f t="shared" si="0"/>
        <v>157974</v>
      </c>
      <c r="L7" s="372">
        <f>IF(J7=0, "    ---- ", IF(ABS(ROUND(100/J7*K7-100,1))&lt;999,ROUND(100/J7*K7-100,1),IF(ROUND(100/J7*K7-100,1)&gt;999,999,-999)))</f>
        <v>76.3</v>
      </c>
      <c r="M7" s="11">
        <f>IFERROR(100/'Skjema total MA'!I7*K7,0)</f>
        <v>1.0427716337368211</v>
      </c>
    </row>
    <row r="8" spans="1:14" ht="15.75" x14ac:dyDescent="0.2">
      <c r="A8" s="21" t="s">
        <v>25</v>
      </c>
      <c r="B8" s="280"/>
      <c r="C8" s="281"/>
      <c r="D8" s="166"/>
      <c r="E8" s="27"/>
      <c r="F8" s="284"/>
      <c r="G8" s="285"/>
      <c r="H8" s="166"/>
      <c r="I8" s="175"/>
      <c r="J8" s="234"/>
      <c r="K8" s="286"/>
      <c r="L8" s="254"/>
      <c r="M8" s="27"/>
    </row>
    <row r="9" spans="1:14" ht="15.75" x14ac:dyDescent="0.2">
      <c r="A9" s="21" t="s">
        <v>24</v>
      </c>
      <c r="B9" s="280"/>
      <c r="C9" s="281"/>
      <c r="D9" s="166"/>
      <c r="E9" s="27"/>
      <c r="F9" s="284"/>
      <c r="G9" s="285"/>
      <c r="H9" s="166"/>
      <c r="I9" s="175"/>
      <c r="J9" s="234"/>
      <c r="K9" s="286"/>
      <c r="L9" s="254"/>
      <c r="M9" s="27"/>
    </row>
    <row r="10" spans="1:14" ht="15.75" x14ac:dyDescent="0.2">
      <c r="A10" s="13" t="s">
        <v>451</v>
      </c>
      <c r="B10" s="309"/>
      <c r="C10" s="310"/>
      <c r="D10" s="171"/>
      <c r="E10" s="11"/>
      <c r="F10" s="309">
        <v>521336</v>
      </c>
      <c r="G10" s="310">
        <v>660350</v>
      </c>
      <c r="H10" s="171">
        <f t="shared" ref="H10:H12" si="1">IF(F10=0, "    ---- ", IF(ABS(ROUND(100/F10*G10-100,1))&lt;999,ROUND(100/F10*G10-100,1),IF(ROUND(100/F10*G10-100,1)&gt;999,999,-999)))</f>
        <v>26.7</v>
      </c>
      <c r="I10" s="160">
        <f>IFERROR(100/'Skjema total MA'!F10*G10,0)</f>
        <v>1.2464696916988973</v>
      </c>
      <c r="J10" s="307">
        <f t="shared" si="0"/>
        <v>521336</v>
      </c>
      <c r="K10" s="308">
        <f t="shared" si="0"/>
        <v>660350</v>
      </c>
      <c r="L10" s="373">
        <f t="shared" ref="L10:L12" si="2">IF(J10=0, "    ---- ", IF(ABS(ROUND(100/J10*K10-100,1))&lt;999,ROUND(100/J10*K10-100,1),IF(ROUND(100/J10*K10-100,1)&gt;999,999,-999)))</f>
        <v>26.7</v>
      </c>
      <c r="M10" s="11">
        <f>IFERROR(100/'Skjema total MA'!I10*K10,0)</f>
        <v>0.89093842789420263</v>
      </c>
    </row>
    <row r="11" spans="1:14" s="43" customFormat="1" ht="15.75" x14ac:dyDescent="0.2">
      <c r="A11" s="13" t="s">
        <v>452</v>
      </c>
      <c r="B11" s="309"/>
      <c r="C11" s="310"/>
      <c r="D11" s="171"/>
      <c r="E11" s="11"/>
      <c r="F11" s="309">
        <v>5995</v>
      </c>
      <c r="G11" s="310">
        <v>8215</v>
      </c>
      <c r="H11" s="171">
        <f t="shared" si="1"/>
        <v>37</v>
      </c>
      <c r="I11" s="160">
        <f>IFERROR(100/'Skjema total MA'!F11*G11,0)</f>
        <v>1.990548387041384</v>
      </c>
      <c r="J11" s="307">
        <f t="shared" si="0"/>
        <v>5995</v>
      </c>
      <c r="K11" s="308">
        <f t="shared" si="0"/>
        <v>8215</v>
      </c>
      <c r="L11" s="373">
        <f t="shared" si="2"/>
        <v>37</v>
      </c>
      <c r="M11" s="11">
        <f>IFERROR(100/'Skjema total MA'!I11*K11,0)</f>
        <v>1.7189668451532789</v>
      </c>
      <c r="N11" s="143"/>
    </row>
    <row r="12" spans="1:14" s="43" customFormat="1" ht="15.75" x14ac:dyDescent="0.2">
      <c r="A12" s="41" t="s">
        <v>453</v>
      </c>
      <c r="B12" s="311"/>
      <c r="C12" s="312"/>
      <c r="D12" s="169"/>
      <c r="E12" s="36"/>
      <c r="F12" s="311">
        <v>4863</v>
      </c>
      <c r="G12" s="312">
        <v>16279</v>
      </c>
      <c r="H12" s="169">
        <f t="shared" si="1"/>
        <v>234.8</v>
      </c>
      <c r="I12" s="169">
        <f>IFERROR(100/'Skjema total MA'!F12*G12,0)</f>
        <v>5.0177569614132702</v>
      </c>
      <c r="J12" s="313">
        <f t="shared" si="0"/>
        <v>4863</v>
      </c>
      <c r="K12" s="314">
        <f t="shared" si="0"/>
        <v>16279</v>
      </c>
      <c r="L12" s="374">
        <f t="shared" si="2"/>
        <v>234.8</v>
      </c>
      <c r="M12" s="36">
        <f>IFERROR(100/'Skjema total MA'!I12*K12,0)</f>
        <v>4.752592657175077</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975"/>
      <c r="C18" s="975"/>
      <c r="D18" s="975"/>
      <c r="E18" s="298"/>
      <c r="F18" s="975"/>
      <c r="G18" s="975"/>
      <c r="H18" s="975"/>
      <c r="I18" s="298"/>
      <c r="J18" s="975"/>
      <c r="K18" s="975"/>
      <c r="L18" s="975"/>
      <c r="M18" s="298"/>
    </row>
    <row r="19" spans="1:14" x14ac:dyDescent="0.2">
      <c r="A19" s="144"/>
      <c r="B19" s="973" t="s">
        <v>0</v>
      </c>
      <c r="C19" s="974"/>
      <c r="D19" s="974"/>
      <c r="E19" s="300"/>
      <c r="F19" s="973" t="s">
        <v>1</v>
      </c>
      <c r="G19" s="974"/>
      <c r="H19" s="974"/>
      <c r="I19" s="303"/>
      <c r="J19" s="973" t="s">
        <v>2</v>
      </c>
      <c r="K19" s="974"/>
      <c r="L19" s="974"/>
      <c r="M19" s="303"/>
    </row>
    <row r="20" spans="1:14" x14ac:dyDescent="0.2">
      <c r="A20" s="140" t="s">
        <v>5</v>
      </c>
      <c r="B20" s="152" t="s">
        <v>492</v>
      </c>
      <c r="C20" s="152" t="s">
        <v>493</v>
      </c>
      <c r="D20" s="162" t="s">
        <v>3</v>
      </c>
      <c r="E20" s="304" t="s">
        <v>29</v>
      </c>
      <c r="F20" s="152" t="s">
        <v>492</v>
      </c>
      <c r="G20" s="152" t="s">
        <v>493</v>
      </c>
      <c r="H20" s="162" t="s">
        <v>3</v>
      </c>
      <c r="I20" s="162" t="s">
        <v>29</v>
      </c>
      <c r="J20" s="152" t="s">
        <v>492</v>
      </c>
      <c r="K20" s="152" t="s">
        <v>493</v>
      </c>
      <c r="L20" s="162" t="s">
        <v>3</v>
      </c>
      <c r="M20" s="162" t="s">
        <v>29</v>
      </c>
    </row>
    <row r="21" spans="1:14" x14ac:dyDescent="0.2">
      <c r="A21" s="947"/>
      <c r="B21" s="156"/>
      <c r="C21" s="156"/>
      <c r="D21" s="246" t="s">
        <v>4</v>
      </c>
      <c r="E21" s="156" t="s">
        <v>30</v>
      </c>
      <c r="F21" s="161"/>
      <c r="G21" s="161"/>
      <c r="H21" s="245" t="s">
        <v>4</v>
      </c>
      <c r="I21" s="156" t="s">
        <v>30</v>
      </c>
      <c r="J21" s="161"/>
      <c r="K21" s="161"/>
      <c r="L21" s="156" t="s">
        <v>4</v>
      </c>
      <c r="M21" s="156" t="s">
        <v>30</v>
      </c>
    </row>
    <row r="22" spans="1:14" ht="15.75" x14ac:dyDescent="0.2">
      <c r="A22" s="14" t="s">
        <v>23</v>
      </c>
      <c r="B22" s="309">
        <v>354168</v>
      </c>
      <c r="C22" s="309">
        <v>386870</v>
      </c>
      <c r="D22" s="349">
        <f t="shared" ref="D22:D30" si="3">IF(B22=0, "    ---- ", IF(ABS(ROUND(100/B22*C22-100,1))&lt;999,ROUND(100/B22*C22-100,1),IF(ROUND(100/B22*C22-100,1)&gt;999,999,-999)))</f>
        <v>9.1999999999999993</v>
      </c>
      <c r="E22" s="11">
        <f>IFERROR(100/'Skjema total MA'!C22*C22,0)</f>
        <v>21.628648462536169</v>
      </c>
      <c r="F22" s="317">
        <v>86272</v>
      </c>
      <c r="G22" s="317">
        <v>91946</v>
      </c>
      <c r="H22" s="349">
        <f t="shared" ref="H22:H35" si="4">IF(F22=0, "    ---- ", IF(ABS(ROUND(100/F22*G22-100,1))&lt;999,ROUND(100/F22*G22-100,1),IF(ROUND(100/F22*G22-100,1)&gt;999,999,-999)))</f>
        <v>6.6</v>
      </c>
      <c r="I22" s="11">
        <f>IFERROR(100/'Skjema total MA'!F22*G22,0)</f>
        <v>6.9572491109552397</v>
      </c>
      <c r="J22" s="315">
        <f t="shared" ref="J22:K35" si="5">SUM(B22,F22)</f>
        <v>440440</v>
      </c>
      <c r="K22" s="315">
        <f t="shared" si="5"/>
        <v>478816</v>
      </c>
      <c r="L22" s="372">
        <f t="shared" ref="L22:L35" si="6">IF(J22=0, "    ---- ", IF(ABS(ROUND(100/J22*K22-100,1))&lt;999,ROUND(100/J22*K22-100,1),IF(ROUND(100/J22*K22-100,1)&gt;999,999,-999)))</f>
        <v>8.6999999999999993</v>
      </c>
      <c r="M22" s="24">
        <f>IFERROR(100/'Skjema total MA'!I22*K22,0)</f>
        <v>15.394636720985805</v>
      </c>
    </row>
    <row r="23" spans="1:14" ht="15.75" x14ac:dyDescent="0.2">
      <c r="A23" s="753" t="s">
        <v>454</v>
      </c>
      <c r="B23" s="280">
        <v>354168</v>
      </c>
      <c r="C23" s="280">
        <v>386870</v>
      </c>
      <c r="D23" s="166">
        <f t="shared" si="3"/>
        <v>9.1999999999999993</v>
      </c>
      <c r="E23" s="11">
        <f>IFERROR(100/'Skjema total MA'!C23*C23,0)</f>
        <v>22.989272895162021</v>
      </c>
      <c r="F23" s="289">
        <v>11</v>
      </c>
      <c r="G23" s="289">
        <v>32</v>
      </c>
      <c r="H23" s="166">
        <f t="shared" si="4"/>
        <v>190.9</v>
      </c>
      <c r="I23" s="365">
        <f>IFERROR(100/'Skjema total MA'!F23*G23,0)</f>
        <v>3.2144065264635084E-2</v>
      </c>
      <c r="J23" s="289">
        <f t="shared" ref="J23:J26" si="7">SUM(B23,F23)</f>
        <v>354179</v>
      </c>
      <c r="K23" s="289">
        <f t="shared" ref="K23:K26" si="8">SUM(C23,G23)</f>
        <v>386902</v>
      </c>
      <c r="L23" s="166">
        <f t="shared" si="6"/>
        <v>9.1999999999999993</v>
      </c>
      <c r="M23" s="23">
        <f>IFERROR(100/'Skjema total MA'!I23*K23,0)</f>
        <v>21.70704148865812</v>
      </c>
    </row>
    <row r="24" spans="1:14" ht="15.75" x14ac:dyDescent="0.2">
      <c r="A24" s="753" t="s">
        <v>455</v>
      </c>
      <c r="B24" s="280"/>
      <c r="C24" s="280"/>
      <c r="D24" s="166"/>
      <c r="E24" s="11"/>
      <c r="F24" s="289">
        <v>0</v>
      </c>
      <c r="G24" s="289">
        <v>2</v>
      </c>
      <c r="H24" s="166" t="str">
        <f t="shared" si="4"/>
        <v xml:space="preserve">    ---- </v>
      </c>
      <c r="I24" s="365">
        <f>IFERROR(100/'Skjema total MA'!F24*G24,0)</f>
        <v>1.1148121014860277</v>
      </c>
      <c r="J24" s="289">
        <f t="shared" si="7"/>
        <v>0</v>
      </c>
      <c r="K24" s="289">
        <f t="shared" si="8"/>
        <v>2</v>
      </c>
      <c r="L24" s="166" t="str">
        <f t="shared" si="6"/>
        <v xml:space="preserve">    ---- </v>
      </c>
      <c r="M24" s="23">
        <f>IFERROR(100/'Skjema total MA'!I24*K24,0)</f>
        <v>5.2863033694115664E-3</v>
      </c>
    </row>
    <row r="25" spans="1:14" ht="15.75" x14ac:dyDescent="0.2">
      <c r="A25" s="753" t="s">
        <v>456</v>
      </c>
      <c r="B25" s="280"/>
      <c r="C25" s="280"/>
      <c r="D25" s="166"/>
      <c r="E25" s="11"/>
      <c r="F25" s="289">
        <v>290</v>
      </c>
      <c r="G25" s="289">
        <v>23</v>
      </c>
      <c r="H25" s="166">
        <f t="shared" si="4"/>
        <v>-92.1</v>
      </c>
      <c r="I25" s="365">
        <f>IFERROR(100/'Skjema total MA'!F25*G25,0)</f>
        <v>8.4063899607505141E-2</v>
      </c>
      <c r="J25" s="289">
        <f t="shared" si="7"/>
        <v>290</v>
      </c>
      <c r="K25" s="289">
        <f t="shared" si="8"/>
        <v>23</v>
      </c>
      <c r="L25" s="166">
        <f t="shared" si="6"/>
        <v>-92.1</v>
      </c>
      <c r="M25" s="23">
        <f>IFERROR(100/'Skjema total MA'!I25*K25,0)</f>
        <v>3.3851835888808773E-2</v>
      </c>
    </row>
    <row r="26" spans="1:14" ht="15.75" x14ac:dyDescent="0.2">
      <c r="A26" s="753" t="s">
        <v>457</v>
      </c>
      <c r="B26" s="280"/>
      <c r="C26" s="280"/>
      <c r="D26" s="166"/>
      <c r="E26" s="11"/>
      <c r="F26" s="289">
        <v>85971</v>
      </c>
      <c r="G26" s="289">
        <v>91889</v>
      </c>
      <c r="H26" s="166">
        <f t="shared" si="4"/>
        <v>6.9</v>
      </c>
      <c r="I26" s="365">
        <f>IFERROR(100/'Skjema total MA'!F26*G26,0)</f>
        <v>7.6927120480687936</v>
      </c>
      <c r="J26" s="289">
        <f t="shared" si="7"/>
        <v>85971</v>
      </c>
      <c r="K26" s="289">
        <f t="shared" si="8"/>
        <v>91889</v>
      </c>
      <c r="L26" s="166">
        <f t="shared" si="6"/>
        <v>6.9</v>
      </c>
      <c r="M26" s="23">
        <f>IFERROR(100/'Skjema total MA'!I26*K26,0)</f>
        <v>7.6927120480687936</v>
      </c>
    </row>
    <row r="27" spans="1:14" x14ac:dyDescent="0.2">
      <c r="A27" s="753" t="s">
        <v>11</v>
      </c>
      <c r="B27" s="280"/>
      <c r="C27" s="280"/>
      <c r="D27" s="166"/>
      <c r="E27" s="11"/>
      <c r="F27" s="289"/>
      <c r="G27" s="289"/>
      <c r="H27" s="166"/>
      <c r="I27" s="365"/>
      <c r="J27" s="289"/>
      <c r="K27" s="289"/>
      <c r="L27" s="166"/>
      <c r="M27" s="23"/>
    </row>
    <row r="28" spans="1:14" ht="15.75" x14ac:dyDescent="0.2">
      <c r="A28" s="49" t="s">
        <v>279</v>
      </c>
      <c r="B28" s="44">
        <v>354168</v>
      </c>
      <c r="C28" s="286">
        <v>386870</v>
      </c>
      <c r="D28" s="166">
        <f t="shared" si="3"/>
        <v>9.1999999999999993</v>
      </c>
      <c r="E28" s="11">
        <f>IFERROR(100/'Skjema total MA'!C28*C28,0)</f>
        <v>20.583841283699819</v>
      </c>
      <c r="F28" s="234"/>
      <c r="G28" s="286"/>
      <c r="H28" s="166"/>
      <c r="I28" s="27"/>
      <c r="J28" s="44">
        <f t="shared" si="5"/>
        <v>354168</v>
      </c>
      <c r="K28" s="44">
        <f t="shared" si="5"/>
        <v>386870</v>
      </c>
      <c r="L28" s="254">
        <f t="shared" si="6"/>
        <v>9.1999999999999993</v>
      </c>
      <c r="M28" s="23">
        <f>IFERROR(100/'Skjema total MA'!I28*K28,0)</f>
        <v>20.583841283699819</v>
      </c>
    </row>
    <row r="29" spans="1:14" s="3" customFormat="1" ht="15.75" x14ac:dyDescent="0.2">
      <c r="A29" s="13" t="s">
        <v>451</v>
      </c>
      <c r="B29" s="236">
        <v>1588564</v>
      </c>
      <c r="C29" s="236">
        <v>1913578</v>
      </c>
      <c r="D29" s="171">
        <f t="shared" si="3"/>
        <v>20.5</v>
      </c>
      <c r="E29" s="11">
        <f>IFERROR(100/'Skjema total MA'!C29*C29,0)</f>
        <v>4.0734305237487343</v>
      </c>
      <c r="F29" s="307">
        <v>1492622</v>
      </c>
      <c r="G29" s="307">
        <v>1582677</v>
      </c>
      <c r="H29" s="171">
        <f t="shared" si="4"/>
        <v>6</v>
      </c>
      <c r="I29" s="11">
        <f>IFERROR(100/'Skjema total MA'!F29*G29,0)</f>
        <v>7.0850290404408014</v>
      </c>
      <c r="J29" s="236">
        <f t="shared" si="5"/>
        <v>3081186</v>
      </c>
      <c r="K29" s="236">
        <f t="shared" si="5"/>
        <v>3496255</v>
      </c>
      <c r="L29" s="373">
        <f t="shared" si="6"/>
        <v>13.5</v>
      </c>
      <c r="M29" s="24">
        <f>IFERROR(100/'Skjema total MA'!I29*K29,0)</f>
        <v>5.0439808490040239</v>
      </c>
      <c r="N29" s="148"/>
    </row>
    <row r="30" spans="1:14" s="3" customFormat="1" ht="15.75" x14ac:dyDescent="0.2">
      <c r="A30" s="753" t="s">
        <v>454</v>
      </c>
      <c r="B30" s="280">
        <v>1588564</v>
      </c>
      <c r="C30" s="280">
        <v>1913578</v>
      </c>
      <c r="D30" s="166">
        <f t="shared" si="3"/>
        <v>20.5</v>
      </c>
      <c r="E30" s="11">
        <f>IFERROR(100/'Skjema total MA'!C30*C30,0)</f>
        <v>10.828068054490542</v>
      </c>
      <c r="F30" s="289">
        <v>29104</v>
      </c>
      <c r="G30" s="289">
        <v>27944</v>
      </c>
      <c r="H30" s="166">
        <f t="shared" si="4"/>
        <v>-4</v>
      </c>
      <c r="I30" s="365">
        <f>IFERROR(100/'Skjema total MA'!F30*G30,0)</f>
        <v>0.62756018279602233</v>
      </c>
      <c r="J30" s="289">
        <f t="shared" ref="J30:J33" si="9">SUM(B30,F30)</f>
        <v>1617668</v>
      </c>
      <c r="K30" s="289">
        <f t="shared" ref="K30:K33" si="10">SUM(C30,G30)</f>
        <v>1941522</v>
      </c>
      <c r="L30" s="166">
        <f t="shared" si="6"/>
        <v>20</v>
      </c>
      <c r="M30" s="23">
        <f>IFERROR(100/'Skjema total MA'!I30*K30,0)</f>
        <v>8.7751668331502017</v>
      </c>
      <c r="N30" s="148"/>
    </row>
    <row r="31" spans="1:14" s="3" customFormat="1" ht="15.75" x14ac:dyDescent="0.2">
      <c r="A31" s="753" t="s">
        <v>455</v>
      </c>
      <c r="B31" s="280"/>
      <c r="C31" s="280"/>
      <c r="D31" s="166"/>
      <c r="E31" s="11"/>
      <c r="F31" s="289">
        <v>1209821</v>
      </c>
      <c r="G31" s="289">
        <v>1166224</v>
      </c>
      <c r="H31" s="166">
        <f t="shared" si="4"/>
        <v>-3.6</v>
      </c>
      <c r="I31" s="365">
        <f>IFERROR(100/'Skjema total MA'!F31*G31,0)</f>
        <v>11.871831516887687</v>
      </c>
      <c r="J31" s="289">
        <f t="shared" si="9"/>
        <v>1209821</v>
      </c>
      <c r="K31" s="289">
        <f t="shared" si="10"/>
        <v>1166224</v>
      </c>
      <c r="L31" s="166">
        <f t="shared" si="6"/>
        <v>-3.6</v>
      </c>
      <c r="M31" s="23">
        <f>IFERROR(100/'Skjema total MA'!I31*K31,0)</f>
        <v>3.2412868415863918</v>
      </c>
      <c r="N31" s="148"/>
    </row>
    <row r="32" spans="1:14" ht="15.75" x14ac:dyDescent="0.2">
      <c r="A32" s="753" t="s">
        <v>456</v>
      </c>
      <c r="B32" s="280"/>
      <c r="C32" s="280"/>
      <c r="D32" s="166"/>
      <c r="E32" s="11"/>
      <c r="F32" s="289">
        <v>117862</v>
      </c>
      <c r="G32" s="289">
        <v>126191</v>
      </c>
      <c r="H32" s="166">
        <f t="shared" si="4"/>
        <v>7.1</v>
      </c>
      <c r="I32" s="365">
        <f>IFERROR(100/'Skjema total MA'!F32*G32,0)</f>
        <v>2.7058863625834961</v>
      </c>
      <c r="J32" s="289">
        <f t="shared" si="9"/>
        <v>117862</v>
      </c>
      <c r="K32" s="289">
        <f t="shared" si="10"/>
        <v>126191</v>
      </c>
      <c r="L32" s="166">
        <f t="shared" si="6"/>
        <v>7.1</v>
      </c>
      <c r="M32" s="23">
        <f>IFERROR(100/'Skjema total MA'!I32*K32,0)</f>
        <v>1.6433506663961588</v>
      </c>
    </row>
    <row r="33" spans="1:14" ht="15.75" x14ac:dyDescent="0.2">
      <c r="A33" s="753" t="s">
        <v>457</v>
      </c>
      <c r="B33" s="280"/>
      <c r="C33" s="280"/>
      <c r="D33" s="166"/>
      <c r="E33" s="11"/>
      <c r="F33" s="289">
        <v>135835</v>
      </c>
      <c r="G33" s="289">
        <v>262318</v>
      </c>
      <c r="H33" s="166">
        <f t="shared" si="4"/>
        <v>93.1</v>
      </c>
      <c r="I33" s="365">
        <f>IFERROR(100/'Skjema total MA'!F34*G33,0)</f>
        <v>373.7801950938802</v>
      </c>
      <c r="J33" s="289">
        <f t="shared" si="9"/>
        <v>135835</v>
      </c>
      <c r="K33" s="289">
        <f t="shared" si="10"/>
        <v>262318</v>
      </c>
      <c r="L33" s="166">
        <f t="shared" si="6"/>
        <v>93.1</v>
      </c>
      <c r="M33" s="23">
        <f>IFERROR(100/'Skjema total MA'!I34*K33,0)</f>
        <v>271.16816623108139</v>
      </c>
    </row>
    <row r="34" spans="1:14" ht="15.75" x14ac:dyDescent="0.2">
      <c r="A34" s="13" t="s">
        <v>452</v>
      </c>
      <c r="B34" s="236"/>
      <c r="C34" s="308"/>
      <c r="D34" s="171"/>
      <c r="E34" s="11"/>
      <c r="F34" s="307">
        <v>8755</v>
      </c>
      <c r="G34" s="308">
        <v>10280</v>
      </c>
      <c r="H34" s="171">
        <f t="shared" si="4"/>
        <v>17.399999999999999</v>
      </c>
      <c r="I34" s="11">
        <f>IFERROR(100/'Skjema total MA'!F34*G34,0)</f>
        <v>14.648100418442839</v>
      </c>
      <c r="J34" s="236">
        <f t="shared" si="5"/>
        <v>8755</v>
      </c>
      <c r="K34" s="236">
        <f t="shared" si="5"/>
        <v>10280</v>
      </c>
      <c r="L34" s="373">
        <f t="shared" si="6"/>
        <v>17.399999999999999</v>
      </c>
      <c r="M34" s="24">
        <f>IFERROR(100/'Skjema total MA'!I34*K34,0)</f>
        <v>10.626829835754757</v>
      </c>
    </row>
    <row r="35" spans="1:14" ht="15.75" x14ac:dyDescent="0.2">
      <c r="A35" s="13" t="s">
        <v>453</v>
      </c>
      <c r="B35" s="236"/>
      <c r="C35" s="308"/>
      <c r="D35" s="171"/>
      <c r="E35" s="11"/>
      <c r="F35" s="307">
        <v>7277</v>
      </c>
      <c r="G35" s="308">
        <v>8703</v>
      </c>
      <c r="H35" s="171">
        <f t="shared" si="4"/>
        <v>19.600000000000001</v>
      </c>
      <c r="I35" s="11">
        <f>IFERROR(100/'Skjema total MA'!F35*G35,0)</f>
        <v>6.5441834222648554</v>
      </c>
      <c r="J35" s="236">
        <f t="shared" si="5"/>
        <v>7277</v>
      </c>
      <c r="K35" s="236">
        <f t="shared" si="5"/>
        <v>8703</v>
      </c>
      <c r="L35" s="373">
        <f t="shared" si="6"/>
        <v>19.600000000000001</v>
      </c>
      <c r="M35" s="24">
        <f>IFERROR(100/'Skjema total MA'!I35*K35,0)</f>
        <v>8.3845320343751322</v>
      </c>
    </row>
    <row r="36" spans="1:14" ht="15.75" x14ac:dyDescent="0.2">
      <c r="A36" s="12" t="s">
        <v>287</v>
      </c>
      <c r="B36" s="236"/>
      <c r="C36" s="308"/>
      <c r="D36" s="171"/>
      <c r="E36" s="11"/>
      <c r="F36" s="318"/>
      <c r="G36" s="319"/>
      <c r="H36" s="171"/>
      <c r="I36" s="379"/>
      <c r="J36" s="236"/>
      <c r="K36" s="236"/>
      <c r="L36" s="373"/>
      <c r="M36" s="24"/>
    </row>
    <row r="37" spans="1:14" ht="15.75" x14ac:dyDescent="0.2">
      <c r="A37" s="12" t="s">
        <v>459</v>
      </c>
      <c r="B37" s="236"/>
      <c r="C37" s="308"/>
      <c r="D37" s="171"/>
      <c r="E37" s="11"/>
      <c r="F37" s="318"/>
      <c r="G37" s="320"/>
      <c r="H37" s="171"/>
      <c r="I37" s="379"/>
      <c r="J37" s="236"/>
      <c r="K37" s="236"/>
      <c r="L37" s="373"/>
      <c r="M37" s="24"/>
    </row>
    <row r="38" spans="1:14" ht="15.75" x14ac:dyDescent="0.2">
      <c r="A38" s="12" t="s">
        <v>460</v>
      </c>
      <c r="B38" s="236"/>
      <c r="C38" s="308"/>
      <c r="D38" s="171"/>
      <c r="E38" s="24"/>
      <c r="F38" s="318"/>
      <c r="G38" s="319"/>
      <c r="H38" s="171"/>
      <c r="I38" s="379"/>
      <c r="J38" s="236"/>
      <c r="K38" s="236"/>
      <c r="L38" s="373"/>
      <c r="M38" s="24"/>
    </row>
    <row r="39" spans="1:14" ht="15.75" x14ac:dyDescent="0.2">
      <c r="A39" s="18" t="s">
        <v>461</v>
      </c>
      <c r="B39" s="275"/>
      <c r="C39" s="314"/>
      <c r="D39" s="169"/>
      <c r="E39" s="36"/>
      <c r="F39" s="321"/>
      <c r="G39" s="322"/>
      <c r="H39" s="169"/>
      <c r="I39" s="36"/>
      <c r="J39" s="236"/>
      <c r="K39" s="236"/>
      <c r="L39" s="374"/>
      <c r="M39" s="36"/>
    </row>
    <row r="40" spans="1:14" ht="15.75" x14ac:dyDescent="0.25">
      <c r="A40" s="47"/>
      <c r="B40" s="253"/>
      <c r="C40" s="253"/>
      <c r="D40" s="976"/>
      <c r="E40" s="976"/>
      <c r="F40" s="976"/>
      <c r="G40" s="976"/>
      <c r="H40" s="976"/>
      <c r="I40" s="976"/>
      <c r="J40" s="976"/>
      <c r="K40" s="976"/>
      <c r="L40" s="976"/>
      <c r="M40" s="301"/>
    </row>
    <row r="41" spans="1:14" x14ac:dyDescent="0.2">
      <c r="A41" s="155"/>
    </row>
    <row r="42" spans="1:14" ht="15.75" x14ac:dyDescent="0.25">
      <c r="A42" s="147" t="s">
        <v>276</v>
      </c>
      <c r="B42" s="972"/>
      <c r="C42" s="972"/>
      <c r="D42" s="972"/>
      <c r="E42" s="298"/>
      <c r="F42" s="977"/>
      <c r="G42" s="977"/>
      <c r="H42" s="977"/>
      <c r="I42" s="301"/>
      <c r="J42" s="977"/>
      <c r="K42" s="977"/>
      <c r="L42" s="977"/>
      <c r="M42" s="301"/>
    </row>
    <row r="43" spans="1:14" ht="15.75" x14ac:dyDescent="0.25">
      <c r="A43" s="163"/>
      <c r="B43" s="302"/>
      <c r="C43" s="302"/>
      <c r="D43" s="302"/>
      <c r="E43" s="302"/>
      <c r="F43" s="301"/>
      <c r="G43" s="301"/>
      <c r="H43" s="301"/>
      <c r="I43" s="301"/>
      <c r="J43" s="301"/>
      <c r="K43" s="301"/>
      <c r="L43" s="301"/>
      <c r="M43" s="301"/>
    </row>
    <row r="44" spans="1:14" ht="15.75" x14ac:dyDescent="0.25">
      <c r="A44" s="247"/>
      <c r="B44" s="973" t="s">
        <v>0</v>
      </c>
      <c r="C44" s="974"/>
      <c r="D44" s="974"/>
      <c r="E44" s="243"/>
      <c r="F44" s="301"/>
      <c r="G44" s="301"/>
      <c r="H44" s="301"/>
      <c r="I44" s="301"/>
      <c r="J44" s="301"/>
      <c r="K44" s="301"/>
      <c r="L44" s="301"/>
      <c r="M44" s="301"/>
    </row>
    <row r="45" spans="1:14" s="3" customFormat="1" x14ac:dyDescent="0.2">
      <c r="A45" s="140"/>
      <c r="B45" s="152" t="s">
        <v>492</v>
      </c>
      <c r="C45" s="152" t="s">
        <v>493</v>
      </c>
      <c r="D45" s="162" t="s">
        <v>3</v>
      </c>
      <c r="E45" s="162" t="s">
        <v>29</v>
      </c>
      <c r="F45" s="174"/>
      <c r="G45" s="174"/>
      <c r="H45" s="173"/>
      <c r="I45" s="173"/>
      <c r="J45" s="174"/>
      <c r="K45" s="174"/>
      <c r="L45" s="173"/>
      <c r="M45" s="173"/>
      <c r="N45" s="148"/>
    </row>
    <row r="46" spans="1:14" s="3" customFormat="1" x14ac:dyDescent="0.2">
      <c r="A46" s="947"/>
      <c r="B46" s="244"/>
      <c r="C46" s="244"/>
      <c r="D46" s="245" t="s">
        <v>4</v>
      </c>
      <c r="E46" s="156" t="s">
        <v>30</v>
      </c>
      <c r="F46" s="173"/>
      <c r="G46" s="173"/>
      <c r="H46" s="173"/>
      <c r="I46" s="173"/>
      <c r="J46" s="173"/>
      <c r="K46" s="173"/>
      <c r="L46" s="173"/>
      <c r="M46" s="173"/>
      <c r="N46" s="148"/>
    </row>
    <row r="47" spans="1:14" s="3" customFormat="1" ht="15.75" x14ac:dyDescent="0.2">
      <c r="A47" s="14" t="s">
        <v>23</v>
      </c>
      <c r="B47" s="309"/>
      <c r="C47" s="310"/>
      <c r="D47" s="372"/>
      <c r="E47" s="11"/>
      <c r="F47" s="145"/>
      <c r="G47" s="33"/>
      <c r="H47" s="159"/>
      <c r="I47" s="159"/>
      <c r="J47" s="37"/>
      <c r="K47" s="37"/>
      <c r="L47" s="159"/>
      <c r="M47" s="159"/>
      <c r="N47" s="148"/>
    </row>
    <row r="48" spans="1:14" s="3" customFormat="1" ht="15.75" x14ac:dyDescent="0.2">
      <c r="A48" s="38" t="s">
        <v>462</v>
      </c>
      <c r="B48" s="280"/>
      <c r="C48" s="281"/>
      <c r="D48" s="254"/>
      <c r="E48" s="27"/>
      <c r="F48" s="145"/>
      <c r="G48" s="33"/>
      <c r="H48" s="145"/>
      <c r="I48" s="145"/>
      <c r="J48" s="33"/>
      <c r="K48" s="33"/>
      <c r="L48" s="159"/>
      <c r="M48" s="159"/>
      <c r="N48" s="148"/>
    </row>
    <row r="49" spans="1:14" s="3" customFormat="1" ht="15.75" x14ac:dyDescent="0.2">
      <c r="A49" s="38" t="s">
        <v>463</v>
      </c>
      <c r="B49" s="44"/>
      <c r="C49" s="286"/>
      <c r="D49" s="254"/>
      <c r="E49" s="27"/>
      <c r="F49" s="145"/>
      <c r="G49" s="33"/>
      <c r="H49" s="145"/>
      <c r="I49" s="145"/>
      <c r="J49" s="37"/>
      <c r="K49" s="37"/>
      <c r="L49" s="159"/>
      <c r="M49" s="159"/>
      <c r="N49" s="148"/>
    </row>
    <row r="50" spans="1:14" s="3" customFormat="1" x14ac:dyDescent="0.2">
      <c r="A50" s="295" t="s">
        <v>6</v>
      </c>
      <c r="B50" s="289"/>
      <c r="C50" s="290"/>
      <c r="D50" s="254"/>
      <c r="E50" s="23"/>
      <c r="F50" s="145"/>
      <c r="G50" s="33"/>
      <c r="H50" s="145"/>
      <c r="I50" s="145"/>
      <c r="J50" s="33"/>
      <c r="K50" s="33"/>
      <c r="L50" s="159"/>
      <c r="M50" s="159"/>
      <c r="N50" s="148"/>
    </row>
    <row r="51" spans="1:14" s="3" customFormat="1" x14ac:dyDescent="0.2">
      <c r="A51" s="295" t="s">
        <v>7</v>
      </c>
      <c r="B51" s="289"/>
      <c r="C51" s="290"/>
      <c r="D51" s="254"/>
      <c r="E51" s="23"/>
      <c r="F51" s="145"/>
      <c r="G51" s="33"/>
      <c r="H51" s="145"/>
      <c r="I51" s="145"/>
      <c r="J51" s="33"/>
      <c r="K51" s="33"/>
      <c r="L51" s="159"/>
      <c r="M51" s="159"/>
      <c r="N51" s="148"/>
    </row>
    <row r="52" spans="1:14" s="3" customFormat="1" x14ac:dyDescent="0.2">
      <c r="A52" s="295" t="s">
        <v>8</v>
      </c>
      <c r="B52" s="289"/>
      <c r="C52" s="290"/>
      <c r="D52" s="254"/>
      <c r="E52" s="23"/>
      <c r="F52" s="145"/>
      <c r="G52" s="33"/>
      <c r="H52" s="145"/>
      <c r="I52" s="145"/>
      <c r="J52" s="33"/>
      <c r="K52" s="33"/>
      <c r="L52" s="159"/>
      <c r="M52" s="159"/>
      <c r="N52" s="148"/>
    </row>
    <row r="53" spans="1:14" s="3" customFormat="1" ht="15.75" x14ac:dyDescent="0.2">
      <c r="A53" s="39" t="s">
        <v>464</v>
      </c>
      <c r="B53" s="309"/>
      <c r="C53" s="310"/>
      <c r="D53" s="373"/>
      <c r="E53" s="11"/>
      <c r="F53" s="145"/>
      <c r="G53" s="33"/>
      <c r="H53" s="145"/>
      <c r="I53" s="145"/>
      <c r="J53" s="33"/>
      <c r="K53" s="33"/>
      <c r="L53" s="159"/>
      <c r="M53" s="159"/>
      <c r="N53" s="148"/>
    </row>
    <row r="54" spans="1:14" s="3" customFormat="1" ht="15.75" x14ac:dyDescent="0.2">
      <c r="A54" s="38" t="s">
        <v>462</v>
      </c>
      <c r="B54" s="280"/>
      <c r="C54" s="281"/>
      <c r="D54" s="254"/>
      <c r="E54" s="27"/>
      <c r="F54" s="145"/>
      <c r="G54" s="33"/>
      <c r="H54" s="145"/>
      <c r="I54" s="145"/>
      <c r="J54" s="33"/>
      <c r="K54" s="33"/>
      <c r="L54" s="159"/>
      <c r="M54" s="159"/>
      <c r="N54" s="148"/>
    </row>
    <row r="55" spans="1:14" s="3" customFormat="1" ht="15.75" x14ac:dyDescent="0.2">
      <c r="A55" s="38" t="s">
        <v>463</v>
      </c>
      <c r="B55" s="280"/>
      <c r="C55" s="281"/>
      <c r="D55" s="254"/>
      <c r="E55" s="27"/>
      <c r="F55" s="145"/>
      <c r="G55" s="33"/>
      <c r="H55" s="145"/>
      <c r="I55" s="145"/>
      <c r="J55" s="33"/>
      <c r="K55" s="33"/>
      <c r="L55" s="159"/>
      <c r="M55" s="159"/>
      <c r="N55" s="148"/>
    </row>
    <row r="56" spans="1:14" s="3" customFormat="1" ht="15.75" x14ac:dyDescent="0.2">
      <c r="A56" s="39" t="s">
        <v>465</v>
      </c>
      <c r="B56" s="309"/>
      <c r="C56" s="310"/>
      <c r="D56" s="373"/>
      <c r="E56" s="11"/>
      <c r="F56" s="145"/>
      <c r="G56" s="33"/>
      <c r="H56" s="145"/>
      <c r="I56" s="145"/>
      <c r="J56" s="33"/>
      <c r="K56" s="33"/>
      <c r="L56" s="159"/>
      <c r="M56" s="159"/>
      <c r="N56" s="148"/>
    </row>
    <row r="57" spans="1:14" s="3" customFormat="1" ht="15.75" x14ac:dyDescent="0.2">
      <c r="A57" s="38" t="s">
        <v>462</v>
      </c>
      <c r="B57" s="280"/>
      <c r="C57" s="281"/>
      <c r="D57" s="254"/>
      <c r="E57" s="27"/>
      <c r="F57" s="145"/>
      <c r="G57" s="33"/>
      <c r="H57" s="145"/>
      <c r="I57" s="145"/>
      <c r="J57" s="33"/>
      <c r="K57" s="33"/>
      <c r="L57" s="159"/>
      <c r="M57" s="159"/>
      <c r="N57" s="148"/>
    </row>
    <row r="58" spans="1:14" s="3" customFormat="1" ht="15.75" x14ac:dyDescent="0.2">
      <c r="A58" s="46" t="s">
        <v>463</v>
      </c>
      <c r="B58" s="282"/>
      <c r="C58" s="283"/>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975"/>
      <c r="C62" s="975"/>
      <c r="D62" s="975"/>
      <c r="E62" s="298"/>
      <c r="F62" s="975"/>
      <c r="G62" s="975"/>
      <c r="H62" s="975"/>
      <c r="I62" s="298"/>
      <c r="J62" s="975"/>
      <c r="K62" s="975"/>
      <c r="L62" s="975"/>
      <c r="M62" s="298"/>
    </row>
    <row r="63" spans="1:14" x14ac:dyDescent="0.2">
      <c r="A63" s="144"/>
      <c r="B63" s="973" t="s">
        <v>0</v>
      </c>
      <c r="C63" s="974"/>
      <c r="D63" s="978"/>
      <c r="E63" s="299"/>
      <c r="F63" s="974" t="s">
        <v>1</v>
      </c>
      <c r="G63" s="974"/>
      <c r="H63" s="974"/>
      <c r="I63" s="303"/>
      <c r="J63" s="973" t="s">
        <v>2</v>
      </c>
      <c r="K63" s="974"/>
      <c r="L63" s="974"/>
      <c r="M63" s="303"/>
    </row>
    <row r="64" spans="1:14" x14ac:dyDescent="0.2">
      <c r="A64" s="140"/>
      <c r="B64" s="152" t="s">
        <v>492</v>
      </c>
      <c r="C64" s="152" t="s">
        <v>493</v>
      </c>
      <c r="D64" s="245" t="s">
        <v>3</v>
      </c>
      <c r="E64" s="304" t="s">
        <v>29</v>
      </c>
      <c r="F64" s="152" t="s">
        <v>492</v>
      </c>
      <c r="G64" s="152" t="s">
        <v>493</v>
      </c>
      <c r="H64" s="245" t="s">
        <v>3</v>
      </c>
      <c r="I64" s="304" t="s">
        <v>29</v>
      </c>
      <c r="J64" s="152" t="s">
        <v>492</v>
      </c>
      <c r="K64" s="152" t="s">
        <v>493</v>
      </c>
      <c r="L64" s="245" t="s">
        <v>3</v>
      </c>
      <c r="M64" s="162" t="s">
        <v>29</v>
      </c>
    </row>
    <row r="65" spans="1:14" x14ac:dyDescent="0.2">
      <c r="A65" s="947"/>
      <c r="B65" s="156"/>
      <c r="C65" s="156"/>
      <c r="D65" s="246" t="s">
        <v>4</v>
      </c>
      <c r="E65" s="156" t="s">
        <v>30</v>
      </c>
      <c r="F65" s="161"/>
      <c r="G65" s="161"/>
      <c r="H65" s="245" t="s">
        <v>4</v>
      </c>
      <c r="I65" s="156" t="s">
        <v>30</v>
      </c>
      <c r="J65" s="161"/>
      <c r="K65" s="206"/>
      <c r="L65" s="156" t="s">
        <v>4</v>
      </c>
      <c r="M65" s="156" t="s">
        <v>30</v>
      </c>
    </row>
    <row r="66" spans="1:14" ht="15.75" x14ac:dyDescent="0.2">
      <c r="A66" s="14" t="s">
        <v>23</v>
      </c>
      <c r="B66" s="352">
        <v>237254</v>
      </c>
      <c r="C66" s="352">
        <v>261164</v>
      </c>
      <c r="D66" s="349">
        <f t="shared" ref="D66:D111" si="11">IF(B66=0, "    ---- ", IF(ABS(ROUND(100/B66*C66-100,1))&lt;999,ROUND(100/B66*C66-100,1),IF(ROUND(100/B66*C66-100,1)&gt;999,999,-999)))</f>
        <v>10.1</v>
      </c>
      <c r="E66" s="11">
        <f>IFERROR(100/'Skjema total MA'!C66*C66,0)</f>
        <v>2.9647517844399078</v>
      </c>
      <c r="F66" s="351">
        <v>2674037</v>
      </c>
      <c r="G66" s="351">
        <v>3040931</v>
      </c>
      <c r="H66" s="349">
        <f t="shared" ref="H66:H111" si="12">IF(F66=0, "    ---- ", IF(ABS(ROUND(100/F66*G66-100,1))&lt;999,ROUND(100/F66*G66-100,1),IF(ROUND(100/F66*G66-100,1)&gt;999,999,-999)))</f>
        <v>13.7</v>
      </c>
      <c r="I66" s="11">
        <f>IFERROR(100/'Skjema total MA'!F66*G66,0)</f>
        <v>9.4176761502175754</v>
      </c>
      <c r="J66" s="308">
        <f t="shared" ref="J66:K79" si="13">SUM(B66,F66)</f>
        <v>2911291</v>
      </c>
      <c r="K66" s="315">
        <f t="shared" si="13"/>
        <v>3302095</v>
      </c>
      <c r="L66" s="373">
        <f t="shared" ref="L66:L111" si="14">IF(J66=0, "    ---- ", IF(ABS(ROUND(100/J66*K66-100,1))&lt;999,ROUND(100/J66*K66-100,1),IF(ROUND(100/J66*K66-100,1)&gt;999,999,-999)))</f>
        <v>13.4</v>
      </c>
      <c r="M66" s="11">
        <f>IFERROR(100/'Skjema total MA'!I66*K66,0)</f>
        <v>8.0345724179095512</v>
      </c>
    </row>
    <row r="67" spans="1:14" x14ac:dyDescent="0.2">
      <c r="A67" s="367" t="s">
        <v>9</v>
      </c>
      <c r="B67" s="44">
        <v>237254</v>
      </c>
      <c r="C67" s="145">
        <v>261164</v>
      </c>
      <c r="D67" s="166">
        <f t="shared" si="11"/>
        <v>10.1</v>
      </c>
      <c r="E67" s="27">
        <f>IFERROR(100/'Skjema total MA'!C67*C67,0)</f>
        <v>3.9363828173592976</v>
      </c>
      <c r="F67" s="234"/>
      <c r="G67" s="145"/>
      <c r="H67" s="166"/>
      <c r="I67" s="27"/>
      <c r="J67" s="286">
        <f t="shared" si="13"/>
        <v>237254</v>
      </c>
      <c r="K67" s="44">
        <f t="shared" si="13"/>
        <v>261164</v>
      </c>
      <c r="L67" s="254">
        <f t="shared" si="14"/>
        <v>10.1</v>
      </c>
      <c r="M67" s="27">
        <f>IFERROR(100/'Skjema total MA'!I67*K67,0)</f>
        <v>3.9363828173592976</v>
      </c>
    </row>
    <row r="68" spans="1:14" x14ac:dyDescent="0.2">
      <c r="A68" s="21" t="s">
        <v>10</v>
      </c>
      <c r="B68" s="291"/>
      <c r="C68" s="292"/>
      <c r="D68" s="166"/>
      <c r="E68" s="27"/>
      <c r="F68" s="291">
        <v>2674037</v>
      </c>
      <c r="G68" s="292">
        <v>3040931</v>
      </c>
      <c r="H68" s="166">
        <f t="shared" si="12"/>
        <v>13.7</v>
      </c>
      <c r="I68" s="27">
        <f>IFERROR(100/'Skjema total MA'!F68*G68,0)</f>
        <v>9.5470703916306068</v>
      </c>
      <c r="J68" s="286">
        <f t="shared" si="13"/>
        <v>2674037</v>
      </c>
      <c r="K68" s="44">
        <f t="shared" si="13"/>
        <v>3040931</v>
      </c>
      <c r="L68" s="254">
        <f t="shared" si="14"/>
        <v>13.7</v>
      </c>
      <c r="M68" s="27">
        <f>IFERROR(100/'Skjema total MA'!I68*K68,0)</f>
        <v>9.5035081360163982</v>
      </c>
    </row>
    <row r="69" spans="1:14" ht="15.75" x14ac:dyDescent="0.2">
      <c r="A69" s="295" t="s">
        <v>466</v>
      </c>
      <c r="B69" s="280"/>
      <c r="C69" s="280"/>
      <c r="D69" s="166"/>
      <c r="E69" s="365"/>
      <c r="F69" s="280"/>
      <c r="G69" s="280"/>
      <c r="H69" s="166"/>
      <c r="I69" s="365"/>
      <c r="J69" s="289"/>
      <c r="K69" s="289"/>
      <c r="L69" s="166"/>
      <c r="M69" s="23"/>
    </row>
    <row r="70" spans="1:14" x14ac:dyDescent="0.2">
      <c r="A70" s="295" t="s">
        <v>12</v>
      </c>
      <c r="B70" s="293"/>
      <c r="C70" s="294"/>
      <c r="D70" s="166"/>
      <c r="E70" s="365"/>
      <c r="F70" s="280"/>
      <c r="G70" s="280"/>
      <c r="H70" s="166"/>
      <c r="I70" s="365"/>
      <c r="J70" s="289"/>
      <c r="K70" s="289"/>
      <c r="L70" s="166"/>
      <c r="M70" s="23"/>
    </row>
    <row r="71" spans="1:14" x14ac:dyDescent="0.2">
      <c r="A71" s="295" t="s">
        <v>13</v>
      </c>
      <c r="B71" s="235"/>
      <c r="C71" s="288"/>
      <c r="D71" s="166"/>
      <c r="E71" s="365"/>
      <c r="F71" s="280"/>
      <c r="G71" s="280"/>
      <c r="H71" s="166"/>
      <c r="I71" s="365"/>
      <c r="J71" s="289"/>
      <c r="K71" s="289"/>
      <c r="L71" s="166"/>
      <c r="M71" s="23"/>
    </row>
    <row r="72" spans="1:14" ht="15.75" x14ac:dyDescent="0.2">
      <c r="A72" s="295" t="s">
        <v>467</v>
      </c>
      <c r="B72" s="280"/>
      <c r="C72" s="280"/>
      <c r="D72" s="166"/>
      <c r="E72" s="365"/>
      <c r="F72" s="280">
        <v>2674037</v>
      </c>
      <c r="G72" s="280">
        <v>3040931</v>
      </c>
      <c r="H72" s="166">
        <f t="shared" ref="H72" si="15">IF(F72=0, "    ---- ", IF(ABS(ROUND(100/F72*G72-100,1))&lt;999,ROUND(100/F72*G72-100,1),IF(ROUND(100/F72*G72-100,1)&gt;999,999,-999)))</f>
        <v>13.7</v>
      </c>
      <c r="I72" s="365">
        <f>IFERROR(100/'Skjema total MA'!F72*G72,0)</f>
        <v>9.5482511517772348</v>
      </c>
      <c r="J72" s="286">
        <f t="shared" ref="J72" si="16">SUM(B72,F72)</f>
        <v>2674037</v>
      </c>
      <c r="K72" s="44">
        <f t="shared" ref="K72" si="17">SUM(C72,G72)</f>
        <v>3040931</v>
      </c>
      <c r="L72" s="254">
        <f t="shared" ref="L72" si="18">IF(J72=0, "    ---- ", IF(ABS(ROUND(100/J72*K72-100,1))&lt;999,ROUND(100/J72*K72-100,1),IF(ROUND(100/J72*K72-100,1)&gt;999,999,-999)))</f>
        <v>13.7</v>
      </c>
      <c r="M72" s="23">
        <f>IFERROR(100/'Skjema total MA'!I72*K72,0)</f>
        <v>9.508352023653341</v>
      </c>
    </row>
    <row r="73" spans="1:14" x14ac:dyDescent="0.2">
      <c r="A73" s="295" t="s">
        <v>12</v>
      </c>
      <c r="B73" s="235"/>
      <c r="C73" s="288"/>
      <c r="D73" s="166"/>
      <c r="E73" s="365"/>
      <c r="F73" s="280"/>
      <c r="G73" s="280"/>
      <c r="H73" s="166"/>
      <c r="I73" s="365"/>
      <c r="J73" s="289"/>
      <c r="K73" s="289"/>
      <c r="L73" s="166"/>
      <c r="M73" s="23"/>
    </row>
    <row r="74" spans="1:14" s="3" customFormat="1" x14ac:dyDescent="0.2">
      <c r="A74" s="295" t="s">
        <v>13</v>
      </c>
      <c r="B74" s="235"/>
      <c r="C74" s="288"/>
      <c r="D74" s="166"/>
      <c r="E74" s="365"/>
      <c r="F74" s="280">
        <v>2674037</v>
      </c>
      <c r="G74" s="280">
        <v>3040931</v>
      </c>
      <c r="H74" s="166">
        <f t="shared" ref="H74" si="19">IF(F74=0, "    ---- ", IF(ABS(ROUND(100/F74*G74-100,1))&lt;999,ROUND(100/F74*G74-100,1),IF(ROUND(100/F74*G74-100,1)&gt;999,999,-999)))</f>
        <v>13.7</v>
      </c>
      <c r="I74" s="365">
        <f>IFERROR(100/'Skjema total MA'!F74*G74,0)</f>
        <v>9.5515097344036839</v>
      </c>
      <c r="J74" s="286">
        <f t="shared" ref="J74" si="20">SUM(B74,F74)</f>
        <v>2674037</v>
      </c>
      <c r="K74" s="44">
        <f t="shared" ref="K74" si="21">SUM(C74,G74)</f>
        <v>3040931</v>
      </c>
      <c r="L74" s="254">
        <f t="shared" ref="L74" si="22">IF(J74=0, "    ---- ", IF(ABS(ROUND(100/J74*K74-100,1))&lt;999,ROUND(100/J74*K74-100,1),IF(ROUND(100/J74*K74-100,1)&gt;999,999,-999)))</f>
        <v>13.7</v>
      </c>
      <c r="M74" s="23">
        <f>IFERROR(100/'Skjema total MA'!I74*K74,0)</f>
        <v>9.5515097344036839</v>
      </c>
      <c r="N74" s="148"/>
    </row>
    <row r="75" spans="1:14" s="3" customFormat="1" x14ac:dyDescent="0.2">
      <c r="A75" s="21" t="s">
        <v>353</v>
      </c>
      <c r="B75" s="234"/>
      <c r="C75" s="145"/>
      <c r="D75" s="166"/>
      <c r="E75" s="27"/>
      <c r="F75" s="234"/>
      <c r="G75" s="145"/>
      <c r="H75" s="166"/>
      <c r="I75" s="27"/>
      <c r="J75" s="286"/>
      <c r="K75" s="44"/>
      <c r="L75" s="254"/>
      <c r="M75" s="27"/>
      <c r="N75" s="148"/>
    </row>
    <row r="76" spans="1:14" s="3" customFormat="1" x14ac:dyDescent="0.2">
      <c r="A76" s="21" t="s">
        <v>352</v>
      </c>
      <c r="B76" s="234"/>
      <c r="C76" s="145"/>
      <c r="D76" s="166"/>
      <c r="E76" s="27"/>
      <c r="F76" s="234"/>
      <c r="G76" s="145"/>
      <c r="H76" s="166"/>
      <c r="I76" s="27"/>
      <c r="J76" s="286"/>
      <c r="K76" s="44"/>
      <c r="L76" s="254"/>
      <c r="M76" s="27"/>
      <c r="N76" s="148"/>
    </row>
    <row r="77" spans="1:14" ht="15.75" x14ac:dyDescent="0.2">
      <c r="A77" s="21" t="s">
        <v>468</v>
      </c>
      <c r="B77" s="234">
        <v>237254</v>
      </c>
      <c r="C77" s="234">
        <v>261164</v>
      </c>
      <c r="D77" s="166">
        <f t="shared" si="11"/>
        <v>10.1</v>
      </c>
      <c r="E77" s="27">
        <f>IFERROR(100/'Skjema total MA'!C77*C77,0)</f>
        <v>3.9307901502462133</v>
      </c>
      <c r="F77" s="234">
        <v>2674037</v>
      </c>
      <c r="G77" s="145">
        <v>3040931</v>
      </c>
      <c r="H77" s="166">
        <f t="shared" si="12"/>
        <v>13.7</v>
      </c>
      <c r="I77" s="27">
        <f>IFERROR(100/'Skjema total MA'!F77*G77,0)</f>
        <v>9.5511326161388386</v>
      </c>
      <c r="J77" s="286">
        <f t="shared" si="13"/>
        <v>2911291</v>
      </c>
      <c r="K77" s="44">
        <f t="shared" si="13"/>
        <v>3302095</v>
      </c>
      <c r="L77" s="254">
        <f t="shared" si="14"/>
        <v>13.4</v>
      </c>
      <c r="M77" s="27">
        <f>IFERROR(100/'Skjema total MA'!I77*K77,0)</f>
        <v>8.5807722625780372</v>
      </c>
    </row>
    <row r="78" spans="1:14" x14ac:dyDescent="0.2">
      <c r="A78" s="21" t="s">
        <v>9</v>
      </c>
      <c r="B78" s="234">
        <v>237254</v>
      </c>
      <c r="C78" s="145">
        <v>261164</v>
      </c>
      <c r="D78" s="166">
        <f t="shared" si="11"/>
        <v>10.1</v>
      </c>
      <c r="E78" s="27">
        <f>IFERROR(100/'Skjema total MA'!C78*C78,0)</f>
        <v>4.016671739404754</v>
      </c>
      <c r="F78" s="234"/>
      <c r="G78" s="145"/>
      <c r="H78" s="166"/>
      <c r="I78" s="27"/>
      <c r="J78" s="286">
        <f t="shared" si="13"/>
        <v>237254</v>
      </c>
      <c r="K78" s="44">
        <f t="shared" si="13"/>
        <v>261164</v>
      </c>
      <c r="L78" s="254">
        <f t="shared" si="14"/>
        <v>10.1</v>
      </c>
      <c r="M78" s="27">
        <f>IFERROR(100/'Skjema total MA'!I78*K78,0)</f>
        <v>4.016671739404754</v>
      </c>
    </row>
    <row r="79" spans="1:14" x14ac:dyDescent="0.2">
      <c r="A79" s="21" t="s">
        <v>10</v>
      </c>
      <c r="B79" s="291"/>
      <c r="C79" s="292"/>
      <c r="D79" s="166"/>
      <c r="E79" s="27"/>
      <c r="F79" s="291">
        <v>2674037</v>
      </c>
      <c r="G79" s="292">
        <v>3040931</v>
      </c>
      <c r="H79" s="166">
        <f t="shared" si="12"/>
        <v>13.7</v>
      </c>
      <c r="I79" s="27">
        <f>IFERROR(100/'Skjema total MA'!F79*G79,0)</f>
        <v>9.5511326161388386</v>
      </c>
      <c r="J79" s="286">
        <f t="shared" si="13"/>
        <v>2674037</v>
      </c>
      <c r="K79" s="44">
        <f t="shared" si="13"/>
        <v>3040931</v>
      </c>
      <c r="L79" s="254">
        <f t="shared" si="14"/>
        <v>13.7</v>
      </c>
      <c r="M79" s="27">
        <f>IFERROR(100/'Skjema total MA'!I79*K79,0)</f>
        <v>9.5087061441203655</v>
      </c>
    </row>
    <row r="80" spans="1:14" ht="15.75" x14ac:dyDescent="0.2">
      <c r="A80" s="295" t="s">
        <v>466</v>
      </c>
      <c r="B80" s="280"/>
      <c r="C80" s="280"/>
      <c r="D80" s="166"/>
      <c r="E80" s="365"/>
      <c r="F80" s="280"/>
      <c r="G80" s="280"/>
      <c r="H80" s="166"/>
      <c r="I80" s="365"/>
      <c r="J80" s="289"/>
      <c r="K80" s="289"/>
      <c r="L80" s="166"/>
      <c r="M80" s="23"/>
    </row>
    <row r="81" spans="1:13" x14ac:dyDescent="0.2">
      <c r="A81" s="295" t="s">
        <v>12</v>
      </c>
      <c r="B81" s="235"/>
      <c r="C81" s="288"/>
      <c r="D81" s="166"/>
      <c r="E81" s="365"/>
      <c r="F81" s="280"/>
      <c r="G81" s="280"/>
      <c r="H81" s="166"/>
      <c r="I81" s="365"/>
      <c r="J81" s="289"/>
      <c r="K81" s="289"/>
      <c r="L81" s="166"/>
      <c r="M81" s="23"/>
    </row>
    <row r="82" spans="1:13" x14ac:dyDescent="0.2">
      <c r="A82" s="295" t="s">
        <v>13</v>
      </c>
      <c r="B82" s="235"/>
      <c r="C82" s="288"/>
      <c r="D82" s="166"/>
      <c r="E82" s="365"/>
      <c r="F82" s="280"/>
      <c r="G82" s="280"/>
      <c r="H82" s="166"/>
      <c r="I82" s="365"/>
      <c r="J82" s="289"/>
      <c r="K82" s="289"/>
      <c r="L82" s="166"/>
      <c r="M82" s="23"/>
    </row>
    <row r="83" spans="1:13" ht="15.75" x14ac:dyDescent="0.2">
      <c r="A83" s="295" t="s">
        <v>467</v>
      </c>
      <c r="B83" s="280"/>
      <c r="C83" s="280"/>
      <c r="D83" s="166"/>
      <c r="E83" s="365"/>
      <c r="F83" s="280">
        <v>2674037</v>
      </c>
      <c r="G83" s="280">
        <v>3040931</v>
      </c>
      <c r="H83" s="166">
        <f t="shared" si="12"/>
        <v>13.7</v>
      </c>
      <c r="I83" s="365">
        <f>IFERROR(100/'Skjema total MA'!F83*G83,0)</f>
        <v>9.5511326161388386</v>
      </c>
      <c r="J83" s="286">
        <f t="shared" ref="J83" si="23">SUM(B83,F83)</f>
        <v>2674037</v>
      </c>
      <c r="K83" s="44">
        <f t="shared" ref="K83" si="24">SUM(C83,G83)</f>
        <v>3040931</v>
      </c>
      <c r="L83" s="254">
        <f t="shared" ref="L83" si="25">IF(J83=0, "    ---- ", IF(ABS(ROUND(100/J83*K83-100,1))&lt;999,ROUND(100/J83*K83-100,1),IF(ROUND(100/J83*K83-100,1)&gt;999,999,-999)))</f>
        <v>13.7</v>
      </c>
      <c r="M83" s="23">
        <f>IFERROR(100/'Skjema total MA'!I83*K83,0)</f>
        <v>9.5087061441203655</v>
      </c>
    </row>
    <row r="84" spans="1:13" x14ac:dyDescent="0.2">
      <c r="A84" s="295" t="s">
        <v>12</v>
      </c>
      <c r="B84" s="235"/>
      <c r="C84" s="288"/>
      <c r="D84" s="166"/>
      <c r="E84" s="365"/>
      <c r="F84" s="280"/>
      <c r="G84" s="280"/>
      <c r="H84" s="166"/>
      <c r="I84" s="365"/>
      <c r="J84" s="289"/>
      <c r="K84" s="289"/>
      <c r="L84" s="166"/>
      <c r="M84" s="23"/>
    </row>
    <row r="85" spans="1:13" x14ac:dyDescent="0.2">
      <c r="A85" s="295" t="s">
        <v>13</v>
      </c>
      <c r="B85" s="235"/>
      <c r="C85" s="288"/>
      <c r="D85" s="166"/>
      <c r="E85" s="365"/>
      <c r="F85" s="280">
        <v>2674037</v>
      </c>
      <c r="G85" s="280">
        <v>3040931</v>
      </c>
      <c r="H85" s="166">
        <f t="shared" si="12"/>
        <v>13.7</v>
      </c>
      <c r="I85" s="365">
        <f>IFERROR(100/'Skjema total MA'!F85*G85,0)</f>
        <v>9.5543931661432921</v>
      </c>
      <c r="J85" s="286">
        <f t="shared" ref="J85" si="26">SUM(B85,F85)</f>
        <v>2674037</v>
      </c>
      <c r="K85" s="44">
        <f t="shared" ref="K85" si="27">SUM(C85,G85)</f>
        <v>3040931</v>
      </c>
      <c r="L85" s="254">
        <f t="shared" ref="L85" si="28">IF(J85=0, "    ---- ", IF(ABS(ROUND(100/J85*K85-100,1))&lt;999,ROUND(100/J85*K85-100,1),IF(ROUND(100/J85*K85-100,1)&gt;999,999,-999)))</f>
        <v>13.7</v>
      </c>
      <c r="M85" s="23">
        <f>IFERROR(100/'Skjema total MA'!I85*K85,0)</f>
        <v>9.5543931661432921</v>
      </c>
    </row>
    <row r="86" spans="1:13" ht="15.75" x14ac:dyDescent="0.2">
      <c r="A86" s="21" t="s">
        <v>469</v>
      </c>
      <c r="B86" s="234"/>
      <c r="C86" s="145"/>
      <c r="D86" s="166"/>
      <c r="E86" s="27"/>
      <c r="F86" s="234"/>
      <c r="G86" s="145"/>
      <c r="H86" s="166"/>
      <c r="I86" s="27"/>
      <c r="J86" s="286"/>
      <c r="K86" s="44"/>
      <c r="L86" s="254"/>
      <c r="M86" s="27"/>
    </row>
    <row r="87" spans="1:13" ht="15.75" x14ac:dyDescent="0.2">
      <c r="A87" s="13" t="s">
        <v>451</v>
      </c>
      <c r="B87" s="352">
        <v>4997815</v>
      </c>
      <c r="C87" s="352">
        <v>5269451</v>
      </c>
      <c r="D87" s="171">
        <f t="shared" si="11"/>
        <v>5.4</v>
      </c>
      <c r="E87" s="11">
        <f>IFERROR(100/'Skjema total MA'!C87*C87,0)</f>
        <v>1.3441624220118331</v>
      </c>
      <c r="F87" s="351">
        <v>22087822</v>
      </c>
      <c r="G87" s="351">
        <v>27887839</v>
      </c>
      <c r="H87" s="171">
        <f t="shared" si="12"/>
        <v>26.3</v>
      </c>
      <c r="I87" s="11">
        <f>IFERROR(100/'Skjema total MA'!F87*G87,0)</f>
        <v>8.8648361560240954</v>
      </c>
      <c r="J87" s="308">
        <f t="shared" ref="J87:K111" si="29">SUM(B87,F87)</f>
        <v>27085637</v>
      </c>
      <c r="K87" s="236">
        <f t="shared" si="29"/>
        <v>33157290</v>
      </c>
      <c r="L87" s="373">
        <f t="shared" si="14"/>
        <v>22.4</v>
      </c>
      <c r="M87" s="11">
        <f>IFERROR(100/'Skjema total MA'!I87*K87,0)</f>
        <v>4.6924169494057066</v>
      </c>
    </row>
    <row r="88" spans="1:13" x14ac:dyDescent="0.2">
      <c r="A88" s="21" t="s">
        <v>9</v>
      </c>
      <c r="B88" s="234">
        <v>4997815</v>
      </c>
      <c r="C88" s="145">
        <v>5269451</v>
      </c>
      <c r="D88" s="166">
        <f t="shared" si="11"/>
        <v>5.4</v>
      </c>
      <c r="E88" s="27">
        <f>IFERROR(100/'Skjema total MA'!C88*C88,0)</f>
        <v>1.3785521786499355</v>
      </c>
      <c r="F88" s="234"/>
      <c r="G88" s="145"/>
      <c r="H88" s="166"/>
      <c r="I88" s="27"/>
      <c r="J88" s="286">
        <f t="shared" si="29"/>
        <v>4997815</v>
      </c>
      <c r="K88" s="44">
        <f t="shared" si="29"/>
        <v>5269451</v>
      </c>
      <c r="L88" s="254">
        <f t="shared" si="14"/>
        <v>5.4</v>
      </c>
      <c r="M88" s="27">
        <f>IFERROR(100/'Skjema total MA'!I88*K88,0)</f>
        <v>1.3785521786499355</v>
      </c>
    </row>
    <row r="89" spans="1:13" x14ac:dyDescent="0.2">
      <c r="A89" s="21" t="s">
        <v>10</v>
      </c>
      <c r="B89" s="234"/>
      <c r="C89" s="145"/>
      <c r="D89" s="166"/>
      <c r="E89" s="27"/>
      <c r="F89" s="234">
        <v>22087822</v>
      </c>
      <c r="G89" s="145">
        <v>27887839</v>
      </c>
      <c r="H89" s="166">
        <f t="shared" si="12"/>
        <v>26.3</v>
      </c>
      <c r="I89" s="27">
        <f>IFERROR(100/'Skjema total MA'!F89*G89,0)</f>
        <v>8.909520220102797</v>
      </c>
      <c r="J89" s="286">
        <f t="shared" si="29"/>
        <v>22087822</v>
      </c>
      <c r="K89" s="44">
        <f t="shared" si="29"/>
        <v>27887839</v>
      </c>
      <c r="L89" s="254">
        <f t="shared" si="14"/>
        <v>26.3</v>
      </c>
      <c r="M89" s="27">
        <f>IFERROR(100/'Skjema total MA'!I89*K89,0)</f>
        <v>8.8253994707584287</v>
      </c>
    </row>
    <row r="90" spans="1:13" ht="15.75" x14ac:dyDescent="0.2">
      <c r="A90" s="295" t="s">
        <v>466</v>
      </c>
      <c r="B90" s="280"/>
      <c r="C90" s="280"/>
      <c r="D90" s="166"/>
      <c r="E90" s="365"/>
      <c r="F90" s="280"/>
      <c r="G90" s="280"/>
      <c r="H90" s="166"/>
      <c r="I90" s="365"/>
      <c r="J90" s="289"/>
      <c r="K90" s="289"/>
      <c r="L90" s="166"/>
      <c r="M90" s="23"/>
    </row>
    <row r="91" spans="1:13" x14ac:dyDescent="0.2">
      <c r="A91" s="295" t="s">
        <v>12</v>
      </c>
      <c r="B91" s="235"/>
      <c r="C91" s="288"/>
      <c r="D91" s="166"/>
      <c r="E91" s="365"/>
      <c r="F91" s="280"/>
      <c r="G91" s="280"/>
      <c r="H91" s="166"/>
      <c r="I91" s="365"/>
      <c r="J91" s="289"/>
      <c r="K91" s="289"/>
      <c r="L91" s="166"/>
      <c r="M91" s="23"/>
    </row>
    <row r="92" spans="1:13" x14ac:dyDescent="0.2">
      <c r="A92" s="295" t="s">
        <v>13</v>
      </c>
      <c r="B92" s="235"/>
      <c r="C92" s="288"/>
      <c r="D92" s="166"/>
      <c r="E92" s="365"/>
      <c r="F92" s="280"/>
      <c r="G92" s="280"/>
      <c r="H92" s="166"/>
      <c r="I92" s="365"/>
      <c r="J92" s="289"/>
      <c r="K92" s="289"/>
      <c r="L92" s="166"/>
      <c r="M92" s="23"/>
    </row>
    <row r="93" spans="1:13" ht="15.75" x14ac:dyDescent="0.2">
      <c r="A93" s="295" t="s">
        <v>467</v>
      </c>
      <c r="B93" s="280"/>
      <c r="C93" s="280"/>
      <c r="D93" s="166"/>
      <c r="E93" s="365"/>
      <c r="F93" s="280">
        <v>22087822</v>
      </c>
      <c r="G93" s="280">
        <v>27887839</v>
      </c>
      <c r="H93" s="166">
        <f t="shared" si="12"/>
        <v>26.3</v>
      </c>
      <c r="I93" s="365">
        <f>IFERROR(100/'Skjema total MA'!F93*G93,0)</f>
        <v>8.9130105652844502</v>
      </c>
      <c r="J93" s="286">
        <f t="shared" ref="J93" si="30">SUM(B93,F93)</f>
        <v>22087822</v>
      </c>
      <c r="K93" s="44">
        <f t="shared" ref="K93" si="31">SUM(C93,G93)</f>
        <v>27887839</v>
      </c>
      <c r="L93" s="254">
        <f t="shared" ref="L93" si="32">IF(J93=0, "    ---- ", IF(ABS(ROUND(100/J93*K93-100,1))&lt;999,ROUND(100/J93*K93-100,1),IF(ROUND(100/J93*K93-100,1)&gt;999,999,-999)))</f>
        <v>26.3</v>
      </c>
      <c r="M93" s="23">
        <f>IFERROR(100/'Skjema total MA'!I93*K93,0)</f>
        <v>8.8288242050454535</v>
      </c>
    </row>
    <row r="94" spans="1:13" x14ac:dyDescent="0.2">
      <c r="A94" s="295" t="s">
        <v>12</v>
      </c>
      <c r="B94" s="235"/>
      <c r="C94" s="288"/>
      <c r="D94" s="166"/>
      <c r="E94" s="365"/>
      <c r="F94" s="280"/>
      <c r="G94" s="280"/>
      <c r="H94" s="166"/>
      <c r="I94" s="365"/>
      <c r="J94" s="289"/>
      <c r="K94" s="289"/>
      <c r="L94" s="166"/>
      <c r="M94" s="23"/>
    </row>
    <row r="95" spans="1:13" x14ac:dyDescent="0.2">
      <c r="A95" s="295" t="s">
        <v>13</v>
      </c>
      <c r="B95" s="235"/>
      <c r="C95" s="288"/>
      <c r="D95" s="166"/>
      <c r="E95" s="365"/>
      <c r="F95" s="280">
        <v>22087822</v>
      </c>
      <c r="G95" s="280">
        <v>27887839</v>
      </c>
      <c r="H95" s="166">
        <f t="shared" si="12"/>
        <v>26.3</v>
      </c>
      <c r="I95" s="365">
        <f>IFERROR(100/'Skjema total MA'!F95*G95,0)</f>
        <v>8.9349390177772179</v>
      </c>
      <c r="J95" s="286">
        <f t="shared" ref="J95" si="33">SUM(B95,F95)</f>
        <v>22087822</v>
      </c>
      <c r="K95" s="44">
        <f t="shared" ref="K95" si="34">SUM(C95,G95)</f>
        <v>27887839</v>
      </c>
      <c r="L95" s="254">
        <f t="shared" ref="L95" si="35">IF(J95=0, "    ---- ", IF(ABS(ROUND(100/J95*K95-100,1))&lt;999,ROUND(100/J95*K95-100,1),IF(ROUND(100/J95*K95-100,1)&gt;999,999,-999)))</f>
        <v>26.3</v>
      </c>
      <c r="M95" s="23">
        <f>IFERROR(100/'Skjema total MA'!I95*K95,0)</f>
        <v>8.9349390177772179</v>
      </c>
    </row>
    <row r="96" spans="1:13" x14ac:dyDescent="0.2">
      <c r="A96" s="21" t="s">
        <v>351</v>
      </c>
      <c r="B96" s="234"/>
      <c r="C96" s="145"/>
      <c r="D96" s="166"/>
      <c r="E96" s="27"/>
      <c r="F96" s="234"/>
      <c r="G96" s="145"/>
      <c r="H96" s="166"/>
      <c r="I96" s="27"/>
      <c r="J96" s="286"/>
      <c r="K96" s="44"/>
      <c r="L96" s="254"/>
      <c r="M96" s="27"/>
    </row>
    <row r="97" spans="1:13" x14ac:dyDescent="0.2">
      <c r="A97" s="21" t="s">
        <v>350</v>
      </c>
      <c r="B97" s="234"/>
      <c r="C97" s="145"/>
      <c r="D97" s="166"/>
      <c r="E97" s="27"/>
      <c r="F97" s="234"/>
      <c r="G97" s="145"/>
      <c r="H97" s="166"/>
      <c r="I97" s="27"/>
      <c r="J97" s="286"/>
      <c r="K97" s="44"/>
      <c r="L97" s="254"/>
      <c r="M97" s="27"/>
    </row>
    <row r="98" spans="1:13" ht="15.75" x14ac:dyDescent="0.2">
      <c r="A98" s="21" t="s">
        <v>468</v>
      </c>
      <c r="B98" s="234">
        <v>4997815</v>
      </c>
      <c r="C98" s="234">
        <v>5269451</v>
      </c>
      <c r="D98" s="166">
        <f t="shared" si="11"/>
        <v>5.4</v>
      </c>
      <c r="E98" s="27">
        <f>IFERROR(100/'Skjema total MA'!C98*C98,0)</f>
        <v>1.3843854287932489</v>
      </c>
      <c r="F98" s="291">
        <v>22087822</v>
      </c>
      <c r="G98" s="291">
        <v>27887839</v>
      </c>
      <c r="H98" s="166">
        <f t="shared" si="12"/>
        <v>26.3</v>
      </c>
      <c r="I98" s="27">
        <f>IFERROR(100/'Skjema total MA'!F98*G98,0)</f>
        <v>8.9346805641175404</v>
      </c>
      <c r="J98" s="286">
        <f t="shared" si="29"/>
        <v>27085637</v>
      </c>
      <c r="K98" s="44">
        <f t="shared" si="29"/>
        <v>33157290</v>
      </c>
      <c r="L98" s="254">
        <f t="shared" si="14"/>
        <v>22.4</v>
      </c>
      <c r="M98" s="27">
        <f>IFERROR(100/'Skjema total MA'!I98*K98,0)</f>
        <v>4.7862254107335396</v>
      </c>
    </row>
    <row r="99" spans="1:13" x14ac:dyDescent="0.2">
      <c r="A99" s="21" t="s">
        <v>9</v>
      </c>
      <c r="B99" s="291">
        <v>4997815</v>
      </c>
      <c r="C99" s="292">
        <v>5269451</v>
      </c>
      <c r="D99" s="166">
        <f t="shared" si="11"/>
        <v>5.4</v>
      </c>
      <c r="E99" s="27">
        <f>IFERROR(100/'Skjema total MA'!C99*C99,0)</f>
        <v>1.3953223618997237</v>
      </c>
      <c r="F99" s="234"/>
      <c r="G99" s="145"/>
      <c r="H99" s="166"/>
      <c r="I99" s="27"/>
      <c r="J99" s="286">
        <f t="shared" si="29"/>
        <v>4997815</v>
      </c>
      <c r="K99" s="44">
        <f t="shared" si="29"/>
        <v>5269451</v>
      </c>
      <c r="L99" s="254">
        <f t="shared" si="14"/>
        <v>5.4</v>
      </c>
      <c r="M99" s="27">
        <f>IFERROR(100/'Skjema total MA'!I99*K99,0)</f>
        <v>1.3953223618997237</v>
      </c>
    </row>
    <row r="100" spans="1:13" x14ac:dyDescent="0.2">
      <c r="A100" s="21" t="s">
        <v>10</v>
      </c>
      <c r="B100" s="291"/>
      <c r="C100" s="292"/>
      <c r="D100" s="166"/>
      <c r="E100" s="27"/>
      <c r="F100" s="234">
        <v>22087822</v>
      </c>
      <c r="G100" s="234">
        <v>27887839</v>
      </c>
      <c r="H100" s="166">
        <f t="shared" si="12"/>
        <v>26.3</v>
      </c>
      <c r="I100" s="27">
        <f>IFERROR(100/'Skjema total MA'!F100*G100,0)</f>
        <v>8.9346805641175404</v>
      </c>
      <c r="J100" s="286">
        <f t="shared" si="29"/>
        <v>22087822</v>
      </c>
      <c r="K100" s="44">
        <f t="shared" si="29"/>
        <v>27887839</v>
      </c>
      <c r="L100" s="254">
        <f t="shared" si="14"/>
        <v>26.3</v>
      </c>
      <c r="M100" s="27">
        <f>IFERROR(100/'Skjema total MA'!I100*K100,0)</f>
        <v>8.85008627903985</v>
      </c>
    </row>
    <row r="101" spans="1:13" ht="15.75" x14ac:dyDescent="0.2">
      <c r="A101" s="295" t="s">
        <v>466</v>
      </c>
      <c r="B101" s="280"/>
      <c r="C101" s="280"/>
      <c r="D101" s="166"/>
      <c r="E101" s="365"/>
      <c r="F101" s="280"/>
      <c r="G101" s="280"/>
      <c r="H101" s="166"/>
      <c r="I101" s="365"/>
      <c r="J101" s="289"/>
      <c r="K101" s="289"/>
      <c r="L101" s="166"/>
      <c r="M101" s="23"/>
    </row>
    <row r="102" spans="1:13" x14ac:dyDescent="0.2">
      <c r="A102" s="295" t="s">
        <v>12</v>
      </c>
      <c r="B102" s="235"/>
      <c r="C102" s="288"/>
      <c r="D102" s="166"/>
      <c r="E102" s="365"/>
      <c r="F102" s="280"/>
      <c r="G102" s="280"/>
      <c r="H102" s="166"/>
      <c r="I102" s="365"/>
      <c r="J102" s="289"/>
      <c r="K102" s="289"/>
      <c r="L102" s="166"/>
      <c r="M102" s="23"/>
    </row>
    <row r="103" spans="1:13" x14ac:dyDescent="0.2">
      <c r="A103" s="295" t="s">
        <v>13</v>
      </c>
      <c r="B103" s="235"/>
      <c r="C103" s="288"/>
      <c r="D103" s="166"/>
      <c r="E103" s="365"/>
      <c r="F103" s="280"/>
      <c r="G103" s="280"/>
      <c r="H103" s="166"/>
      <c r="I103" s="365"/>
      <c r="J103" s="289"/>
      <c r="K103" s="289"/>
      <c r="L103" s="166"/>
      <c r="M103" s="23"/>
    </row>
    <row r="104" spans="1:13" ht="15.75" x14ac:dyDescent="0.2">
      <c r="A104" s="295" t="s">
        <v>467</v>
      </c>
      <c r="B104" s="280"/>
      <c r="C104" s="280"/>
      <c r="D104" s="166"/>
      <c r="E104" s="365"/>
      <c r="F104" s="280">
        <v>22087822</v>
      </c>
      <c r="G104" s="280">
        <v>27887839</v>
      </c>
      <c r="H104" s="166">
        <f t="shared" si="12"/>
        <v>26.3</v>
      </c>
      <c r="I104" s="365">
        <f>IFERROR(100/'Skjema total MA'!F104*G104,0)</f>
        <v>8.9346805641175404</v>
      </c>
      <c r="J104" s="286">
        <f t="shared" ref="J104" si="36">SUM(B104,F104)</f>
        <v>22087822</v>
      </c>
      <c r="K104" s="44">
        <f t="shared" ref="K104" si="37">SUM(C104,G104)</f>
        <v>27887839</v>
      </c>
      <c r="L104" s="254">
        <f t="shared" ref="L104" si="38">IF(J104=0, "    ---- ", IF(ABS(ROUND(100/J104*K104-100,1))&lt;999,ROUND(100/J104*K104-100,1),IF(ROUND(100/J104*K104-100,1)&gt;999,999,-999)))</f>
        <v>26.3</v>
      </c>
      <c r="M104" s="23">
        <f>IFERROR(100/'Skjema total MA'!I104*K104,0)</f>
        <v>8.85008627903985</v>
      </c>
    </row>
    <row r="105" spans="1:13" x14ac:dyDescent="0.2">
      <c r="A105" s="295" t="s">
        <v>12</v>
      </c>
      <c r="B105" s="235"/>
      <c r="C105" s="288"/>
      <c r="D105" s="166"/>
      <c r="E105" s="365"/>
      <c r="F105" s="280"/>
      <c r="G105" s="280"/>
      <c r="H105" s="166"/>
      <c r="I105" s="365"/>
      <c r="J105" s="289"/>
      <c r="K105" s="289"/>
      <c r="L105" s="166"/>
      <c r="M105" s="23"/>
    </row>
    <row r="106" spans="1:13" x14ac:dyDescent="0.2">
      <c r="A106" s="295" t="s">
        <v>13</v>
      </c>
      <c r="B106" s="235"/>
      <c r="C106" s="288"/>
      <c r="D106" s="166"/>
      <c r="E106" s="365"/>
      <c r="F106" s="280">
        <v>22087822</v>
      </c>
      <c r="G106" s="280">
        <v>27887839</v>
      </c>
      <c r="H106" s="166">
        <f t="shared" si="12"/>
        <v>26.3</v>
      </c>
      <c r="I106" s="365">
        <f>IFERROR(100/'Skjema total MA'!F106*G106,0)</f>
        <v>8.937773800369289</v>
      </c>
      <c r="J106" s="286">
        <f t="shared" ref="J106" si="39">SUM(B106,F106)</f>
        <v>22087822</v>
      </c>
      <c r="K106" s="44">
        <f t="shared" ref="K106" si="40">SUM(C106,G106)</f>
        <v>27887839</v>
      </c>
      <c r="L106" s="254">
        <f t="shared" ref="L106" si="41">IF(J106=0, "    ---- ", IF(ABS(ROUND(100/J106*K106-100,1))&lt;999,ROUND(100/J106*K106-100,1),IF(ROUND(100/J106*K106-100,1)&gt;999,999,-999)))</f>
        <v>26.3</v>
      </c>
      <c r="M106" s="23">
        <f>IFERROR(100/'Skjema total MA'!I106*K106,0)</f>
        <v>8.937773800369289</v>
      </c>
    </row>
    <row r="107" spans="1:13" ht="15.75" x14ac:dyDescent="0.2">
      <c r="A107" s="21" t="s">
        <v>469</v>
      </c>
      <c r="B107" s="234"/>
      <c r="C107" s="145"/>
      <c r="D107" s="166"/>
      <c r="E107" s="27"/>
      <c r="F107" s="234"/>
      <c r="G107" s="145"/>
      <c r="H107" s="166"/>
      <c r="I107" s="27"/>
      <c r="J107" s="286"/>
      <c r="K107" s="44"/>
      <c r="L107" s="254"/>
      <c r="M107" s="27"/>
    </row>
    <row r="108" spans="1:13" ht="15.75" x14ac:dyDescent="0.2">
      <c r="A108" s="21" t="s">
        <v>470</v>
      </c>
      <c r="B108" s="234">
        <v>4083892</v>
      </c>
      <c r="C108" s="234">
        <v>4131459</v>
      </c>
      <c r="D108" s="166">
        <f t="shared" si="11"/>
        <v>1.2</v>
      </c>
      <c r="E108" s="27">
        <f>IFERROR(100/'Skjema total MA'!C108*C108,0)</f>
        <v>1.300617600216061</v>
      </c>
      <c r="F108" s="234"/>
      <c r="G108" s="234"/>
      <c r="H108" s="166"/>
      <c r="I108" s="27"/>
      <c r="J108" s="286">
        <f t="shared" si="29"/>
        <v>4083892</v>
      </c>
      <c r="K108" s="44">
        <f t="shared" si="29"/>
        <v>4131459</v>
      </c>
      <c r="L108" s="254">
        <f t="shared" si="14"/>
        <v>1.2</v>
      </c>
      <c r="M108" s="27">
        <f>IFERROR(100/'Skjema total MA'!I108*K108,0)</f>
        <v>1.2341459975853986</v>
      </c>
    </row>
    <row r="109" spans="1:13" ht="15.75" x14ac:dyDescent="0.2">
      <c r="A109" s="21" t="s">
        <v>471</v>
      </c>
      <c r="B109" s="234"/>
      <c r="C109" s="234"/>
      <c r="D109" s="166"/>
      <c r="E109" s="27"/>
      <c r="F109" s="234">
        <v>7660602</v>
      </c>
      <c r="G109" s="234">
        <v>9796968</v>
      </c>
      <c r="H109" s="166">
        <f t="shared" si="12"/>
        <v>27.9</v>
      </c>
      <c r="I109" s="27">
        <f>IFERROR(100/'Skjema total MA'!F109*G109,0)</f>
        <v>9.1189814465434811</v>
      </c>
      <c r="J109" s="286">
        <f t="shared" si="29"/>
        <v>7660602</v>
      </c>
      <c r="K109" s="44">
        <f t="shared" si="29"/>
        <v>9796968</v>
      </c>
      <c r="L109" s="254">
        <f t="shared" si="14"/>
        <v>27.9</v>
      </c>
      <c r="M109" s="27">
        <f>IFERROR(100/'Skjema total MA'!I109*K109,0)</f>
        <v>9.038707116153315</v>
      </c>
    </row>
    <row r="110" spans="1:13" ht="15.75" x14ac:dyDescent="0.2">
      <c r="A110" s="21" t="s">
        <v>472</v>
      </c>
      <c r="B110" s="234"/>
      <c r="C110" s="234"/>
      <c r="D110" s="166"/>
      <c r="E110" s="27"/>
      <c r="F110" s="234"/>
      <c r="G110" s="234"/>
      <c r="H110" s="166"/>
      <c r="I110" s="27"/>
      <c r="J110" s="286"/>
      <c r="K110" s="44"/>
      <c r="L110" s="254"/>
      <c r="M110" s="27"/>
    </row>
    <row r="111" spans="1:13" ht="15.75" x14ac:dyDescent="0.2">
      <c r="A111" s="13" t="s">
        <v>452</v>
      </c>
      <c r="B111" s="307">
        <v>74310</v>
      </c>
      <c r="C111" s="159">
        <v>86301</v>
      </c>
      <c r="D111" s="171">
        <f t="shared" si="11"/>
        <v>16.100000000000001</v>
      </c>
      <c r="E111" s="11">
        <f>IFERROR(100/'Skjema total MA'!C111*C111,0)</f>
        <v>18.106973332917079</v>
      </c>
      <c r="F111" s="307">
        <v>1512281</v>
      </c>
      <c r="G111" s="159">
        <v>1577382</v>
      </c>
      <c r="H111" s="171">
        <f t="shared" si="12"/>
        <v>4.3</v>
      </c>
      <c r="I111" s="11">
        <f>IFERROR(100/'Skjema total MA'!F111*G111,0)</f>
        <v>11.916706615331384</v>
      </c>
      <c r="J111" s="308">
        <f t="shared" si="29"/>
        <v>1586591</v>
      </c>
      <c r="K111" s="236">
        <f t="shared" si="29"/>
        <v>1663683</v>
      </c>
      <c r="L111" s="373">
        <f t="shared" si="14"/>
        <v>4.9000000000000004</v>
      </c>
      <c r="M111" s="11">
        <f>IFERROR(100/'Skjema total MA'!I111*K111,0)</f>
        <v>12.131853925816902</v>
      </c>
    </row>
    <row r="112" spans="1:13" x14ac:dyDescent="0.2">
      <c r="A112" s="21" t="s">
        <v>9</v>
      </c>
      <c r="B112" s="234">
        <v>74310</v>
      </c>
      <c r="C112" s="145">
        <v>86301</v>
      </c>
      <c r="D112" s="166">
        <f t="shared" ref="D112:D120" si="42">IF(B112=0, "    ---- ", IF(ABS(ROUND(100/B112*C112-100,1))&lt;999,ROUND(100/B112*C112-100,1),IF(ROUND(100/B112*C112-100,1)&gt;999,999,-999)))</f>
        <v>16.100000000000001</v>
      </c>
      <c r="E112" s="27">
        <f>IFERROR(100/'Skjema total MA'!C112*C112,0)</f>
        <v>23.87776385033218</v>
      </c>
      <c r="F112" s="234"/>
      <c r="G112" s="145"/>
      <c r="H112" s="166"/>
      <c r="I112" s="27"/>
      <c r="J112" s="286">
        <f t="shared" ref="J112:K125" si="43">SUM(B112,F112)</f>
        <v>74310</v>
      </c>
      <c r="K112" s="44">
        <f t="shared" si="43"/>
        <v>86301</v>
      </c>
      <c r="L112" s="254">
        <f t="shared" ref="L112:L125" si="44">IF(J112=0, "    ---- ", IF(ABS(ROUND(100/J112*K112-100,1))&lt;999,ROUND(100/J112*K112-100,1),IF(ROUND(100/J112*K112-100,1)&gt;999,999,-999)))</f>
        <v>16.100000000000001</v>
      </c>
      <c r="M112" s="27">
        <f>IFERROR(100/'Skjema total MA'!I112*K112,0)</f>
        <v>23.488493115428156</v>
      </c>
    </row>
    <row r="113" spans="1:14" x14ac:dyDescent="0.2">
      <c r="A113" s="21" t="s">
        <v>10</v>
      </c>
      <c r="B113" s="234"/>
      <c r="C113" s="145"/>
      <c r="D113" s="166"/>
      <c r="E113" s="27"/>
      <c r="F113" s="234">
        <v>1512281</v>
      </c>
      <c r="G113" s="145">
        <v>1577382</v>
      </c>
      <c r="H113" s="166">
        <f t="shared" ref="H113:H125" si="45">IF(F113=0, "    ---- ", IF(ABS(ROUND(100/F113*G113-100,1))&lt;999,ROUND(100/F113*G113-100,1),IF(ROUND(100/F113*G113-100,1)&gt;999,999,-999)))</f>
        <v>4.3</v>
      </c>
      <c r="I113" s="27">
        <f>IFERROR(100/'Skjema total MA'!F113*G113,0)</f>
        <v>11.950533005942672</v>
      </c>
      <c r="J113" s="286">
        <f t="shared" si="43"/>
        <v>1512281</v>
      </c>
      <c r="K113" s="44">
        <f t="shared" si="43"/>
        <v>1577382</v>
      </c>
      <c r="L113" s="254">
        <f t="shared" si="44"/>
        <v>4.3</v>
      </c>
      <c r="M113" s="27">
        <f>IFERROR(100/'Skjema total MA'!I113*K113,0)</f>
        <v>11.948937381885418</v>
      </c>
    </row>
    <row r="114" spans="1:14" x14ac:dyDescent="0.2">
      <c r="A114" s="21" t="s">
        <v>26</v>
      </c>
      <c r="B114" s="234"/>
      <c r="C114" s="145"/>
      <c r="D114" s="166"/>
      <c r="E114" s="27"/>
      <c r="F114" s="234"/>
      <c r="G114" s="145"/>
      <c r="H114" s="166"/>
      <c r="I114" s="27"/>
      <c r="J114" s="286"/>
      <c r="K114" s="44"/>
      <c r="L114" s="254"/>
      <c r="M114" s="27"/>
    </row>
    <row r="115" spans="1:14" x14ac:dyDescent="0.2">
      <c r="A115" s="295" t="s">
        <v>15</v>
      </c>
      <c r="B115" s="280"/>
      <c r="C115" s="280"/>
      <c r="D115" s="166"/>
      <c r="E115" s="365"/>
      <c r="F115" s="280"/>
      <c r="G115" s="280"/>
      <c r="H115" s="166"/>
      <c r="I115" s="365"/>
      <c r="J115" s="289"/>
      <c r="K115" s="289"/>
      <c r="L115" s="166"/>
      <c r="M115" s="23"/>
    </row>
    <row r="116" spans="1:14" ht="15.75" x14ac:dyDescent="0.2">
      <c r="A116" s="21" t="s">
        <v>473</v>
      </c>
      <c r="B116" s="234">
        <v>20833</v>
      </c>
      <c r="C116" s="234">
        <v>19463</v>
      </c>
      <c r="D116" s="166">
        <f t="shared" si="42"/>
        <v>-6.6</v>
      </c>
      <c r="E116" s="27">
        <f>IFERROR(100/'Skjema total MA'!C116*C116,0)</f>
        <v>14.741181965009831</v>
      </c>
      <c r="F116" s="234"/>
      <c r="G116" s="234"/>
      <c r="H116" s="166"/>
      <c r="I116" s="27"/>
      <c r="J116" s="286">
        <f t="shared" si="43"/>
        <v>20833</v>
      </c>
      <c r="K116" s="44">
        <f t="shared" si="43"/>
        <v>19463</v>
      </c>
      <c r="L116" s="254">
        <f t="shared" si="44"/>
        <v>-6.6</v>
      </c>
      <c r="M116" s="27">
        <f>IFERROR(100/'Skjema total MA'!I116*K116,0)</f>
        <v>14.101440108698048</v>
      </c>
    </row>
    <row r="117" spans="1:14" ht="15.75" x14ac:dyDescent="0.2">
      <c r="A117" s="21" t="s">
        <v>474</v>
      </c>
      <c r="B117" s="234"/>
      <c r="C117" s="234"/>
      <c r="D117" s="166"/>
      <c r="E117" s="27"/>
      <c r="F117" s="234">
        <v>198433</v>
      </c>
      <c r="G117" s="234">
        <v>219366</v>
      </c>
      <c r="H117" s="166">
        <f t="shared" si="45"/>
        <v>10.5</v>
      </c>
      <c r="I117" s="27">
        <f>IFERROR(100/'Skjema total MA'!F117*G117,0)</f>
        <v>6.9992911612271183</v>
      </c>
      <c r="J117" s="286">
        <f t="shared" si="43"/>
        <v>198433</v>
      </c>
      <c r="K117" s="44">
        <f t="shared" si="43"/>
        <v>219366</v>
      </c>
      <c r="L117" s="254">
        <f t="shared" si="44"/>
        <v>10.5</v>
      </c>
      <c r="M117" s="27">
        <f>IFERROR(100/'Skjema total MA'!I117*K117,0)</f>
        <v>6.9992911612271183</v>
      </c>
    </row>
    <row r="118" spans="1:14" ht="15.75" x14ac:dyDescent="0.2">
      <c r="A118" s="21" t="s">
        <v>472</v>
      </c>
      <c r="B118" s="234"/>
      <c r="C118" s="234"/>
      <c r="D118" s="166"/>
      <c r="E118" s="27"/>
      <c r="F118" s="234"/>
      <c r="G118" s="234"/>
      <c r="H118" s="166"/>
      <c r="I118" s="27"/>
      <c r="J118" s="286"/>
      <c r="K118" s="44"/>
      <c r="L118" s="254"/>
      <c r="M118" s="27"/>
    </row>
    <row r="119" spans="1:14" ht="15.75" x14ac:dyDescent="0.2">
      <c r="A119" s="13" t="s">
        <v>453</v>
      </c>
      <c r="B119" s="307">
        <v>18424</v>
      </c>
      <c r="C119" s="159">
        <v>46017</v>
      </c>
      <c r="D119" s="171">
        <f t="shared" si="42"/>
        <v>149.80000000000001</v>
      </c>
      <c r="E119" s="11">
        <f>IFERROR(100/'Skjema total MA'!C119*C119,0)</f>
        <v>9.3592145893993806</v>
      </c>
      <c r="F119" s="307">
        <v>1234200</v>
      </c>
      <c r="G119" s="159">
        <v>2046290</v>
      </c>
      <c r="H119" s="171">
        <f t="shared" si="45"/>
        <v>65.8</v>
      </c>
      <c r="I119" s="11">
        <f>IFERROR(100/'Skjema total MA'!F119*G119,0)</f>
        <v>15.090370133918308</v>
      </c>
      <c r="J119" s="308">
        <f t="shared" si="43"/>
        <v>1252624</v>
      </c>
      <c r="K119" s="236">
        <f t="shared" si="43"/>
        <v>2092307</v>
      </c>
      <c r="L119" s="373">
        <f t="shared" si="44"/>
        <v>67</v>
      </c>
      <c r="M119" s="11">
        <f>IFERROR(100/'Skjema total MA'!I119*K119,0)</f>
        <v>14.88983723365277</v>
      </c>
    </row>
    <row r="120" spans="1:14" x14ac:dyDescent="0.2">
      <c r="A120" s="21" t="s">
        <v>9</v>
      </c>
      <c r="B120" s="234">
        <v>18424</v>
      </c>
      <c r="C120" s="145">
        <v>46017</v>
      </c>
      <c r="D120" s="166">
        <f t="shared" si="42"/>
        <v>149.80000000000001</v>
      </c>
      <c r="E120" s="27">
        <f>IFERROR(100/'Skjema total MA'!C120*C120,0)</f>
        <v>16.315092756377631</v>
      </c>
      <c r="F120" s="234"/>
      <c r="G120" s="145"/>
      <c r="H120" s="166"/>
      <c r="I120" s="27"/>
      <c r="J120" s="286">
        <f t="shared" si="43"/>
        <v>18424</v>
      </c>
      <c r="K120" s="44">
        <f t="shared" si="43"/>
        <v>46017</v>
      </c>
      <c r="L120" s="254">
        <f t="shared" si="44"/>
        <v>149.80000000000001</v>
      </c>
      <c r="M120" s="27">
        <f>IFERROR(100/'Skjema total MA'!I120*K120,0)</f>
        <v>16.315092756377631</v>
      </c>
    </row>
    <row r="121" spans="1:14" x14ac:dyDescent="0.2">
      <c r="A121" s="21" t="s">
        <v>10</v>
      </c>
      <c r="B121" s="234"/>
      <c r="C121" s="145"/>
      <c r="D121" s="166"/>
      <c r="E121" s="27"/>
      <c r="F121" s="234">
        <v>1234200</v>
      </c>
      <c r="G121" s="145">
        <v>2046290</v>
      </c>
      <c r="H121" s="166">
        <f t="shared" si="45"/>
        <v>65.8</v>
      </c>
      <c r="I121" s="27">
        <f>IFERROR(100/'Skjema total MA'!F121*G121,0)</f>
        <v>15.090370133918308</v>
      </c>
      <c r="J121" s="286">
        <f t="shared" si="43"/>
        <v>1234200</v>
      </c>
      <c r="K121" s="44">
        <f t="shared" si="43"/>
        <v>2046290</v>
      </c>
      <c r="L121" s="254">
        <f t="shared" si="44"/>
        <v>65.8</v>
      </c>
      <c r="M121" s="27">
        <f>IFERROR(100/'Skjema total MA'!I121*K121,0)</f>
        <v>15.046926682819061</v>
      </c>
    </row>
    <row r="122" spans="1:14" x14ac:dyDescent="0.2">
      <c r="A122" s="21" t="s">
        <v>26</v>
      </c>
      <c r="B122" s="234"/>
      <c r="C122" s="145"/>
      <c r="D122" s="166"/>
      <c r="E122" s="27"/>
      <c r="F122" s="234"/>
      <c r="G122" s="145"/>
      <c r="H122" s="166"/>
      <c r="I122" s="27"/>
      <c r="J122" s="286"/>
      <c r="K122" s="44"/>
      <c r="L122" s="254"/>
      <c r="M122" s="27"/>
    </row>
    <row r="123" spans="1:14" x14ac:dyDescent="0.2">
      <c r="A123" s="295" t="s">
        <v>14</v>
      </c>
      <c r="B123" s="280"/>
      <c r="C123" s="280"/>
      <c r="D123" s="166"/>
      <c r="E123" s="365"/>
      <c r="F123" s="280"/>
      <c r="G123" s="280"/>
      <c r="H123" s="166"/>
      <c r="I123" s="365"/>
      <c r="J123" s="289"/>
      <c r="K123" s="289"/>
      <c r="L123" s="166"/>
      <c r="M123" s="23"/>
    </row>
    <row r="124" spans="1:14" ht="15.75" x14ac:dyDescent="0.2">
      <c r="A124" s="21" t="s">
        <v>479</v>
      </c>
      <c r="B124" s="234"/>
      <c r="C124" s="234"/>
      <c r="D124" s="166"/>
      <c r="E124" s="27"/>
      <c r="F124" s="234"/>
      <c r="G124" s="234"/>
      <c r="H124" s="166"/>
      <c r="I124" s="27"/>
      <c r="J124" s="286"/>
      <c r="K124" s="44"/>
      <c r="L124" s="254"/>
      <c r="M124" s="27"/>
    </row>
    <row r="125" spans="1:14" ht="15.75" x14ac:dyDescent="0.2">
      <c r="A125" s="21" t="s">
        <v>471</v>
      </c>
      <c r="B125" s="234"/>
      <c r="C125" s="234"/>
      <c r="D125" s="166"/>
      <c r="E125" s="27"/>
      <c r="F125" s="234">
        <v>264382</v>
      </c>
      <c r="G125" s="234">
        <v>605857</v>
      </c>
      <c r="H125" s="166">
        <f t="shared" si="45"/>
        <v>129.19999999999999</v>
      </c>
      <c r="I125" s="27">
        <f>IFERROR(100/'Skjema total MA'!F125*G125,0)</f>
        <v>19.465614181988471</v>
      </c>
      <c r="J125" s="286">
        <f t="shared" si="43"/>
        <v>264382</v>
      </c>
      <c r="K125" s="44">
        <f t="shared" si="43"/>
        <v>605857</v>
      </c>
      <c r="L125" s="254">
        <f t="shared" si="44"/>
        <v>129.19999999999999</v>
      </c>
      <c r="M125" s="27">
        <f>IFERROR(100/'Skjema total MA'!I125*K125,0)</f>
        <v>19.443127482559422</v>
      </c>
    </row>
    <row r="126" spans="1:14" ht="15.75" x14ac:dyDescent="0.2">
      <c r="A126" s="10" t="s">
        <v>472</v>
      </c>
      <c r="B126" s="45"/>
      <c r="C126" s="45"/>
      <c r="D126" s="167"/>
      <c r="E126" s="366"/>
      <c r="F126" s="45"/>
      <c r="G126" s="45"/>
      <c r="H126" s="167"/>
      <c r="I126" s="22"/>
      <c r="J126" s="287"/>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975"/>
      <c r="C130" s="975"/>
      <c r="D130" s="975"/>
      <c r="E130" s="298"/>
      <c r="F130" s="975"/>
      <c r="G130" s="975"/>
      <c r="H130" s="975"/>
      <c r="I130" s="298"/>
      <c r="J130" s="975"/>
      <c r="K130" s="975"/>
      <c r="L130" s="975"/>
      <c r="M130" s="298"/>
    </row>
    <row r="131" spans="1:14" s="3" customFormat="1" x14ac:dyDescent="0.2">
      <c r="A131" s="144"/>
      <c r="B131" s="973" t="s">
        <v>0</v>
      </c>
      <c r="C131" s="974"/>
      <c r="D131" s="974"/>
      <c r="E131" s="300"/>
      <c r="F131" s="973" t="s">
        <v>1</v>
      </c>
      <c r="G131" s="974"/>
      <c r="H131" s="974"/>
      <c r="I131" s="303"/>
      <c r="J131" s="973" t="s">
        <v>2</v>
      </c>
      <c r="K131" s="974"/>
      <c r="L131" s="974"/>
      <c r="M131" s="303"/>
      <c r="N131" s="148"/>
    </row>
    <row r="132" spans="1:14" s="3" customFormat="1" x14ac:dyDescent="0.2">
      <c r="A132" s="140"/>
      <c r="B132" s="152" t="s">
        <v>492</v>
      </c>
      <c r="C132" s="152" t="s">
        <v>493</v>
      </c>
      <c r="D132" s="245" t="s">
        <v>3</v>
      </c>
      <c r="E132" s="304" t="s">
        <v>29</v>
      </c>
      <c r="F132" s="152" t="s">
        <v>492</v>
      </c>
      <c r="G132" s="152" t="s">
        <v>493</v>
      </c>
      <c r="H132" s="206" t="s">
        <v>3</v>
      </c>
      <c r="I132" s="162" t="s">
        <v>29</v>
      </c>
      <c r="J132" s="152" t="s">
        <v>492</v>
      </c>
      <c r="K132" s="152" t="s">
        <v>493</v>
      </c>
      <c r="L132" s="246" t="s">
        <v>3</v>
      </c>
      <c r="M132" s="162" t="s">
        <v>29</v>
      </c>
      <c r="N132" s="148"/>
    </row>
    <row r="133" spans="1:14" s="3" customFormat="1" x14ac:dyDescent="0.2">
      <c r="A133" s="947"/>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475</v>
      </c>
      <c r="B134" s="236"/>
      <c r="C134" s="308"/>
      <c r="D134" s="349"/>
      <c r="E134" s="11"/>
      <c r="F134" s="315"/>
      <c r="G134" s="316"/>
      <c r="H134" s="376"/>
      <c r="I134" s="24"/>
      <c r="J134" s="317"/>
      <c r="K134" s="317"/>
      <c r="L134" s="372"/>
      <c r="M134" s="11"/>
      <c r="N134" s="148"/>
    </row>
    <row r="135" spans="1:14" s="3" customFormat="1" ht="15.75" x14ac:dyDescent="0.2">
      <c r="A135" s="13" t="s">
        <v>480</v>
      </c>
      <c r="B135" s="236"/>
      <c r="C135" s="308"/>
      <c r="D135" s="171"/>
      <c r="E135" s="11"/>
      <c r="F135" s="236"/>
      <c r="G135" s="308"/>
      <c r="H135" s="377"/>
      <c r="I135" s="24"/>
      <c r="J135" s="307"/>
      <c r="K135" s="307"/>
      <c r="L135" s="373"/>
      <c r="M135" s="11"/>
      <c r="N135" s="148"/>
    </row>
    <row r="136" spans="1:14" s="3" customFormat="1" ht="15.75" x14ac:dyDescent="0.2">
      <c r="A136" s="13" t="s">
        <v>477</v>
      </c>
      <c r="B136" s="236"/>
      <c r="C136" s="308"/>
      <c r="D136" s="171"/>
      <c r="E136" s="11"/>
      <c r="F136" s="236"/>
      <c r="G136" s="308"/>
      <c r="H136" s="377"/>
      <c r="I136" s="24"/>
      <c r="J136" s="307"/>
      <c r="K136" s="307"/>
      <c r="L136" s="373"/>
      <c r="M136" s="11"/>
      <c r="N136" s="148"/>
    </row>
    <row r="137" spans="1:14" s="3" customFormat="1" ht="15.75" x14ac:dyDescent="0.2">
      <c r="A137" s="41" t="s">
        <v>478</v>
      </c>
      <c r="B137" s="275"/>
      <c r="C137" s="314"/>
      <c r="D137" s="169"/>
      <c r="E137" s="9"/>
      <c r="F137" s="275"/>
      <c r="G137" s="314"/>
      <c r="H137" s="378"/>
      <c r="I137" s="36"/>
      <c r="J137" s="313"/>
      <c r="K137" s="313"/>
      <c r="L137" s="374"/>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095" priority="132">
      <formula>kvartal &lt; 4</formula>
    </cfRule>
  </conditionalFormatting>
  <conditionalFormatting sqref="B69">
    <cfRule type="expression" dxfId="1094" priority="100">
      <formula>kvartal &lt; 4</formula>
    </cfRule>
  </conditionalFormatting>
  <conditionalFormatting sqref="C69">
    <cfRule type="expression" dxfId="1093" priority="99">
      <formula>kvartal &lt; 4</formula>
    </cfRule>
  </conditionalFormatting>
  <conditionalFormatting sqref="B72">
    <cfRule type="expression" dxfId="1092" priority="98">
      <formula>kvartal &lt; 4</formula>
    </cfRule>
  </conditionalFormatting>
  <conditionalFormatting sqref="C72">
    <cfRule type="expression" dxfId="1091" priority="97">
      <formula>kvartal &lt; 4</formula>
    </cfRule>
  </conditionalFormatting>
  <conditionalFormatting sqref="B80">
    <cfRule type="expression" dxfId="1090" priority="96">
      <formula>kvartal &lt; 4</formula>
    </cfRule>
  </conditionalFormatting>
  <conditionalFormatting sqref="C80">
    <cfRule type="expression" dxfId="1089" priority="95">
      <formula>kvartal &lt; 4</formula>
    </cfRule>
  </conditionalFormatting>
  <conditionalFormatting sqref="B83">
    <cfRule type="expression" dxfId="1088" priority="94">
      <formula>kvartal &lt; 4</formula>
    </cfRule>
  </conditionalFormatting>
  <conditionalFormatting sqref="C83">
    <cfRule type="expression" dxfId="1087" priority="93">
      <formula>kvartal &lt; 4</formula>
    </cfRule>
  </conditionalFormatting>
  <conditionalFormatting sqref="B90">
    <cfRule type="expression" dxfId="1086" priority="84">
      <formula>kvartal &lt; 4</formula>
    </cfRule>
  </conditionalFormatting>
  <conditionalFormatting sqref="C90">
    <cfRule type="expression" dxfId="1085" priority="83">
      <formula>kvartal &lt; 4</formula>
    </cfRule>
  </conditionalFormatting>
  <conditionalFormatting sqref="B93">
    <cfRule type="expression" dxfId="1084" priority="82">
      <formula>kvartal &lt; 4</formula>
    </cfRule>
  </conditionalFormatting>
  <conditionalFormatting sqref="C93">
    <cfRule type="expression" dxfId="1083" priority="81">
      <formula>kvartal &lt; 4</formula>
    </cfRule>
  </conditionalFormatting>
  <conditionalFormatting sqref="B101">
    <cfRule type="expression" dxfId="1082" priority="80">
      <formula>kvartal &lt; 4</formula>
    </cfRule>
  </conditionalFormatting>
  <conditionalFormatting sqref="C101">
    <cfRule type="expression" dxfId="1081" priority="79">
      <formula>kvartal &lt; 4</formula>
    </cfRule>
  </conditionalFormatting>
  <conditionalFormatting sqref="B104">
    <cfRule type="expression" dxfId="1080" priority="78">
      <formula>kvartal &lt; 4</formula>
    </cfRule>
  </conditionalFormatting>
  <conditionalFormatting sqref="C104">
    <cfRule type="expression" dxfId="1079" priority="77">
      <formula>kvartal &lt; 4</formula>
    </cfRule>
  </conditionalFormatting>
  <conditionalFormatting sqref="B115">
    <cfRule type="expression" dxfId="1078" priority="76">
      <formula>kvartal &lt; 4</formula>
    </cfRule>
  </conditionalFormatting>
  <conditionalFormatting sqref="C115">
    <cfRule type="expression" dxfId="1077" priority="75">
      <formula>kvartal &lt; 4</formula>
    </cfRule>
  </conditionalFormatting>
  <conditionalFormatting sqref="B123">
    <cfRule type="expression" dxfId="1076" priority="74">
      <formula>kvartal &lt; 4</formula>
    </cfRule>
  </conditionalFormatting>
  <conditionalFormatting sqref="C123">
    <cfRule type="expression" dxfId="1075" priority="73">
      <formula>kvartal &lt; 4</formula>
    </cfRule>
  </conditionalFormatting>
  <conditionalFormatting sqref="F70">
    <cfRule type="expression" dxfId="1074" priority="72">
      <formula>kvartal &lt; 4</formula>
    </cfRule>
  </conditionalFormatting>
  <conditionalFormatting sqref="G70">
    <cfRule type="expression" dxfId="1073" priority="71">
      <formula>kvartal &lt; 4</formula>
    </cfRule>
  </conditionalFormatting>
  <conditionalFormatting sqref="F71:G71">
    <cfRule type="expression" dxfId="1072" priority="70">
      <formula>kvartal &lt; 4</formula>
    </cfRule>
  </conditionalFormatting>
  <conditionalFormatting sqref="F73:G74">
    <cfRule type="expression" dxfId="1071" priority="69">
      <formula>kvartal &lt; 4</formula>
    </cfRule>
  </conditionalFormatting>
  <conditionalFormatting sqref="F81:G82">
    <cfRule type="expression" dxfId="1070" priority="68">
      <formula>kvartal &lt; 4</formula>
    </cfRule>
  </conditionalFormatting>
  <conditionalFormatting sqref="F84:G85">
    <cfRule type="expression" dxfId="1069" priority="67">
      <formula>kvartal &lt; 4</formula>
    </cfRule>
  </conditionalFormatting>
  <conditionalFormatting sqref="F91:G92">
    <cfRule type="expression" dxfId="1068" priority="62">
      <formula>kvartal &lt; 4</formula>
    </cfRule>
  </conditionalFormatting>
  <conditionalFormatting sqref="F94:G95">
    <cfRule type="expression" dxfId="1067" priority="61">
      <formula>kvartal &lt; 4</formula>
    </cfRule>
  </conditionalFormatting>
  <conditionalFormatting sqref="F102:G103">
    <cfRule type="expression" dxfId="1066" priority="60">
      <formula>kvartal &lt; 4</formula>
    </cfRule>
  </conditionalFormatting>
  <conditionalFormatting sqref="F105:G106">
    <cfRule type="expression" dxfId="1065" priority="59">
      <formula>kvartal &lt; 4</formula>
    </cfRule>
  </conditionalFormatting>
  <conditionalFormatting sqref="F115">
    <cfRule type="expression" dxfId="1064" priority="58">
      <formula>kvartal &lt; 4</formula>
    </cfRule>
  </conditionalFormatting>
  <conditionalFormatting sqref="G115">
    <cfRule type="expression" dxfId="1063" priority="57">
      <formula>kvartal &lt; 4</formula>
    </cfRule>
  </conditionalFormatting>
  <conditionalFormatting sqref="F123:G123">
    <cfRule type="expression" dxfId="1062" priority="56">
      <formula>kvartal &lt; 4</formula>
    </cfRule>
  </conditionalFormatting>
  <conditionalFormatting sqref="F69:G69">
    <cfRule type="expression" dxfId="1061" priority="55">
      <formula>kvartal &lt; 4</formula>
    </cfRule>
  </conditionalFormatting>
  <conditionalFormatting sqref="F72:G72">
    <cfRule type="expression" dxfId="1060" priority="54">
      <formula>kvartal &lt; 4</formula>
    </cfRule>
  </conditionalFormatting>
  <conditionalFormatting sqref="F80:G80">
    <cfRule type="expression" dxfId="1059" priority="53">
      <formula>kvartal &lt; 4</formula>
    </cfRule>
  </conditionalFormatting>
  <conditionalFormatting sqref="F83:G83">
    <cfRule type="expression" dxfId="1058" priority="52">
      <formula>kvartal &lt; 4</formula>
    </cfRule>
  </conditionalFormatting>
  <conditionalFormatting sqref="F90:G90">
    <cfRule type="expression" dxfId="1057" priority="46">
      <formula>kvartal &lt; 4</formula>
    </cfRule>
  </conditionalFormatting>
  <conditionalFormatting sqref="F93">
    <cfRule type="expression" dxfId="1056" priority="45">
      <formula>kvartal &lt; 4</formula>
    </cfRule>
  </conditionalFormatting>
  <conditionalFormatting sqref="G93">
    <cfRule type="expression" dxfId="1055" priority="44">
      <formula>kvartal &lt; 4</formula>
    </cfRule>
  </conditionalFormatting>
  <conditionalFormatting sqref="F101">
    <cfRule type="expression" dxfId="1054" priority="43">
      <formula>kvartal &lt; 4</formula>
    </cfRule>
  </conditionalFormatting>
  <conditionalFormatting sqref="G101">
    <cfRule type="expression" dxfId="1053" priority="42">
      <formula>kvartal &lt; 4</formula>
    </cfRule>
  </conditionalFormatting>
  <conditionalFormatting sqref="G104">
    <cfRule type="expression" dxfId="1052" priority="41">
      <formula>kvartal &lt; 4</formula>
    </cfRule>
  </conditionalFormatting>
  <conditionalFormatting sqref="F104">
    <cfRule type="expression" dxfId="1051" priority="40">
      <formula>kvartal &lt; 4</formula>
    </cfRule>
  </conditionalFormatting>
  <conditionalFormatting sqref="J69:K71 J73:K73">
    <cfRule type="expression" dxfId="1050" priority="39">
      <formula>kvartal &lt; 4</formula>
    </cfRule>
  </conditionalFormatting>
  <conditionalFormatting sqref="J80:K82 J84:K84">
    <cfRule type="expression" dxfId="1049" priority="37">
      <formula>kvartal &lt; 4</formula>
    </cfRule>
  </conditionalFormatting>
  <conditionalFormatting sqref="J90:K92 J94:K94">
    <cfRule type="expression" dxfId="1048" priority="34">
      <formula>kvartal &lt; 4</formula>
    </cfRule>
  </conditionalFormatting>
  <conditionalFormatting sqref="J101:K103 J105:K105">
    <cfRule type="expression" dxfId="1047" priority="33">
      <formula>kvartal &lt; 4</formula>
    </cfRule>
  </conditionalFormatting>
  <conditionalFormatting sqref="J115:K115">
    <cfRule type="expression" dxfId="1046" priority="32">
      <formula>kvartal &lt; 4</formula>
    </cfRule>
  </conditionalFormatting>
  <conditionalFormatting sqref="J123:K123">
    <cfRule type="expression" dxfId="1045" priority="31">
      <formula>kvartal &lt; 4</formula>
    </cfRule>
  </conditionalFormatting>
  <conditionalFormatting sqref="A50:A52">
    <cfRule type="expression" dxfId="1044" priority="12">
      <formula>kvartal &lt; 4</formula>
    </cfRule>
  </conditionalFormatting>
  <conditionalFormatting sqref="A69:A74">
    <cfRule type="expression" dxfId="1043" priority="10">
      <formula>kvartal &lt; 4</formula>
    </cfRule>
  </conditionalFormatting>
  <conditionalFormatting sqref="A80:A85">
    <cfRule type="expression" dxfId="1042" priority="9">
      <formula>kvartal &lt; 4</formula>
    </cfRule>
  </conditionalFormatting>
  <conditionalFormatting sqref="A90:A95">
    <cfRule type="expression" dxfId="1041" priority="6">
      <formula>kvartal &lt; 4</formula>
    </cfRule>
  </conditionalFormatting>
  <conditionalFormatting sqref="A101:A106">
    <cfRule type="expression" dxfId="1040" priority="5">
      <formula>kvartal &lt; 4</formula>
    </cfRule>
  </conditionalFormatting>
  <conditionalFormatting sqref="A115">
    <cfRule type="expression" dxfId="1039" priority="4">
      <formula>kvartal &lt; 4</formula>
    </cfRule>
  </conditionalFormatting>
  <conditionalFormatting sqref="A123">
    <cfRule type="expression" dxfId="1038" priority="3">
      <formula>kvartal &lt; 4</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N144"/>
  <sheetViews>
    <sheetView showGridLines="0" zoomScaleNormal="100" workbookViewId="0">
      <selection activeCell="A4" sqref="A4"/>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139</v>
      </c>
      <c r="B1" s="945"/>
      <c r="C1" s="248" t="s">
        <v>93</v>
      </c>
      <c r="D1" s="26"/>
      <c r="E1" s="26"/>
      <c r="F1" s="26"/>
      <c r="G1" s="26"/>
      <c r="H1" s="26"/>
      <c r="I1" s="26"/>
      <c r="J1" s="26"/>
      <c r="K1" s="26"/>
      <c r="L1" s="26"/>
      <c r="M1" s="26"/>
    </row>
    <row r="2" spans="1:14" ht="15.75" x14ac:dyDescent="0.25">
      <c r="A2" s="165" t="s">
        <v>28</v>
      </c>
      <c r="B2" s="972"/>
      <c r="C2" s="972"/>
      <c r="D2" s="972"/>
      <c r="E2" s="298"/>
      <c r="F2" s="972"/>
      <c r="G2" s="972"/>
      <c r="H2" s="972"/>
      <c r="I2" s="298"/>
      <c r="J2" s="972"/>
      <c r="K2" s="972"/>
      <c r="L2" s="972"/>
      <c r="M2" s="298"/>
    </row>
    <row r="3" spans="1:14" ht="15.75" x14ac:dyDescent="0.25">
      <c r="A3" s="163"/>
      <c r="B3" s="298"/>
      <c r="C3" s="298"/>
      <c r="D3" s="298"/>
      <c r="E3" s="298"/>
      <c r="F3" s="298"/>
      <c r="G3" s="298"/>
      <c r="H3" s="298"/>
      <c r="I3" s="298"/>
      <c r="J3" s="298"/>
      <c r="K3" s="298"/>
      <c r="L3" s="298"/>
      <c r="M3" s="298"/>
    </row>
    <row r="4" spans="1:14" x14ac:dyDescent="0.2">
      <c r="A4" s="144"/>
      <c r="B4" s="973" t="s">
        <v>0</v>
      </c>
      <c r="C4" s="974"/>
      <c r="D4" s="974"/>
      <c r="E4" s="300"/>
      <c r="F4" s="973" t="s">
        <v>1</v>
      </c>
      <c r="G4" s="974"/>
      <c r="H4" s="974"/>
      <c r="I4" s="303"/>
      <c r="J4" s="973" t="s">
        <v>2</v>
      </c>
      <c r="K4" s="974"/>
      <c r="L4" s="974"/>
      <c r="M4" s="303"/>
    </row>
    <row r="5" spans="1:14" x14ac:dyDescent="0.2">
      <c r="A5" s="158"/>
      <c r="B5" s="152" t="s">
        <v>492</v>
      </c>
      <c r="C5" s="152" t="s">
        <v>493</v>
      </c>
      <c r="D5" s="245" t="s">
        <v>3</v>
      </c>
      <c r="E5" s="304" t="s">
        <v>29</v>
      </c>
      <c r="F5" s="152" t="s">
        <v>492</v>
      </c>
      <c r="G5" s="152" t="s">
        <v>493</v>
      </c>
      <c r="H5" s="245" t="s">
        <v>3</v>
      </c>
      <c r="I5" s="162" t="s">
        <v>29</v>
      </c>
      <c r="J5" s="152" t="s">
        <v>492</v>
      </c>
      <c r="K5" s="152" t="s">
        <v>493</v>
      </c>
      <c r="L5" s="245" t="s">
        <v>3</v>
      </c>
      <c r="M5" s="162" t="s">
        <v>29</v>
      </c>
    </row>
    <row r="6" spans="1:14" x14ac:dyDescent="0.2">
      <c r="A6" s="946"/>
      <c r="B6" s="156"/>
      <c r="C6" s="156"/>
      <c r="D6" s="246" t="s">
        <v>4</v>
      </c>
      <c r="E6" s="156" t="s">
        <v>30</v>
      </c>
      <c r="F6" s="161"/>
      <c r="G6" s="161"/>
      <c r="H6" s="245" t="s">
        <v>4</v>
      </c>
      <c r="I6" s="156" t="s">
        <v>30</v>
      </c>
      <c r="J6" s="161"/>
      <c r="K6" s="161"/>
      <c r="L6" s="245" t="s">
        <v>4</v>
      </c>
      <c r="M6" s="156" t="s">
        <v>30</v>
      </c>
    </row>
    <row r="7" spans="1:14" ht="15.75" x14ac:dyDescent="0.2">
      <c r="A7" s="14" t="s">
        <v>23</v>
      </c>
      <c r="B7" s="305">
        <v>35346</v>
      </c>
      <c r="C7" s="306">
        <v>34814.334000000003</v>
      </c>
      <c r="D7" s="349">
        <f>IF(B7=0, "    ---- ", IF(ABS(ROUND(100/B7*C7-100,1))&lt;999,ROUND(100/B7*C7-100,1),IF(ROUND(100/B7*C7-100,1)&gt;999,999,-999)))</f>
        <v>-1.5</v>
      </c>
      <c r="E7" s="11">
        <f>IFERROR(100/'Skjema total MA'!C7*C7,0)</f>
        <v>0.74038011065037934</v>
      </c>
      <c r="F7" s="305"/>
      <c r="G7" s="306"/>
      <c r="H7" s="349"/>
      <c r="I7" s="160"/>
      <c r="J7" s="307">
        <f t="shared" ref="J7:K10" si="0">SUM(B7,F7)</f>
        <v>35346</v>
      </c>
      <c r="K7" s="308">
        <f t="shared" si="0"/>
        <v>34814.334000000003</v>
      </c>
      <c r="L7" s="372">
        <f>IF(J7=0, "    ---- ", IF(ABS(ROUND(100/J7*K7-100,1))&lt;999,ROUND(100/J7*K7-100,1),IF(ROUND(100/J7*K7-100,1)&gt;999,999,-999)))</f>
        <v>-1.5</v>
      </c>
      <c r="M7" s="11">
        <f>IFERROR(100/'Skjema total MA'!I7*K7,0)</f>
        <v>0.22980617027257247</v>
      </c>
    </row>
    <row r="8" spans="1:14" ht="15.75" x14ac:dyDescent="0.2">
      <c r="A8" s="21" t="s">
        <v>25</v>
      </c>
      <c r="B8" s="280">
        <v>21980</v>
      </c>
      <c r="C8" s="281">
        <v>21482.35</v>
      </c>
      <c r="D8" s="166">
        <f t="shared" ref="D8:D10" si="1">IF(B8=0, "    ---- ", IF(ABS(ROUND(100/B8*C8-100,1))&lt;999,ROUND(100/B8*C8-100,1),IF(ROUND(100/B8*C8-100,1)&gt;999,999,-999)))</f>
        <v>-2.2999999999999998</v>
      </c>
      <c r="E8" s="27">
        <f>IFERROR(100/'Skjema total MA'!C8*C8,0)</f>
        <v>0.76480682049468929</v>
      </c>
      <c r="F8" s="284"/>
      <c r="G8" s="285"/>
      <c r="H8" s="166"/>
      <c r="I8" s="175"/>
      <c r="J8" s="234">
        <f t="shared" si="0"/>
        <v>21980</v>
      </c>
      <c r="K8" s="286">
        <f t="shared" si="0"/>
        <v>21482.35</v>
      </c>
      <c r="L8" s="254"/>
      <c r="M8" s="27">
        <f>IFERROR(100/'Skjema total MA'!I8*K8,0)</f>
        <v>0.76480682049468929</v>
      </c>
    </row>
    <row r="9" spans="1:14" ht="15.75" x14ac:dyDescent="0.2">
      <c r="A9" s="21" t="s">
        <v>24</v>
      </c>
      <c r="B9" s="280">
        <v>13366</v>
      </c>
      <c r="C9" s="281">
        <v>12847.76</v>
      </c>
      <c r="D9" s="166">
        <f t="shared" si="1"/>
        <v>-3.9</v>
      </c>
      <c r="E9" s="27">
        <f>IFERROR(100/'Skjema total MA'!C9*C9,0)</f>
        <v>1.3047345444160767</v>
      </c>
      <c r="F9" s="284"/>
      <c r="G9" s="285"/>
      <c r="H9" s="166"/>
      <c r="I9" s="175"/>
      <c r="J9" s="234">
        <f t="shared" si="0"/>
        <v>13366</v>
      </c>
      <c r="K9" s="286">
        <f t="shared" si="0"/>
        <v>12847.76</v>
      </c>
      <c r="L9" s="254"/>
      <c r="M9" s="27">
        <f>IFERROR(100/'Skjema total MA'!I9*K9,0)</f>
        <v>1.3047345444160767</v>
      </c>
    </row>
    <row r="10" spans="1:14" ht="15.75" x14ac:dyDescent="0.2">
      <c r="A10" s="13" t="s">
        <v>451</v>
      </c>
      <c r="B10" s="309">
        <v>20967</v>
      </c>
      <c r="C10" s="310">
        <v>24956.146639999999</v>
      </c>
      <c r="D10" s="171">
        <f t="shared" si="1"/>
        <v>19</v>
      </c>
      <c r="E10" s="11">
        <f>IFERROR(100/'Skjema total MA'!C10*C10,0)</f>
        <v>0.11804700264423106</v>
      </c>
      <c r="F10" s="309"/>
      <c r="G10" s="310"/>
      <c r="H10" s="171"/>
      <c r="I10" s="160"/>
      <c r="J10" s="307">
        <f t="shared" si="0"/>
        <v>20967</v>
      </c>
      <c r="K10" s="308">
        <f t="shared" si="0"/>
        <v>24956.146639999999</v>
      </c>
      <c r="L10" s="373">
        <f t="shared" ref="L10" si="2">IF(J10=0, "    ---- ", IF(ABS(ROUND(100/J10*K10-100,1))&lt;999,ROUND(100/J10*K10-100,1),IF(ROUND(100/J10*K10-100,1)&gt;999,999,-999)))</f>
        <v>19</v>
      </c>
      <c r="M10" s="11">
        <f>IFERROR(100/'Skjema total MA'!I10*K10,0)</f>
        <v>3.3670614149676363E-2</v>
      </c>
    </row>
    <row r="11" spans="1:14" s="43" customFormat="1" ht="15.75" x14ac:dyDescent="0.2">
      <c r="A11" s="13" t="s">
        <v>452</v>
      </c>
      <c r="B11" s="309"/>
      <c r="C11" s="310"/>
      <c r="D11" s="171"/>
      <c r="E11" s="11"/>
      <c r="F11" s="309"/>
      <c r="G11" s="310"/>
      <c r="H11" s="171"/>
      <c r="I11" s="160"/>
      <c r="J11" s="307"/>
      <c r="K11" s="308"/>
      <c r="L11" s="373"/>
      <c r="M11" s="11"/>
      <c r="N11" s="143"/>
    </row>
    <row r="12" spans="1:14" s="43" customFormat="1" ht="15.75" x14ac:dyDescent="0.2">
      <c r="A12" s="41" t="s">
        <v>453</v>
      </c>
      <c r="B12" s="311"/>
      <c r="C12" s="312"/>
      <c r="D12" s="169"/>
      <c r="E12" s="36"/>
      <c r="F12" s="311"/>
      <c r="G12" s="312"/>
      <c r="H12" s="169"/>
      <c r="I12" s="169"/>
      <c r="J12" s="313"/>
      <c r="K12" s="314"/>
      <c r="L12" s="374"/>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975"/>
      <c r="C18" s="975"/>
      <c r="D18" s="975"/>
      <c r="E18" s="298"/>
      <c r="F18" s="975"/>
      <c r="G18" s="975"/>
      <c r="H18" s="975"/>
      <c r="I18" s="298"/>
      <c r="J18" s="975"/>
      <c r="K18" s="975"/>
      <c r="L18" s="975"/>
      <c r="M18" s="298"/>
    </row>
    <row r="19" spans="1:14" x14ac:dyDescent="0.2">
      <c r="A19" s="144"/>
      <c r="B19" s="973" t="s">
        <v>0</v>
      </c>
      <c r="C19" s="974"/>
      <c r="D19" s="974"/>
      <c r="E19" s="300"/>
      <c r="F19" s="973" t="s">
        <v>1</v>
      </c>
      <c r="G19" s="974"/>
      <c r="H19" s="974"/>
      <c r="I19" s="303"/>
      <c r="J19" s="973" t="s">
        <v>2</v>
      </c>
      <c r="K19" s="974"/>
      <c r="L19" s="974"/>
      <c r="M19" s="303"/>
    </row>
    <row r="20" spans="1:14" x14ac:dyDescent="0.2">
      <c r="A20" s="140" t="s">
        <v>5</v>
      </c>
      <c r="B20" s="152" t="s">
        <v>492</v>
      </c>
      <c r="C20" s="152" t="s">
        <v>493</v>
      </c>
      <c r="D20" s="162" t="s">
        <v>3</v>
      </c>
      <c r="E20" s="304" t="s">
        <v>29</v>
      </c>
      <c r="F20" s="152" t="s">
        <v>492</v>
      </c>
      <c r="G20" s="152" t="s">
        <v>493</v>
      </c>
      <c r="H20" s="162" t="s">
        <v>3</v>
      </c>
      <c r="I20" s="162" t="s">
        <v>29</v>
      </c>
      <c r="J20" s="152" t="s">
        <v>492</v>
      </c>
      <c r="K20" s="152" t="s">
        <v>493</v>
      </c>
      <c r="L20" s="162" t="s">
        <v>3</v>
      </c>
      <c r="M20" s="162" t="s">
        <v>29</v>
      </c>
    </row>
    <row r="21" spans="1:14" x14ac:dyDescent="0.2">
      <c r="A21" s="947"/>
      <c r="B21" s="156"/>
      <c r="C21" s="156"/>
      <c r="D21" s="246" t="s">
        <v>4</v>
      </c>
      <c r="E21" s="156" t="s">
        <v>30</v>
      </c>
      <c r="F21" s="161"/>
      <c r="G21" s="161"/>
      <c r="H21" s="245" t="s">
        <v>4</v>
      </c>
      <c r="I21" s="156" t="s">
        <v>30</v>
      </c>
      <c r="J21" s="161"/>
      <c r="K21" s="161"/>
      <c r="L21" s="156" t="s">
        <v>4</v>
      </c>
      <c r="M21" s="156" t="s">
        <v>30</v>
      </c>
    </row>
    <row r="22" spans="1:14" ht="15.75" x14ac:dyDescent="0.2">
      <c r="A22" s="14" t="s">
        <v>23</v>
      </c>
      <c r="B22" s="309">
        <v>217</v>
      </c>
      <c r="C22" s="309">
        <v>206.43911</v>
      </c>
      <c r="D22" s="349">
        <f t="shared" ref="D22:D31" si="3">IF(B22=0, "    ---- ", IF(ABS(ROUND(100/B22*C22-100,1))&lt;999,ROUND(100/B22*C22-100,1),IF(ROUND(100/B22*C22-100,1)&gt;999,999,-999)))</f>
        <v>-4.9000000000000004</v>
      </c>
      <c r="E22" s="11">
        <f>IFERROR(100/'Skjema total MA'!C22*C22,0)</f>
        <v>1.1541341895491601E-2</v>
      </c>
      <c r="F22" s="317"/>
      <c r="G22" s="317"/>
      <c r="H22" s="349"/>
      <c r="I22" s="11"/>
      <c r="J22" s="315">
        <f t="shared" ref="J22:K29" si="4">SUM(B22,F22)</f>
        <v>217</v>
      </c>
      <c r="K22" s="315">
        <f t="shared" si="4"/>
        <v>206.43911</v>
      </c>
      <c r="L22" s="372">
        <f t="shared" ref="L22:L29" si="5">IF(J22=0, "    ---- ", IF(ABS(ROUND(100/J22*K22-100,1))&lt;999,ROUND(100/J22*K22-100,1),IF(ROUND(100/J22*K22-100,1)&gt;999,999,-999)))</f>
        <v>-4.9000000000000004</v>
      </c>
      <c r="M22" s="24">
        <f>IFERROR(100/'Skjema total MA'!I22*K22,0)</f>
        <v>6.6373201886604201E-3</v>
      </c>
    </row>
    <row r="23" spans="1:14" ht="15.75" x14ac:dyDescent="0.2">
      <c r="A23" s="753" t="s">
        <v>454</v>
      </c>
      <c r="B23" s="280"/>
      <c r="C23" s="280"/>
      <c r="D23" s="166"/>
      <c r="E23" s="11"/>
      <c r="F23" s="289"/>
      <c r="G23" s="289"/>
      <c r="H23" s="166"/>
      <c r="I23" s="365"/>
      <c r="J23" s="289"/>
      <c r="K23" s="289"/>
      <c r="L23" s="166"/>
      <c r="M23" s="23"/>
    </row>
    <row r="24" spans="1:14" ht="15.75" x14ac:dyDescent="0.2">
      <c r="A24" s="753" t="s">
        <v>455</v>
      </c>
      <c r="B24" s="280">
        <v>217</v>
      </c>
      <c r="C24" s="280">
        <v>206.43911</v>
      </c>
      <c r="D24" s="166">
        <f t="shared" si="3"/>
        <v>-4.9000000000000004</v>
      </c>
      <c r="E24" s="11">
        <f>IFERROR(100/'Skjema total MA'!C24*C24,0)</f>
        <v>0.54824961436292574</v>
      </c>
      <c r="F24" s="289"/>
      <c r="G24" s="289"/>
      <c r="H24" s="166"/>
      <c r="I24" s="365"/>
      <c r="J24" s="289">
        <f t="shared" ref="J24" si="6">SUM(B24,F24)</f>
        <v>217</v>
      </c>
      <c r="K24" s="289">
        <f t="shared" ref="K24" si="7">SUM(C24,G24)</f>
        <v>206.43911</v>
      </c>
      <c r="L24" s="166">
        <f t="shared" ref="L24" si="8">IF(J24=0, "    ---- ", IF(ABS(ROUND(100/J24*K24-100,1))&lt;999,ROUND(100/J24*K24-100,1),IF(ROUND(100/J24*K24-100,1)&gt;999,999,-999)))</f>
        <v>-4.9000000000000004</v>
      </c>
      <c r="M24" s="23">
        <f>IFERROR(100/'Skjema total MA'!I24*K24,0)</f>
        <v>0.54564988138566251</v>
      </c>
    </row>
    <row r="25" spans="1:14" ht="15.75" x14ac:dyDescent="0.2">
      <c r="A25" s="753" t="s">
        <v>456</v>
      </c>
      <c r="B25" s="280"/>
      <c r="C25" s="280"/>
      <c r="D25" s="166"/>
      <c r="E25" s="11"/>
      <c r="F25" s="289"/>
      <c r="G25" s="289"/>
      <c r="H25" s="166"/>
      <c r="I25" s="365"/>
      <c r="J25" s="289"/>
      <c r="K25" s="289"/>
      <c r="L25" s="166"/>
      <c r="M25" s="23"/>
    </row>
    <row r="26" spans="1:14" ht="15.75" x14ac:dyDescent="0.2">
      <c r="A26" s="753" t="s">
        <v>457</v>
      </c>
      <c r="B26" s="280"/>
      <c r="C26" s="280"/>
      <c r="D26" s="166"/>
      <c r="E26" s="11"/>
      <c r="F26" s="289"/>
      <c r="G26" s="289"/>
      <c r="H26" s="166"/>
      <c r="I26" s="365"/>
      <c r="J26" s="289"/>
      <c r="K26" s="289"/>
      <c r="L26" s="166"/>
      <c r="M26" s="23"/>
    </row>
    <row r="27" spans="1:14" x14ac:dyDescent="0.2">
      <c r="A27" s="753" t="s">
        <v>11</v>
      </c>
      <c r="B27" s="280"/>
      <c r="C27" s="280"/>
      <c r="D27" s="166"/>
      <c r="E27" s="11"/>
      <c r="F27" s="289"/>
      <c r="G27" s="289"/>
      <c r="H27" s="166"/>
      <c r="I27" s="365"/>
      <c r="J27" s="289"/>
      <c r="K27" s="289"/>
      <c r="L27" s="166"/>
      <c r="M27" s="23"/>
    </row>
    <row r="28" spans="1:14" ht="15.75" x14ac:dyDescent="0.2">
      <c r="A28" s="49" t="s">
        <v>279</v>
      </c>
      <c r="B28" s="44">
        <v>217</v>
      </c>
      <c r="C28" s="286">
        <v>206.43911</v>
      </c>
      <c r="D28" s="166">
        <f t="shared" si="3"/>
        <v>-4.9000000000000004</v>
      </c>
      <c r="E28" s="11">
        <f>IFERROR(100/'Skjema total MA'!C28*C28,0)</f>
        <v>1.0983818530742234E-2</v>
      </c>
      <c r="F28" s="234"/>
      <c r="G28" s="286"/>
      <c r="H28" s="166"/>
      <c r="I28" s="27"/>
      <c r="J28" s="44">
        <f t="shared" si="4"/>
        <v>217</v>
      </c>
      <c r="K28" s="44">
        <f t="shared" si="4"/>
        <v>206.43911</v>
      </c>
      <c r="L28" s="254">
        <f t="shared" si="5"/>
        <v>-4.9000000000000004</v>
      </c>
      <c r="M28" s="23">
        <f>IFERROR(100/'Skjema total MA'!I28*K28,0)</f>
        <v>1.0983818530742234E-2</v>
      </c>
    </row>
    <row r="29" spans="1:14" s="3" customFormat="1" ht="15.75" x14ac:dyDescent="0.2">
      <c r="A29" s="13" t="s">
        <v>451</v>
      </c>
      <c r="B29" s="236">
        <v>2088</v>
      </c>
      <c r="C29" s="236">
        <v>2081.9349999999999</v>
      </c>
      <c r="D29" s="171">
        <f t="shared" si="3"/>
        <v>-0.3</v>
      </c>
      <c r="E29" s="11">
        <f>IFERROR(100/'Skjema total MA'!C29*C29,0)</f>
        <v>4.4318118088004883E-3</v>
      </c>
      <c r="F29" s="307"/>
      <c r="G29" s="307"/>
      <c r="H29" s="171"/>
      <c r="I29" s="11"/>
      <c r="J29" s="236">
        <f t="shared" si="4"/>
        <v>2088</v>
      </c>
      <c r="K29" s="236">
        <f t="shared" si="4"/>
        <v>2081.9349999999999</v>
      </c>
      <c r="L29" s="373">
        <f t="shared" si="5"/>
        <v>-0.3</v>
      </c>
      <c r="M29" s="24">
        <f>IFERROR(100/'Skjema total MA'!I29*K29,0)</f>
        <v>3.0035681804877479E-3</v>
      </c>
      <c r="N29" s="148"/>
    </row>
    <row r="30" spans="1:14" s="3" customFormat="1" ht="15.75" x14ac:dyDescent="0.2">
      <c r="A30" s="753" t="s">
        <v>454</v>
      </c>
      <c r="B30" s="280"/>
      <c r="C30" s="280"/>
      <c r="D30" s="166"/>
      <c r="E30" s="11"/>
      <c r="F30" s="289"/>
      <c r="G30" s="289"/>
      <c r="H30" s="166"/>
      <c r="I30" s="365"/>
      <c r="J30" s="289"/>
      <c r="K30" s="289"/>
      <c r="L30" s="166"/>
      <c r="M30" s="23"/>
      <c r="N30" s="148"/>
    </row>
    <row r="31" spans="1:14" s="3" customFormat="1" ht="15.75" x14ac:dyDescent="0.2">
      <c r="A31" s="753" t="s">
        <v>455</v>
      </c>
      <c r="B31" s="280">
        <v>2088</v>
      </c>
      <c r="C31" s="280">
        <v>2081.9349999999999</v>
      </c>
      <c r="D31" s="166">
        <f t="shared" si="3"/>
        <v>-0.3</v>
      </c>
      <c r="E31" s="11">
        <f>IFERROR(100/'Skjema total MA'!C31*C31,0)</f>
        <v>7.9594338436971297E-3</v>
      </c>
      <c r="F31" s="289"/>
      <c r="G31" s="289"/>
      <c r="H31" s="166"/>
      <c r="I31" s="365"/>
      <c r="J31" s="289">
        <f t="shared" ref="J31" si="9">SUM(B31,F31)</f>
        <v>2088</v>
      </c>
      <c r="K31" s="289">
        <f t="shared" ref="K31" si="10">SUM(C31,G31)</f>
        <v>2081.9349999999999</v>
      </c>
      <c r="L31" s="166">
        <f t="shared" ref="L31" si="11">IF(J31=0, "    ---- ", IF(ABS(ROUND(100/J31*K31-100,1))&lt;999,ROUND(100/J31*K31-100,1),IF(ROUND(100/J31*K31-100,1)&gt;999,999,-999)))</f>
        <v>-0.3</v>
      </c>
      <c r="M31" s="23">
        <f>IFERROR(100/'Skjema total MA'!I31*K31,0)</f>
        <v>5.7863227995120694E-3</v>
      </c>
      <c r="N31" s="148"/>
    </row>
    <row r="32" spans="1:14" ht="15.75" x14ac:dyDescent="0.2">
      <c r="A32" s="753" t="s">
        <v>456</v>
      </c>
      <c r="B32" s="280"/>
      <c r="C32" s="280"/>
      <c r="D32" s="166"/>
      <c r="E32" s="11"/>
      <c r="F32" s="289"/>
      <c r="G32" s="289"/>
      <c r="H32" s="166"/>
      <c r="I32" s="365"/>
      <c r="J32" s="289"/>
      <c r="K32" s="289"/>
      <c r="L32" s="166"/>
      <c r="M32" s="23"/>
    </row>
    <row r="33" spans="1:14" ht="15.75" x14ac:dyDescent="0.2">
      <c r="A33" s="753" t="s">
        <v>457</v>
      </c>
      <c r="B33" s="280"/>
      <c r="C33" s="280"/>
      <c r="D33" s="166"/>
      <c r="E33" s="11"/>
      <c r="F33" s="289"/>
      <c r="G33" s="289"/>
      <c r="H33" s="166"/>
      <c r="I33" s="365"/>
      <c r="J33" s="289"/>
      <c r="K33" s="289"/>
      <c r="L33" s="166"/>
      <c r="M33" s="23"/>
    </row>
    <row r="34" spans="1:14" ht="15.75" x14ac:dyDescent="0.2">
      <c r="A34" s="13" t="s">
        <v>452</v>
      </c>
      <c r="B34" s="236"/>
      <c r="C34" s="308"/>
      <c r="D34" s="171"/>
      <c r="E34" s="11"/>
      <c r="F34" s="307"/>
      <c r="G34" s="308"/>
      <c r="H34" s="171"/>
      <c r="I34" s="11"/>
      <c r="J34" s="236"/>
      <c r="K34" s="236"/>
      <c r="L34" s="373"/>
      <c r="M34" s="24"/>
    </row>
    <row r="35" spans="1:14" ht="15.75" x14ac:dyDescent="0.2">
      <c r="A35" s="13" t="s">
        <v>453</v>
      </c>
      <c r="B35" s="236"/>
      <c r="C35" s="308"/>
      <c r="D35" s="171"/>
      <c r="E35" s="11"/>
      <c r="F35" s="307"/>
      <c r="G35" s="308"/>
      <c r="H35" s="171"/>
      <c r="I35" s="11"/>
      <c r="J35" s="236"/>
      <c r="K35" s="236"/>
      <c r="L35" s="373"/>
      <c r="M35" s="24"/>
    </row>
    <row r="36" spans="1:14" ht="15.75" x14ac:dyDescent="0.2">
      <c r="A36" s="12" t="s">
        <v>287</v>
      </c>
      <c r="B36" s="236"/>
      <c r="C36" s="308"/>
      <c r="D36" s="171"/>
      <c r="E36" s="11"/>
      <c r="F36" s="318"/>
      <c r="G36" s="319"/>
      <c r="H36" s="171"/>
      <c r="I36" s="379"/>
      <c r="J36" s="236"/>
      <c r="K36" s="236"/>
      <c r="L36" s="373"/>
      <c r="M36" s="24"/>
    </row>
    <row r="37" spans="1:14" ht="15.75" x14ac:dyDescent="0.2">
      <c r="A37" s="12" t="s">
        <v>459</v>
      </c>
      <c r="B37" s="236"/>
      <c r="C37" s="308"/>
      <c r="D37" s="171"/>
      <c r="E37" s="11"/>
      <c r="F37" s="318"/>
      <c r="G37" s="320"/>
      <c r="H37" s="171"/>
      <c r="I37" s="379"/>
      <c r="J37" s="236"/>
      <c r="K37" s="236"/>
      <c r="L37" s="373"/>
      <c r="M37" s="24"/>
    </row>
    <row r="38" spans="1:14" ht="15.75" x14ac:dyDescent="0.2">
      <c r="A38" s="12" t="s">
        <v>460</v>
      </c>
      <c r="B38" s="236"/>
      <c r="C38" s="308"/>
      <c r="D38" s="171"/>
      <c r="E38" s="24"/>
      <c r="F38" s="318"/>
      <c r="G38" s="319"/>
      <c r="H38" s="171"/>
      <c r="I38" s="379"/>
      <c r="J38" s="236"/>
      <c r="K38" s="236"/>
      <c r="L38" s="373"/>
      <c r="M38" s="24"/>
    </row>
    <row r="39" spans="1:14" ht="15.75" x14ac:dyDescent="0.2">
      <c r="A39" s="18" t="s">
        <v>461</v>
      </c>
      <c r="B39" s="275"/>
      <c r="C39" s="314"/>
      <c r="D39" s="169"/>
      <c r="E39" s="36"/>
      <c r="F39" s="321"/>
      <c r="G39" s="322"/>
      <c r="H39" s="169"/>
      <c r="I39" s="36"/>
      <c r="J39" s="236"/>
      <c r="K39" s="236"/>
      <c r="L39" s="374"/>
      <c r="M39" s="36"/>
    </row>
    <row r="40" spans="1:14" ht="15.75" x14ac:dyDescent="0.25">
      <c r="A40" s="47"/>
      <c r="B40" s="253"/>
      <c r="C40" s="253"/>
      <c r="D40" s="976"/>
      <c r="E40" s="976"/>
      <c r="F40" s="976"/>
      <c r="G40" s="976"/>
      <c r="H40" s="976"/>
      <c r="I40" s="976"/>
      <c r="J40" s="976"/>
      <c r="K40" s="976"/>
      <c r="L40" s="976"/>
      <c r="M40" s="301"/>
    </row>
    <row r="41" spans="1:14" x14ac:dyDescent="0.2">
      <c r="A41" s="155"/>
    </row>
    <row r="42" spans="1:14" ht="15.75" x14ac:dyDescent="0.25">
      <c r="A42" s="147" t="s">
        <v>276</v>
      </c>
      <c r="B42" s="972"/>
      <c r="C42" s="972"/>
      <c r="D42" s="972"/>
      <c r="E42" s="298"/>
      <c r="F42" s="977"/>
      <c r="G42" s="977"/>
      <c r="H42" s="977"/>
      <c r="I42" s="301"/>
      <c r="J42" s="977"/>
      <c r="K42" s="977"/>
      <c r="L42" s="977"/>
      <c r="M42" s="301"/>
    </row>
    <row r="43" spans="1:14" ht="15.75" x14ac:dyDescent="0.25">
      <c r="A43" s="163"/>
      <c r="B43" s="302"/>
      <c r="C43" s="302"/>
      <c r="D43" s="302"/>
      <c r="E43" s="302"/>
      <c r="F43" s="301"/>
      <c r="G43" s="301"/>
      <c r="H43" s="301"/>
      <c r="I43" s="301"/>
      <c r="J43" s="301"/>
      <c r="K43" s="301"/>
      <c r="L43" s="301"/>
      <c r="M43" s="301"/>
    </row>
    <row r="44" spans="1:14" ht="15.75" x14ac:dyDescent="0.25">
      <c r="A44" s="247"/>
      <c r="B44" s="973" t="s">
        <v>0</v>
      </c>
      <c r="C44" s="974"/>
      <c r="D44" s="974"/>
      <c r="E44" s="243"/>
      <c r="F44" s="301"/>
      <c r="G44" s="301"/>
      <c r="H44" s="301"/>
      <c r="I44" s="301"/>
      <c r="J44" s="301"/>
      <c r="K44" s="301"/>
      <c r="L44" s="301"/>
      <c r="M44" s="301"/>
    </row>
    <row r="45" spans="1:14" s="3" customFormat="1" x14ac:dyDescent="0.2">
      <c r="A45" s="140"/>
      <c r="B45" s="152" t="s">
        <v>492</v>
      </c>
      <c r="C45" s="152" t="s">
        <v>493</v>
      </c>
      <c r="D45" s="162" t="s">
        <v>3</v>
      </c>
      <c r="E45" s="162" t="s">
        <v>29</v>
      </c>
      <c r="F45" s="174"/>
      <c r="G45" s="174"/>
      <c r="H45" s="173"/>
      <c r="I45" s="173"/>
      <c r="J45" s="174"/>
      <c r="K45" s="174"/>
      <c r="L45" s="173"/>
      <c r="M45" s="173"/>
      <c r="N45" s="148"/>
    </row>
    <row r="46" spans="1:14" s="3" customFormat="1" x14ac:dyDescent="0.2">
      <c r="A46" s="947"/>
      <c r="B46" s="244"/>
      <c r="C46" s="244"/>
      <c r="D46" s="245" t="s">
        <v>4</v>
      </c>
      <c r="E46" s="156" t="s">
        <v>30</v>
      </c>
      <c r="F46" s="173"/>
      <c r="G46" s="173"/>
      <c r="H46" s="173"/>
      <c r="I46" s="173"/>
      <c r="J46" s="173"/>
      <c r="K46" s="173"/>
      <c r="L46" s="173"/>
      <c r="M46" s="173"/>
      <c r="N46" s="148"/>
    </row>
    <row r="47" spans="1:14" s="3" customFormat="1" ht="15.75" x14ac:dyDescent="0.2">
      <c r="A47" s="14" t="s">
        <v>23</v>
      </c>
      <c r="B47" s="309"/>
      <c r="C47" s="310"/>
      <c r="D47" s="372"/>
      <c r="E47" s="11"/>
      <c r="F47" s="145"/>
      <c r="G47" s="33"/>
      <c r="H47" s="159"/>
      <c r="I47" s="159"/>
      <c r="J47" s="37"/>
      <c r="K47" s="37"/>
      <c r="L47" s="159"/>
      <c r="M47" s="159"/>
      <c r="N47" s="148"/>
    </row>
    <row r="48" spans="1:14" s="3" customFormat="1" ht="15.75" x14ac:dyDescent="0.2">
      <c r="A48" s="38" t="s">
        <v>462</v>
      </c>
      <c r="B48" s="280"/>
      <c r="C48" s="281"/>
      <c r="D48" s="254"/>
      <c r="E48" s="27"/>
      <c r="F48" s="145"/>
      <c r="G48" s="33"/>
      <c r="H48" s="145"/>
      <c r="I48" s="145"/>
      <c r="J48" s="33"/>
      <c r="K48" s="33"/>
      <c r="L48" s="159"/>
      <c r="M48" s="159"/>
      <c r="N48" s="148"/>
    </row>
    <row r="49" spans="1:14" s="3" customFormat="1" ht="15.75" x14ac:dyDescent="0.2">
      <c r="A49" s="38" t="s">
        <v>463</v>
      </c>
      <c r="B49" s="44"/>
      <c r="C49" s="286"/>
      <c r="D49" s="254"/>
      <c r="E49" s="27"/>
      <c r="F49" s="145"/>
      <c r="G49" s="33"/>
      <c r="H49" s="145"/>
      <c r="I49" s="145"/>
      <c r="J49" s="37"/>
      <c r="K49" s="37"/>
      <c r="L49" s="159"/>
      <c r="M49" s="159"/>
      <c r="N49" s="148"/>
    </row>
    <row r="50" spans="1:14" s="3" customFormat="1" x14ac:dyDescent="0.2">
      <c r="A50" s="295" t="s">
        <v>6</v>
      </c>
      <c r="B50" s="289"/>
      <c r="C50" s="290"/>
      <c r="D50" s="254"/>
      <c r="E50" s="23"/>
      <c r="F50" s="145"/>
      <c r="G50" s="33"/>
      <c r="H50" s="145"/>
      <c r="I50" s="145"/>
      <c r="J50" s="33"/>
      <c r="K50" s="33"/>
      <c r="L50" s="159"/>
      <c r="M50" s="159"/>
      <c r="N50" s="148"/>
    </row>
    <row r="51" spans="1:14" s="3" customFormat="1" x14ac:dyDescent="0.2">
      <c r="A51" s="295" t="s">
        <v>7</v>
      </c>
      <c r="B51" s="289"/>
      <c r="C51" s="290"/>
      <c r="D51" s="254"/>
      <c r="E51" s="23"/>
      <c r="F51" s="145"/>
      <c r="G51" s="33"/>
      <c r="H51" s="145"/>
      <c r="I51" s="145"/>
      <c r="J51" s="33"/>
      <c r="K51" s="33"/>
      <c r="L51" s="159"/>
      <c r="M51" s="159"/>
      <c r="N51" s="148"/>
    </row>
    <row r="52" spans="1:14" s="3" customFormat="1" x14ac:dyDescent="0.2">
      <c r="A52" s="295" t="s">
        <v>8</v>
      </c>
      <c r="B52" s="289"/>
      <c r="C52" s="290"/>
      <c r="D52" s="254"/>
      <c r="E52" s="23"/>
      <c r="F52" s="145"/>
      <c r="G52" s="33"/>
      <c r="H52" s="145"/>
      <c r="I52" s="145"/>
      <c r="J52" s="33"/>
      <c r="K52" s="33"/>
      <c r="L52" s="159"/>
      <c r="M52" s="159"/>
      <c r="N52" s="148"/>
    </row>
    <row r="53" spans="1:14" s="3" customFormat="1" ht="15.75" x14ac:dyDescent="0.2">
      <c r="A53" s="39" t="s">
        <v>464</v>
      </c>
      <c r="B53" s="309"/>
      <c r="C53" s="310"/>
      <c r="D53" s="373"/>
      <c r="E53" s="11"/>
      <c r="F53" s="145"/>
      <c r="G53" s="33"/>
      <c r="H53" s="145"/>
      <c r="I53" s="145"/>
      <c r="J53" s="33"/>
      <c r="K53" s="33"/>
      <c r="L53" s="159"/>
      <c r="M53" s="159"/>
      <c r="N53" s="148"/>
    </row>
    <row r="54" spans="1:14" s="3" customFormat="1" ht="15.75" x14ac:dyDescent="0.2">
      <c r="A54" s="38" t="s">
        <v>462</v>
      </c>
      <c r="B54" s="280"/>
      <c r="C54" s="281"/>
      <c r="D54" s="254"/>
      <c r="E54" s="27"/>
      <c r="F54" s="145"/>
      <c r="G54" s="33"/>
      <c r="H54" s="145"/>
      <c r="I54" s="145"/>
      <c r="J54" s="33"/>
      <c r="K54" s="33"/>
      <c r="L54" s="159"/>
      <c r="M54" s="159"/>
      <c r="N54" s="148"/>
    </row>
    <row r="55" spans="1:14" s="3" customFormat="1" ht="15.75" x14ac:dyDescent="0.2">
      <c r="A55" s="38" t="s">
        <v>463</v>
      </c>
      <c r="B55" s="280"/>
      <c r="C55" s="281"/>
      <c r="D55" s="254"/>
      <c r="E55" s="27"/>
      <c r="F55" s="145"/>
      <c r="G55" s="33"/>
      <c r="H55" s="145"/>
      <c r="I55" s="145"/>
      <c r="J55" s="33"/>
      <c r="K55" s="33"/>
      <c r="L55" s="159"/>
      <c r="M55" s="159"/>
      <c r="N55" s="148"/>
    </row>
    <row r="56" spans="1:14" s="3" customFormat="1" ht="15.75" x14ac:dyDescent="0.2">
      <c r="A56" s="39" t="s">
        <v>465</v>
      </c>
      <c r="B56" s="309"/>
      <c r="C56" s="310"/>
      <c r="D56" s="373"/>
      <c r="E56" s="11"/>
      <c r="F56" s="145"/>
      <c r="G56" s="33"/>
      <c r="H56" s="145"/>
      <c r="I56" s="145"/>
      <c r="J56" s="33"/>
      <c r="K56" s="33"/>
      <c r="L56" s="159"/>
      <c r="M56" s="159"/>
      <c r="N56" s="148"/>
    </row>
    <row r="57" spans="1:14" s="3" customFormat="1" ht="15.75" x14ac:dyDescent="0.2">
      <c r="A57" s="38" t="s">
        <v>462</v>
      </c>
      <c r="B57" s="280"/>
      <c r="C57" s="281"/>
      <c r="D57" s="254"/>
      <c r="E57" s="27"/>
      <c r="F57" s="145"/>
      <c r="G57" s="33"/>
      <c r="H57" s="145"/>
      <c r="I57" s="145"/>
      <c r="J57" s="33"/>
      <c r="K57" s="33"/>
      <c r="L57" s="159"/>
      <c r="M57" s="159"/>
      <c r="N57" s="148"/>
    </row>
    <row r="58" spans="1:14" s="3" customFormat="1" ht="15.75" x14ac:dyDescent="0.2">
      <c r="A58" s="46" t="s">
        <v>463</v>
      </c>
      <c r="B58" s="282"/>
      <c r="C58" s="283"/>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975"/>
      <c r="C62" s="975"/>
      <c r="D62" s="975"/>
      <c r="E62" s="298"/>
      <c r="F62" s="975"/>
      <c r="G62" s="975"/>
      <c r="H62" s="975"/>
      <c r="I62" s="298"/>
      <c r="J62" s="975"/>
      <c r="K62" s="975"/>
      <c r="L62" s="975"/>
      <c r="M62" s="298"/>
    </row>
    <row r="63" spans="1:14" x14ac:dyDescent="0.2">
      <c r="A63" s="144"/>
      <c r="B63" s="973" t="s">
        <v>0</v>
      </c>
      <c r="C63" s="974"/>
      <c r="D63" s="978"/>
      <c r="E63" s="299"/>
      <c r="F63" s="974" t="s">
        <v>1</v>
      </c>
      <c r="G63" s="974"/>
      <c r="H63" s="974"/>
      <c r="I63" s="303"/>
      <c r="J63" s="973" t="s">
        <v>2</v>
      </c>
      <c r="K63" s="974"/>
      <c r="L63" s="974"/>
      <c r="M63" s="303"/>
    </row>
    <row r="64" spans="1:14" x14ac:dyDescent="0.2">
      <c r="A64" s="140"/>
      <c r="B64" s="152" t="s">
        <v>492</v>
      </c>
      <c r="C64" s="152" t="s">
        <v>493</v>
      </c>
      <c r="D64" s="245" t="s">
        <v>3</v>
      </c>
      <c r="E64" s="304" t="s">
        <v>29</v>
      </c>
      <c r="F64" s="152" t="s">
        <v>492</v>
      </c>
      <c r="G64" s="152" t="s">
        <v>493</v>
      </c>
      <c r="H64" s="245" t="s">
        <v>3</v>
      </c>
      <c r="I64" s="304" t="s">
        <v>29</v>
      </c>
      <c r="J64" s="152" t="s">
        <v>492</v>
      </c>
      <c r="K64" s="152" t="s">
        <v>493</v>
      </c>
      <c r="L64" s="245" t="s">
        <v>3</v>
      </c>
      <c r="M64" s="162" t="s">
        <v>29</v>
      </c>
    </row>
    <row r="65" spans="1:14" x14ac:dyDescent="0.2">
      <c r="A65" s="947"/>
      <c r="B65" s="156"/>
      <c r="C65" s="156"/>
      <c r="D65" s="246" t="s">
        <v>4</v>
      </c>
      <c r="E65" s="156" t="s">
        <v>30</v>
      </c>
      <c r="F65" s="161"/>
      <c r="G65" s="161"/>
      <c r="H65" s="245" t="s">
        <v>4</v>
      </c>
      <c r="I65" s="156" t="s">
        <v>30</v>
      </c>
      <c r="J65" s="161"/>
      <c r="K65" s="206"/>
      <c r="L65" s="156" t="s">
        <v>4</v>
      </c>
      <c r="M65" s="156" t="s">
        <v>30</v>
      </c>
    </row>
    <row r="66" spans="1:14" ht="15.75" x14ac:dyDescent="0.2">
      <c r="A66" s="14" t="s">
        <v>23</v>
      </c>
      <c r="B66" s="352"/>
      <c r="C66" s="352"/>
      <c r="D66" s="349"/>
      <c r="E66" s="11"/>
      <c r="F66" s="351"/>
      <c r="G66" s="351"/>
      <c r="H66" s="349"/>
      <c r="I66" s="11"/>
      <c r="J66" s="308"/>
      <c r="K66" s="315"/>
      <c r="L66" s="373"/>
      <c r="M66" s="11"/>
    </row>
    <row r="67" spans="1:14" x14ac:dyDescent="0.2">
      <c r="A67" s="367" t="s">
        <v>9</v>
      </c>
      <c r="B67" s="44"/>
      <c r="C67" s="145"/>
      <c r="D67" s="166"/>
      <c r="E67" s="27"/>
      <c r="F67" s="234"/>
      <c r="G67" s="145"/>
      <c r="H67" s="166"/>
      <c r="I67" s="27"/>
      <c r="J67" s="286"/>
      <c r="K67" s="44"/>
      <c r="L67" s="254"/>
      <c r="M67" s="27"/>
    </row>
    <row r="68" spans="1:14" x14ac:dyDescent="0.2">
      <c r="A68" s="21" t="s">
        <v>10</v>
      </c>
      <c r="B68" s="291"/>
      <c r="C68" s="292"/>
      <c r="D68" s="166"/>
      <c r="E68" s="27"/>
      <c r="F68" s="291"/>
      <c r="G68" s="292"/>
      <c r="H68" s="166"/>
      <c r="I68" s="27"/>
      <c r="J68" s="286"/>
      <c r="K68" s="44"/>
      <c r="L68" s="254"/>
      <c r="M68" s="27"/>
    </row>
    <row r="69" spans="1:14" ht="15.75" x14ac:dyDescent="0.2">
      <c r="A69" s="295" t="s">
        <v>466</v>
      </c>
      <c r="B69" s="280"/>
      <c r="C69" s="280"/>
      <c r="D69" s="166"/>
      <c r="E69" s="365"/>
      <c r="F69" s="280"/>
      <c r="G69" s="280"/>
      <c r="H69" s="166"/>
      <c r="I69" s="365"/>
      <c r="J69" s="289"/>
      <c r="K69" s="289"/>
      <c r="L69" s="166"/>
      <c r="M69" s="23"/>
    </row>
    <row r="70" spans="1:14" x14ac:dyDescent="0.2">
      <c r="A70" s="295" t="s">
        <v>12</v>
      </c>
      <c r="B70" s="293"/>
      <c r="C70" s="294"/>
      <c r="D70" s="166"/>
      <c r="E70" s="365"/>
      <c r="F70" s="280"/>
      <c r="G70" s="280"/>
      <c r="H70" s="166"/>
      <c r="I70" s="365"/>
      <c r="J70" s="289"/>
      <c r="K70" s="289"/>
      <c r="L70" s="166"/>
      <c r="M70" s="23"/>
    </row>
    <row r="71" spans="1:14" x14ac:dyDescent="0.2">
      <c r="A71" s="295" t="s">
        <v>13</v>
      </c>
      <c r="B71" s="235"/>
      <c r="C71" s="288"/>
      <c r="D71" s="166"/>
      <c r="E71" s="365"/>
      <c r="F71" s="280"/>
      <c r="G71" s="280"/>
      <c r="H71" s="166"/>
      <c r="I71" s="365"/>
      <c r="J71" s="289"/>
      <c r="K71" s="289"/>
      <c r="L71" s="166"/>
      <c r="M71" s="23"/>
    </row>
    <row r="72" spans="1:14" ht="15.75" x14ac:dyDescent="0.2">
      <c r="A72" s="295" t="s">
        <v>467</v>
      </c>
      <c r="B72" s="280"/>
      <c r="C72" s="280"/>
      <c r="D72" s="166"/>
      <c r="E72" s="365"/>
      <c r="F72" s="280"/>
      <c r="G72" s="280"/>
      <c r="H72" s="166"/>
      <c r="I72" s="365"/>
      <c r="J72" s="289"/>
      <c r="K72" s="289"/>
      <c r="L72" s="166"/>
      <c r="M72" s="23"/>
    </row>
    <row r="73" spans="1:14" x14ac:dyDescent="0.2">
      <c r="A73" s="295" t="s">
        <v>12</v>
      </c>
      <c r="B73" s="235"/>
      <c r="C73" s="288"/>
      <c r="D73" s="166"/>
      <c r="E73" s="365"/>
      <c r="F73" s="280"/>
      <c r="G73" s="280"/>
      <c r="H73" s="166"/>
      <c r="I73" s="365"/>
      <c r="J73" s="289"/>
      <c r="K73" s="289"/>
      <c r="L73" s="166"/>
      <c r="M73" s="23"/>
    </row>
    <row r="74" spans="1:14" s="3" customFormat="1" x14ac:dyDescent="0.2">
      <c r="A74" s="295" t="s">
        <v>13</v>
      </c>
      <c r="B74" s="235"/>
      <c r="C74" s="288"/>
      <c r="D74" s="166"/>
      <c r="E74" s="365"/>
      <c r="F74" s="280"/>
      <c r="G74" s="280"/>
      <c r="H74" s="166"/>
      <c r="I74" s="365"/>
      <c r="J74" s="289"/>
      <c r="K74" s="289"/>
      <c r="L74" s="166"/>
      <c r="M74" s="23"/>
      <c r="N74" s="148"/>
    </row>
    <row r="75" spans="1:14" s="3" customFormat="1" x14ac:dyDescent="0.2">
      <c r="A75" s="21" t="s">
        <v>353</v>
      </c>
      <c r="B75" s="234"/>
      <c r="C75" s="145"/>
      <c r="D75" s="166"/>
      <c r="E75" s="27"/>
      <c r="F75" s="234"/>
      <c r="G75" s="145"/>
      <c r="H75" s="166"/>
      <c r="I75" s="27"/>
      <c r="J75" s="286"/>
      <c r="K75" s="44"/>
      <c r="L75" s="254"/>
      <c r="M75" s="27"/>
      <c r="N75" s="148"/>
    </row>
    <row r="76" spans="1:14" s="3" customFormat="1" x14ac:dyDescent="0.2">
      <c r="A76" s="21" t="s">
        <v>352</v>
      </c>
      <c r="B76" s="234"/>
      <c r="C76" s="145"/>
      <c r="D76" s="166"/>
      <c r="E76" s="27"/>
      <c r="F76" s="234"/>
      <c r="G76" s="145"/>
      <c r="H76" s="166"/>
      <c r="I76" s="27"/>
      <c r="J76" s="286"/>
      <c r="K76" s="44"/>
      <c r="L76" s="254"/>
      <c r="M76" s="27"/>
      <c r="N76" s="148"/>
    </row>
    <row r="77" spans="1:14" ht="15.75" x14ac:dyDescent="0.2">
      <c r="A77" s="21" t="s">
        <v>468</v>
      </c>
      <c r="B77" s="234"/>
      <c r="C77" s="234"/>
      <c r="D77" s="166"/>
      <c r="E77" s="27"/>
      <c r="F77" s="234"/>
      <c r="G77" s="145"/>
      <c r="H77" s="166"/>
      <c r="I77" s="27"/>
      <c r="J77" s="286"/>
      <c r="K77" s="44"/>
      <c r="L77" s="254"/>
      <c r="M77" s="27"/>
    </row>
    <row r="78" spans="1:14" x14ac:dyDescent="0.2">
      <c r="A78" s="21" t="s">
        <v>9</v>
      </c>
      <c r="B78" s="234"/>
      <c r="C78" s="145"/>
      <c r="D78" s="166"/>
      <c r="E78" s="27"/>
      <c r="F78" s="234"/>
      <c r="G78" s="145"/>
      <c r="H78" s="166"/>
      <c r="I78" s="27"/>
      <c r="J78" s="286"/>
      <c r="K78" s="44"/>
      <c r="L78" s="254"/>
      <c r="M78" s="27"/>
    </row>
    <row r="79" spans="1:14" x14ac:dyDescent="0.2">
      <c r="A79" s="21" t="s">
        <v>10</v>
      </c>
      <c r="B79" s="291"/>
      <c r="C79" s="292"/>
      <c r="D79" s="166"/>
      <c r="E79" s="27"/>
      <c r="F79" s="291"/>
      <c r="G79" s="292"/>
      <c r="H79" s="166"/>
      <c r="I79" s="27"/>
      <c r="J79" s="286"/>
      <c r="K79" s="44"/>
      <c r="L79" s="254"/>
      <c r="M79" s="27"/>
    </row>
    <row r="80" spans="1:14" ht="15.75" x14ac:dyDescent="0.2">
      <c r="A80" s="295" t="s">
        <v>466</v>
      </c>
      <c r="B80" s="280"/>
      <c r="C80" s="280"/>
      <c r="D80" s="166"/>
      <c r="E80" s="365"/>
      <c r="F80" s="280"/>
      <c r="G80" s="280"/>
      <c r="H80" s="166"/>
      <c r="I80" s="365"/>
      <c r="J80" s="289"/>
      <c r="K80" s="289"/>
      <c r="L80" s="166"/>
      <c r="M80" s="23"/>
    </row>
    <row r="81" spans="1:13" x14ac:dyDescent="0.2">
      <c r="A81" s="295" t="s">
        <v>12</v>
      </c>
      <c r="B81" s="235"/>
      <c r="C81" s="288"/>
      <c r="D81" s="166"/>
      <c r="E81" s="365"/>
      <c r="F81" s="280"/>
      <c r="G81" s="280"/>
      <c r="H81" s="166"/>
      <c r="I81" s="365"/>
      <c r="J81" s="289"/>
      <c r="K81" s="289"/>
      <c r="L81" s="166"/>
      <c r="M81" s="23"/>
    </row>
    <row r="82" spans="1:13" x14ac:dyDescent="0.2">
      <c r="A82" s="295" t="s">
        <v>13</v>
      </c>
      <c r="B82" s="235"/>
      <c r="C82" s="288"/>
      <c r="D82" s="166"/>
      <c r="E82" s="365"/>
      <c r="F82" s="280"/>
      <c r="G82" s="280"/>
      <c r="H82" s="166"/>
      <c r="I82" s="365"/>
      <c r="J82" s="289"/>
      <c r="K82" s="289"/>
      <c r="L82" s="166"/>
      <c r="M82" s="23"/>
    </row>
    <row r="83" spans="1:13" ht="15.75" x14ac:dyDescent="0.2">
      <c r="A83" s="295" t="s">
        <v>467</v>
      </c>
      <c r="B83" s="280"/>
      <c r="C83" s="280"/>
      <c r="D83" s="166"/>
      <c r="E83" s="365"/>
      <c r="F83" s="280"/>
      <c r="G83" s="280"/>
      <c r="H83" s="166"/>
      <c r="I83" s="365"/>
      <c r="J83" s="289"/>
      <c r="K83" s="289"/>
      <c r="L83" s="166"/>
      <c r="M83" s="23"/>
    </row>
    <row r="84" spans="1:13" x14ac:dyDescent="0.2">
      <c r="A84" s="295" t="s">
        <v>12</v>
      </c>
      <c r="B84" s="235"/>
      <c r="C84" s="288"/>
      <c r="D84" s="166"/>
      <c r="E84" s="365"/>
      <c r="F84" s="280"/>
      <c r="G84" s="280"/>
      <c r="H84" s="166"/>
      <c r="I84" s="365"/>
      <c r="J84" s="289"/>
      <c r="K84" s="289"/>
      <c r="L84" s="166"/>
      <c r="M84" s="23"/>
    </row>
    <row r="85" spans="1:13" x14ac:dyDescent="0.2">
      <c r="A85" s="295" t="s">
        <v>13</v>
      </c>
      <c r="B85" s="235"/>
      <c r="C85" s="288"/>
      <c r="D85" s="166"/>
      <c r="E85" s="365"/>
      <c r="F85" s="280"/>
      <c r="G85" s="280"/>
      <c r="H85" s="166"/>
      <c r="I85" s="365"/>
      <c r="J85" s="289"/>
      <c r="K85" s="289"/>
      <c r="L85" s="166"/>
      <c r="M85" s="23"/>
    </row>
    <row r="86" spans="1:13" ht="15.75" x14ac:dyDescent="0.2">
      <c r="A86" s="21" t="s">
        <v>469</v>
      </c>
      <c r="B86" s="234"/>
      <c r="C86" s="145"/>
      <c r="D86" s="166"/>
      <c r="E86" s="27"/>
      <c r="F86" s="234"/>
      <c r="G86" s="145"/>
      <c r="H86" s="166"/>
      <c r="I86" s="27"/>
      <c r="J86" s="286"/>
      <c r="K86" s="44"/>
      <c r="L86" s="254"/>
      <c r="M86" s="27"/>
    </row>
    <row r="87" spans="1:13" ht="15.75" x14ac:dyDescent="0.2">
      <c r="A87" s="13" t="s">
        <v>451</v>
      </c>
      <c r="B87" s="352"/>
      <c r="C87" s="352"/>
      <c r="D87" s="171"/>
      <c r="E87" s="11"/>
      <c r="F87" s="351"/>
      <c r="G87" s="351"/>
      <c r="H87" s="171"/>
      <c r="I87" s="11"/>
      <c r="J87" s="308"/>
      <c r="K87" s="236"/>
      <c r="L87" s="373"/>
      <c r="M87" s="11"/>
    </row>
    <row r="88" spans="1:13" x14ac:dyDescent="0.2">
      <c r="A88" s="21" t="s">
        <v>9</v>
      </c>
      <c r="B88" s="234"/>
      <c r="C88" s="145"/>
      <c r="D88" s="166"/>
      <c r="E88" s="27"/>
      <c r="F88" s="234"/>
      <c r="G88" s="145"/>
      <c r="H88" s="166"/>
      <c r="I88" s="27"/>
      <c r="J88" s="286"/>
      <c r="K88" s="44"/>
      <c r="L88" s="254"/>
      <c r="M88" s="27"/>
    </row>
    <row r="89" spans="1:13" x14ac:dyDescent="0.2">
      <c r="A89" s="21" t="s">
        <v>10</v>
      </c>
      <c r="B89" s="234"/>
      <c r="C89" s="145"/>
      <c r="D89" s="166"/>
      <c r="E89" s="27"/>
      <c r="F89" s="234"/>
      <c r="G89" s="145"/>
      <c r="H89" s="166"/>
      <c r="I89" s="27"/>
      <c r="J89" s="286"/>
      <c r="K89" s="44"/>
      <c r="L89" s="254"/>
      <c r="M89" s="27"/>
    </row>
    <row r="90" spans="1:13" ht="15.75" x14ac:dyDescent="0.2">
      <c r="A90" s="295" t="s">
        <v>466</v>
      </c>
      <c r="B90" s="280"/>
      <c r="C90" s="280"/>
      <c r="D90" s="166"/>
      <c r="E90" s="365"/>
      <c r="F90" s="280"/>
      <c r="G90" s="280"/>
      <c r="H90" s="166"/>
      <c r="I90" s="365"/>
      <c r="J90" s="289"/>
      <c r="K90" s="289"/>
      <c r="L90" s="166"/>
      <c r="M90" s="23"/>
    </row>
    <row r="91" spans="1:13" x14ac:dyDescent="0.2">
      <c r="A91" s="295" t="s">
        <v>12</v>
      </c>
      <c r="B91" s="235"/>
      <c r="C91" s="288"/>
      <c r="D91" s="166"/>
      <c r="E91" s="365"/>
      <c r="F91" s="280"/>
      <c r="G91" s="280"/>
      <c r="H91" s="166"/>
      <c r="I91" s="365"/>
      <c r="J91" s="289"/>
      <c r="K91" s="289"/>
      <c r="L91" s="166"/>
      <c r="M91" s="23"/>
    </row>
    <row r="92" spans="1:13" x14ac:dyDescent="0.2">
      <c r="A92" s="295" t="s">
        <v>13</v>
      </c>
      <c r="B92" s="235"/>
      <c r="C92" s="288"/>
      <c r="D92" s="166"/>
      <c r="E92" s="365"/>
      <c r="F92" s="280"/>
      <c r="G92" s="280"/>
      <c r="H92" s="166"/>
      <c r="I92" s="365"/>
      <c r="J92" s="289"/>
      <c r="K92" s="289"/>
      <c r="L92" s="166"/>
      <c r="M92" s="23"/>
    </row>
    <row r="93" spans="1:13" ht="15.75" x14ac:dyDescent="0.2">
      <c r="A93" s="295" t="s">
        <v>467</v>
      </c>
      <c r="B93" s="280"/>
      <c r="C93" s="280"/>
      <c r="D93" s="166"/>
      <c r="E93" s="365"/>
      <c r="F93" s="280"/>
      <c r="G93" s="280"/>
      <c r="H93" s="166"/>
      <c r="I93" s="365"/>
      <c r="J93" s="289"/>
      <c r="K93" s="289"/>
      <c r="L93" s="166"/>
      <c r="M93" s="23"/>
    </row>
    <row r="94" spans="1:13" x14ac:dyDescent="0.2">
      <c r="A94" s="295" t="s">
        <v>12</v>
      </c>
      <c r="B94" s="235"/>
      <c r="C94" s="288"/>
      <c r="D94" s="166"/>
      <c r="E94" s="365"/>
      <c r="F94" s="280"/>
      <c r="G94" s="280"/>
      <c r="H94" s="166"/>
      <c r="I94" s="365"/>
      <c r="J94" s="289"/>
      <c r="K94" s="289"/>
      <c r="L94" s="166"/>
      <c r="M94" s="23"/>
    </row>
    <row r="95" spans="1:13" x14ac:dyDescent="0.2">
      <c r="A95" s="295" t="s">
        <v>13</v>
      </c>
      <c r="B95" s="235"/>
      <c r="C95" s="288"/>
      <c r="D95" s="166"/>
      <c r="E95" s="365"/>
      <c r="F95" s="280"/>
      <c r="G95" s="280"/>
      <c r="H95" s="166"/>
      <c r="I95" s="365"/>
      <c r="J95" s="289"/>
      <c r="K95" s="289"/>
      <c r="L95" s="166"/>
      <c r="M95" s="23"/>
    </row>
    <row r="96" spans="1:13" x14ac:dyDescent="0.2">
      <c r="A96" s="21" t="s">
        <v>351</v>
      </c>
      <c r="B96" s="234"/>
      <c r="C96" s="145"/>
      <c r="D96" s="166"/>
      <c r="E96" s="27"/>
      <c r="F96" s="234"/>
      <c r="G96" s="145"/>
      <c r="H96" s="166"/>
      <c r="I96" s="27"/>
      <c r="J96" s="286"/>
      <c r="K96" s="44"/>
      <c r="L96" s="254"/>
      <c r="M96" s="27"/>
    </row>
    <row r="97" spans="1:13" x14ac:dyDescent="0.2">
      <c r="A97" s="21" t="s">
        <v>350</v>
      </c>
      <c r="B97" s="234"/>
      <c r="C97" s="145"/>
      <c r="D97" s="166"/>
      <c r="E97" s="27"/>
      <c r="F97" s="234"/>
      <c r="G97" s="145"/>
      <c r="H97" s="166"/>
      <c r="I97" s="27"/>
      <c r="J97" s="286"/>
      <c r="K97" s="44"/>
      <c r="L97" s="254"/>
      <c r="M97" s="27"/>
    </row>
    <row r="98" spans="1:13" ht="15.75" x14ac:dyDescent="0.2">
      <c r="A98" s="21" t="s">
        <v>468</v>
      </c>
      <c r="B98" s="234"/>
      <c r="C98" s="234"/>
      <c r="D98" s="166"/>
      <c r="E98" s="27"/>
      <c r="F98" s="291"/>
      <c r="G98" s="291"/>
      <c r="H98" s="166"/>
      <c r="I98" s="27"/>
      <c r="J98" s="286"/>
      <c r="K98" s="44"/>
      <c r="L98" s="254"/>
      <c r="M98" s="27"/>
    </row>
    <row r="99" spans="1:13" x14ac:dyDescent="0.2">
      <c r="A99" s="21" t="s">
        <v>9</v>
      </c>
      <c r="B99" s="291"/>
      <c r="C99" s="292"/>
      <c r="D99" s="166"/>
      <c r="E99" s="27"/>
      <c r="F99" s="234"/>
      <c r="G99" s="145"/>
      <c r="H99" s="166"/>
      <c r="I99" s="27"/>
      <c r="J99" s="286"/>
      <c r="K99" s="44"/>
      <c r="L99" s="254"/>
      <c r="M99" s="27"/>
    </row>
    <row r="100" spans="1:13" x14ac:dyDescent="0.2">
      <c r="A100" s="21" t="s">
        <v>10</v>
      </c>
      <c r="B100" s="291"/>
      <c r="C100" s="292"/>
      <c r="D100" s="166"/>
      <c r="E100" s="27"/>
      <c r="F100" s="234"/>
      <c r="G100" s="234"/>
      <c r="H100" s="166"/>
      <c r="I100" s="27"/>
      <c r="J100" s="286"/>
      <c r="K100" s="44"/>
      <c r="L100" s="254"/>
      <c r="M100" s="27"/>
    </row>
    <row r="101" spans="1:13" ht="15.75" x14ac:dyDescent="0.2">
      <c r="A101" s="295" t="s">
        <v>466</v>
      </c>
      <c r="B101" s="280"/>
      <c r="C101" s="280"/>
      <c r="D101" s="166"/>
      <c r="E101" s="365"/>
      <c r="F101" s="280"/>
      <c r="G101" s="280"/>
      <c r="H101" s="166"/>
      <c r="I101" s="365"/>
      <c r="J101" s="289"/>
      <c r="K101" s="289"/>
      <c r="L101" s="166"/>
      <c r="M101" s="23"/>
    </row>
    <row r="102" spans="1:13" x14ac:dyDescent="0.2">
      <c r="A102" s="295" t="s">
        <v>12</v>
      </c>
      <c r="B102" s="235"/>
      <c r="C102" s="288"/>
      <c r="D102" s="166"/>
      <c r="E102" s="365"/>
      <c r="F102" s="280"/>
      <c r="G102" s="280"/>
      <c r="H102" s="166"/>
      <c r="I102" s="365"/>
      <c r="J102" s="289"/>
      <c r="K102" s="289"/>
      <c r="L102" s="166"/>
      <c r="M102" s="23"/>
    </row>
    <row r="103" spans="1:13" x14ac:dyDescent="0.2">
      <c r="A103" s="295" t="s">
        <v>13</v>
      </c>
      <c r="B103" s="235"/>
      <c r="C103" s="288"/>
      <c r="D103" s="166"/>
      <c r="E103" s="365"/>
      <c r="F103" s="280"/>
      <c r="G103" s="280"/>
      <c r="H103" s="166"/>
      <c r="I103" s="365"/>
      <c r="J103" s="289"/>
      <c r="K103" s="289"/>
      <c r="L103" s="166"/>
      <c r="M103" s="23"/>
    </row>
    <row r="104" spans="1:13" ht="15.75" x14ac:dyDescent="0.2">
      <c r="A104" s="295" t="s">
        <v>467</v>
      </c>
      <c r="B104" s="280"/>
      <c r="C104" s="280"/>
      <c r="D104" s="166"/>
      <c r="E104" s="365"/>
      <c r="F104" s="280"/>
      <c r="G104" s="280"/>
      <c r="H104" s="166"/>
      <c r="I104" s="365"/>
      <c r="J104" s="289"/>
      <c r="K104" s="289"/>
      <c r="L104" s="166"/>
      <c r="M104" s="23"/>
    </row>
    <row r="105" spans="1:13" x14ac:dyDescent="0.2">
      <c r="A105" s="295" t="s">
        <v>12</v>
      </c>
      <c r="B105" s="235"/>
      <c r="C105" s="288"/>
      <c r="D105" s="166"/>
      <c r="E105" s="365"/>
      <c r="F105" s="280"/>
      <c r="G105" s="280"/>
      <c r="H105" s="166"/>
      <c r="I105" s="365"/>
      <c r="J105" s="289"/>
      <c r="K105" s="289"/>
      <c r="L105" s="166"/>
      <c r="M105" s="23"/>
    </row>
    <row r="106" spans="1:13" x14ac:dyDescent="0.2">
      <c r="A106" s="295" t="s">
        <v>13</v>
      </c>
      <c r="B106" s="235"/>
      <c r="C106" s="288"/>
      <c r="D106" s="166"/>
      <c r="E106" s="365"/>
      <c r="F106" s="280"/>
      <c r="G106" s="280"/>
      <c r="H106" s="166"/>
      <c r="I106" s="365"/>
      <c r="J106" s="289"/>
      <c r="K106" s="289"/>
      <c r="L106" s="166"/>
      <c r="M106" s="23"/>
    </row>
    <row r="107" spans="1:13" ht="15.75" x14ac:dyDescent="0.2">
      <c r="A107" s="21" t="s">
        <v>469</v>
      </c>
      <c r="B107" s="234"/>
      <c r="C107" s="145"/>
      <c r="D107" s="166"/>
      <c r="E107" s="27"/>
      <c r="F107" s="234"/>
      <c r="G107" s="145"/>
      <c r="H107" s="166"/>
      <c r="I107" s="27"/>
      <c r="J107" s="286"/>
      <c r="K107" s="44"/>
      <c r="L107" s="254"/>
      <c r="M107" s="27"/>
    </row>
    <row r="108" spans="1:13" ht="15.75" x14ac:dyDescent="0.2">
      <c r="A108" s="21" t="s">
        <v>470</v>
      </c>
      <c r="B108" s="234"/>
      <c r="C108" s="234"/>
      <c r="D108" s="166"/>
      <c r="E108" s="27"/>
      <c r="F108" s="234"/>
      <c r="G108" s="234"/>
      <c r="H108" s="166"/>
      <c r="I108" s="27"/>
      <c r="J108" s="286"/>
      <c r="K108" s="44"/>
      <c r="L108" s="254"/>
      <c r="M108" s="27"/>
    </row>
    <row r="109" spans="1:13" ht="15.75" x14ac:dyDescent="0.2">
      <c r="A109" s="21" t="s">
        <v>471</v>
      </c>
      <c r="B109" s="234"/>
      <c r="C109" s="234"/>
      <c r="D109" s="166"/>
      <c r="E109" s="27"/>
      <c r="F109" s="234"/>
      <c r="G109" s="234"/>
      <c r="H109" s="166"/>
      <c r="I109" s="27"/>
      <c r="J109" s="286"/>
      <c r="K109" s="44"/>
      <c r="L109" s="254"/>
      <c r="M109" s="27"/>
    </row>
    <row r="110" spans="1:13" ht="15.75" x14ac:dyDescent="0.2">
      <c r="A110" s="21" t="s">
        <v>472</v>
      </c>
      <c r="B110" s="234"/>
      <c r="C110" s="234"/>
      <c r="D110" s="166"/>
      <c r="E110" s="27"/>
      <c r="F110" s="234"/>
      <c r="G110" s="234"/>
      <c r="H110" s="166"/>
      <c r="I110" s="27"/>
      <c r="J110" s="286"/>
      <c r="K110" s="44"/>
      <c r="L110" s="254"/>
      <c r="M110" s="27"/>
    </row>
    <row r="111" spans="1:13" ht="15.75" x14ac:dyDescent="0.2">
      <c r="A111" s="13" t="s">
        <v>452</v>
      </c>
      <c r="B111" s="307"/>
      <c r="C111" s="159"/>
      <c r="D111" s="171"/>
      <c r="E111" s="11"/>
      <c r="F111" s="307"/>
      <c r="G111" s="159"/>
      <c r="H111" s="171"/>
      <c r="I111" s="11"/>
      <c r="J111" s="308"/>
      <c r="K111" s="236"/>
      <c r="L111" s="373"/>
      <c r="M111" s="11"/>
    </row>
    <row r="112" spans="1:13" x14ac:dyDescent="0.2">
      <c r="A112" s="21" t="s">
        <v>9</v>
      </c>
      <c r="B112" s="234"/>
      <c r="C112" s="145"/>
      <c r="D112" s="166"/>
      <c r="E112" s="27"/>
      <c r="F112" s="234"/>
      <c r="G112" s="145"/>
      <c r="H112" s="166"/>
      <c r="I112" s="27"/>
      <c r="J112" s="286"/>
      <c r="K112" s="44"/>
      <c r="L112" s="254"/>
      <c r="M112" s="27"/>
    </row>
    <row r="113" spans="1:14" x14ac:dyDescent="0.2">
      <c r="A113" s="21" t="s">
        <v>10</v>
      </c>
      <c r="B113" s="234"/>
      <c r="C113" s="145"/>
      <c r="D113" s="166"/>
      <c r="E113" s="27"/>
      <c r="F113" s="234"/>
      <c r="G113" s="145"/>
      <c r="H113" s="166"/>
      <c r="I113" s="27"/>
      <c r="J113" s="286"/>
      <c r="K113" s="44"/>
      <c r="L113" s="254"/>
      <c r="M113" s="27"/>
    </row>
    <row r="114" spans="1:14" x14ac:dyDescent="0.2">
      <c r="A114" s="21" t="s">
        <v>26</v>
      </c>
      <c r="B114" s="234"/>
      <c r="C114" s="145"/>
      <c r="D114" s="166"/>
      <c r="E114" s="27"/>
      <c r="F114" s="234"/>
      <c r="G114" s="145"/>
      <c r="H114" s="166"/>
      <c r="I114" s="27"/>
      <c r="J114" s="286"/>
      <c r="K114" s="44"/>
      <c r="L114" s="254"/>
      <c r="M114" s="27"/>
    </row>
    <row r="115" spans="1:14" x14ac:dyDescent="0.2">
      <c r="A115" s="295" t="s">
        <v>15</v>
      </c>
      <c r="B115" s="280"/>
      <c r="C115" s="280"/>
      <c r="D115" s="166"/>
      <c r="E115" s="365"/>
      <c r="F115" s="280"/>
      <c r="G115" s="280"/>
      <c r="H115" s="166"/>
      <c r="I115" s="365"/>
      <c r="J115" s="289"/>
      <c r="K115" s="289"/>
      <c r="L115" s="166"/>
      <c r="M115" s="23"/>
    </row>
    <row r="116" spans="1:14" ht="15.75" x14ac:dyDescent="0.2">
      <c r="A116" s="21" t="s">
        <v>473</v>
      </c>
      <c r="B116" s="234"/>
      <c r="C116" s="234"/>
      <c r="D116" s="166"/>
      <c r="E116" s="27"/>
      <c r="F116" s="234"/>
      <c r="G116" s="234"/>
      <c r="H116" s="166"/>
      <c r="I116" s="27"/>
      <c r="J116" s="286"/>
      <c r="K116" s="44"/>
      <c r="L116" s="254"/>
      <c r="M116" s="27"/>
    </row>
    <row r="117" spans="1:14" ht="15.75" x14ac:dyDescent="0.2">
      <c r="A117" s="21" t="s">
        <v>474</v>
      </c>
      <c r="B117" s="234"/>
      <c r="C117" s="234"/>
      <c r="D117" s="166"/>
      <c r="E117" s="27"/>
      <c r="F117" s="234"/>
      <c r="G117" s="234"/>
      <c r="H117" s="166"/>
      <c r="I117" s="27"/>
      <c r="J117" s="286"/>
      <c r="K117" s="44"/>
      <c r="L117" s="254"/>
      <c r="M117" s="27"/>
    </row>
    <row r="118" spans="1:14" ht="15.75" x14ac:dyDescent="0.2">
      <c r="A118" s="21" t="s">
        <v>472</v>
      </c>
      <c r="B118" s="234"/>
      <c r="C118" s="234"/>
      <c r="D118" s="166"/>
      <c r="E118" s="27"/>
      <c r="F118" s="234"/>
      <c r="G118" s="234"/>
      <c r="H118" s="166"/>
      <c r="I118" s="27"/>
      <c r="J118" s="286"/>
      <c r="K118" s="44"/>
      <c r="L118" s="254"/>
      <c r="M118" s="27"/>
    </row>
    <row r="119" spans="1:14" ht="15.75" x14ac:dyDescent="0.2">
      <c r="A119" s="13" t="s">
        <v>453</v>
      </c>
      <c r="B119" s="307"/>
      <c r="C119" s="159"/>
      <c r="D119" s="171"/>
      <c r="E119" s="11"/>
      <c r="F119" s="307"/>
      <c r="G119" s="159"/>
      <c r="H119" s="171"/>
      <c r="I119" s="11"/>
      <c r="J119" s="308"/>
      <c r="K119" s="236"/>
      <c r="L119" s="373"/>
      <c r="M119" s="11"/>
    </row>
    <row r="120" spans="1:14" x14ac:dyDescent="0.2">
      <c r="A120" s="21" t="s">
        <v>9</v>
      </c>
      <c r="B120" s="234"/>
      <c r="C120" s="145"/>
      <c r="D120" s="166"/>
      <c r="E120" s="27"/>
      <c r="F120" s="234"/>
      <c r="G120" s="145"/>
      <c r="H120" s="166"/>
      <c r="I120" s="27"/>
      <c r="J120" s="286"/>
      <c r="K120" s="44"/>
      <c r="L120" s="254"/>
      <c r="M120" s="27"/>
    </row>
    <row r="121" spans="1:14" x14ac:dyDescent="0.2">
      <c r="A121" s="21" t="s">
        <v>10</v>
      </c>
      <c r="B121" s="234"/>
      <c r="C121" s="145"/>
      <c r="D121" s="166"/>
      <c r="E121" s="27"/>
      <c r="F121" s="234"/>
      <c r="G121" s="145"/>
      <c r="H121" s="166"/>
      <c r="I121" s="27"/>
      <c r="J121" s="286"/>
      <c r="K121" s="44"/>
      <c r="L121" s="254"/>
      <c r="M121" s="27"/>
    </row>
    <row r="122" spans="1:14" x14ac:dyDescent="0.2">
      <c r="A122" s="21" t="s">
        <v>26</v>
      </c>
      <c r="B122" s="234"/>
      <c r="C122" s="145"/>
      <c r="D122" s="166"/>
      <c r="E122" s="27"/>
      <c r="F122" s="234"/>
      <c r="G122" s="145"/>
      <c r="H122" s="166"/>
      <c r="I122" s="27"/>
      <c r="J122" s="286"/>
      <c r="K122" s="44"/>
      <c r="L122" s="254"/>
      <c r="M122" s="27"/>
    </row>
    <row r="123" spans="1:14" x14ac:dyDescent="0.2">
      <c r="A123" s="295" t="s">
        <v>14</v>
      </c>
      <c r="B123" s="280"/>
      <c r="C123" s="280"/>
      <c r="D123" s="166"/>
      <c r="E123" s="365"/>
      <c r="F123" s="280"/>
      <c r="G123" s="280"/>
      <c r="H123" s="166"/>
      <c r="I123" s="365"/>
      <c r="J123" s="289"/>
      <c r="K123" s="289"/>
      <c r="L123" s="166"/>
      <c r="M123" s="23"/>
    </row>
    <row r="124" spans="1:14" ht="15.75" x14ac:dyDescent="0.2">
      <c r="A124" s="21" t="s">
        <v>479</v>
      </c>
      <c r="B124" s="234"/>
      <c r="C124" s="234"/>
      <c r="D124" s="166"/>
      <c r="E124" s="27"/>
      <c r="F124" s="234"/>
      <c r="G124" s="234"/>
      <c r="H124" s="166"/>
      <c r="I124" s="27"/>
      <c r="J124" s="286"/>
      <c r="K124" s="44"/>
      <c r="L124" s="254"/>
      <c r="M124" s="27"/>
    </row>
    <row r="125" spans="1:14" ht="15.75" x14ac:dyDescent="0.2">
      <c r="A125" s="21" t="s">
        <v>471</v>
      </c>
      <c r="B125" s="234"/>
      <c r="C125" s="234"/>
      <c r="D125" s="166"/>
      <c r="E125" s="27"/>
      <c r="F125" s="234"/>
      <c r="G125" s="234"/>
      <c r="H125" s="166"/>
      <c r="I125" s="27"/>
      <c r="J125" s="286"/>
      <c r="K125" s="44"/>
      <c r="L125" s="254"/>
      <c r="M125" s="27"/>
    </row>
    <row r="126" spans="1:14" ht="15.75" x14ac:dyDescent="0.2">
      <c r="A126" s="10" t="s">
        <v>472</v>
      </c>
      <c r="B126" s="45"/>
      <c r="C126" s="45"/>
      <c r="D126" s="167"/>
      <c r="E126" s="366"/>
      <c r="F126" s="45"/>
      <c r="G126" s="45"/>
      <c r="H126" s="167"/>
      <c r="I126" s="22"/>
      <c r="J126" s="287"/>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975"/>
      <c r="C130" s="975"/>
      <c r="D130" s="975"/>
      <c r="E130" s="298"/>
      <c r="F130" s="975"/>
      <c r="G130" s="975"/>
      <c r="H130" s="975"/>
      <c r="I130" s="298"/>
      <c r="J130" s="975"/>
      <c r="K130" s="975"/>
      <c r="L130" s="975"/>
      <c r="M130" s="298"/>
    </row>
    <row r="131" spans="1:14" s="3" customFormat="1" x14ac:dyDescent="0.2">
      <c r="A131" s="144"/>
      <c r="B131" s="973" t="s">
        <v>0</v>
      </c>
      <c r="C131" s="974"/>
      <c r="D131" s="974"/>
      <c r="E131" s="300"/>
      <c r="F131" s="973" t="s">
        <v>1</v>
      </c>
      <c r="G131" s="974"/>
      <c r="H131" s="974"/>
      <c r="I131" s="303"/>
      <c r="J131" s="973" t="s">
        <v>2</v>
      </c>
      <c r="K131" s="974"/>
      <c r="L131" s="974"/>
      <c r="M131" s="303"/>
      <c r="N131" s="148"/>
    </row>
    <row r="132" spans="1:14" s="3" customFormat="1" x14ac:dyDescent="0.2">
      <c r="A132" s="140"/>
      <c r="B132" s="152" t="s">
        <v>492</v>
      </c>
      <c r="C132" s="152" t="s">
        <v>493</v>
      </c>
      <c r="D132" s="245" t="s">
        <v>3</v>
      </c>
      <c r="E132" s="304" t="s">
        <v>29</v>
      </c>
      <c r="F132" s="152" t="s">
        <v>492</v>
      </c>
      <c r="G132" s="152" t="s">
        <v>493</v>
      </c>
      <c r="H132" s="206" t="s">
        <v>3</v>
      </c>
      <c r="I132" s="162" t="s">
        <v>29</v>
      </c>
      <c r="J132" s="152" t="s">
        <v>492</v>
      </c>
      <c r="K132" s="152" t="s">
        <v>493</v>
      </c>
      <c r="L132" s="246" t="s">
        <v>3</v>
      </c>
      <c r="M132" s="162" t="s">
        <v>29</v>
      </c>
      <c r="N132" s="148"/>
    </row>
    <row r="133" spans="1:14" s="3" customFormat="1" x14ac:dyDescent="0.2">
      <c r="A133" s="947"/>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475</v>
      </c>
      <c r="B134" s="236"/>
      <c r="C134" s="308"/>
      <c r="D134" s="349"/>
      <c r="E134" s="11"/>
      <c r="F134" s="315"/>
      <c r="G134" s="316"/>
      <c r="H134" s="376"/>
      <c r="I134" s="24"/>
      <c r="J134" s="317"/>
      <c r="K134" s="317"/>
      <c r="L134" s="372"/>
      <c r="M134" s="11"/>
      <c r="N134" s="148"/>
    </row>
    <row r="135" spans="1:14" s="3" customFormat="1" ht="15.75" x14ac:dyDescent="0.2">
      <c r="A135" s="13" t="s">
        <v>480</v>
      </c>
      <c r="B135" s="236"/>
      <c r="C135" s="308"/>
      <c r="D135" s="171"/>
      <c r="E135" s="11"/>
      <c r="F135" s="236"/>
      <c r="G135" s="308"/>
      <c r="H135" s="377"/>
      <c r="I135" s="24"/>
      <c r="J135" s="307"/>
      <c r="K135" s="307"/>
      <c r="L135" s="373"/>
      <c r="M135" s="11"/>
      <c r="N135" s="148"/>
    </row>
    <row r="136" spans="1:14" s="3" customFormat="1" ht="15.75" x14ac:dyDescent="0.2">
      <c r="A136" s="13" t="s">
        <v>477</v>
      </c>
      <c r="B136" s="236"/>
      <c r="C136" s="308"/>
      <c r="D136" s="171"/>
      <c r="E136" s="11"/>
      <c r="F136" s="236"/>
      <c r="G136" s="308"/>
      <c r="H136" s="377"/>
      <c r="I136" s="24"/>
      <c r="J136" s="307"/>
      <c r="K136" s="307"/>
      <c r="L136" s="373"/>
      <c r="M136" s="11"/>
      <c r="N136" s="148"/>
    </row>
    <row r="137" spans="1:14" s="3" customFormat="1" ht="15.75" x14ac:dyDescent="0.2">
      <c r="A137" s="41" t="s">
        <v>478</v>
      </c>
      <c r="B137" s="275"/>
      <c r="C137" s="314"/>
      <c r="D137" s="169"/>
      <c r="E137" s="9"/>
      <c r="F137" s="275"/>
      <c r="G137" s="314"/>
      <c r="H137" s="378"/>
      <c r="I137" s="36"/>
      <c r="J137" s="313"/>
      <c r="K137" s="313"/>
      <c r="L137" s="374"/>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037" priority="132">
      <formula>kvartal &lt; 4</formula>
    </cfRule>
  </conditionalFormatting>
  <conditionalFormatting sqref="B69">
    <cfRule type="expression" dxfId="1036" priority="100">
      <formula>kvartal &lt; 4</formula>
    </cfRule>
  </conditionalFormatting>
  <conditionalFormatting sqref="C69">
    <cfRule type="expression" dxfId="1035" priority="99">
      <formula>kvartal &lt; 4</formula>
    </cfRule>
  </conditionalFormatting>
  <conditionalFormatting sqref="B72">
    <cfRule type="expression" dxfId="1034" priority="98">
      <formula>kvartal &lt; 4</formula>
    </cfRule>
  </conditionalFormatting>
  <conditionalFormatting sqref="C72">
    <cfRule type="expression" dxfId="1033" priority="97">
      <formula>kvartal &lt; 4</formula>
    </cfRule>
  </conditionalFormatting>
  <conditionalFormatting sqref="B80">
    <cfRule type="expression" dxfId="1032" priority="96">
      <formula>kvartal &lt; 4</formula>
    </cfRule>
  </conditionalFormatting>
  <conditionalFormatting sqref="C80">
    <cfRule type="expression" dxfId="1031" priority="95">
      <formula>kvartal &lt; 4</formula>
    </cfRule>
  </conditionalFormatting>
  <conditionalFormatting sqref="B83">
    <cfRule type="expression" dxfId="1030" priority="94">
      <formula>kvartal &lt; 4</formula>
    </cfRule>
  </conditionalFormatting>
  <conditionalFormatting sqref="C83">
    <cfRule type="expression" dxfId="1029" priority="93">
      <formula>kvartal &lt; 4</formula>
    </cfRule>
  </conditionalFormatting>
  <conditionalFormatting sqref="B90">
    <cfRule type="expression" dxfId="1028" priority="84">
      <formula>kvartal &lt; 4</formula>
    </cfRule>
  </conditionalFormatting>
  <conditionalFormatting sqref="C90">
    <cfRule type="expression" dxfId="1027" priority="83">
      <formula>kvartal &lt; 4</formula>
    </cfRule>
  </conditionalFormatting>
  <conditionalFormatting sqref="B93">
    <cfRule type="expression" dxfId="1026" priority="82">
      <formula>kvartal &lt; 4</formula>
    </cfRule>
  </conditionalFormatting>
  <conditionalFormatting sqref="C93">
    <cfRule type="expression" dxfId="1025" priority="81">
      <formula>kvartal &lt; 4</formula>
    </cfRule>
  </conditionalFormatting>
  <conditionalFormatting sqref="B101">
    <cfRule type="expression" dxfId="1024" priority="80">
      <formula>kvartal &lt; 4</formula>
    </cfRule>
  </conditionalFormatting>
  <conditionalFormatting sqref="C101">
    <cfRule type="expression" dxfId="1023" priority="79">
      <formula>kvartal &lt; 4</formula>
    </cfRule>
  </conditionalFormatting>
  <conditionalFormatting sqref="B104">
    <cfRule type="expression" dxfId="1022" priority="78">
      <formula>kvartal &lt; 4</formula>
    </cfRule>
  </conditionalFormatting>
  <conditionalFormatting sqref="C104">
    <cfRule type="expression" dxfId="1021" priority="77">
      <formula>kvartal &lt; 4</formula>
    </cfRule>
  </conditionalFormatting>
  <conditionalFormatting sqref="B115">
    <cfRule type="expression" dxfId="1020" priority="76">
      <formula>kvartal &lt; 4</formula>
    </cfRule>
  </conditionalFormatting>
  <conditionalFormatting sqref="C115">
    <cfRule type="expression" dxfId="1019" priority="75">
      <formula>kvartal &lt; 4</formula>
    </cfRule>
  </conditionalFormatting>
  <conditionalFormatting sqref="B123">
    <cfRule type="expression" dxfId="1018" priority="74">
      <formula>kvartal &lt; 4</formula>
    </cfRule>
  </conditionalFormatting>
  <conditionalFormatting sqref="C123">
    <cfRule type="expression" dxfId="1017" priority="73">
      <formula>kvartal &lt; 4</formula>
    </cfRule>
  </conditionalFormatting>
  <conditionalFormatting sqref="F70">
    <cfRule type="expression" dxfId="1016" priority="72">
      <formula>kvartal &lt; 4</formula>
    </cfRule>
  </conditionalFormatting>
  <conditionalFormatting sqref="G70">
    <cfRule type="expression" dxfId="1015" priority="71">
      <formula>kvartal &lt; 4</formula>
    </cfRule>
  </conditionalFormatting>
  <conditionalFormatting sqref="F71:G71">
    <cfRule type="expression" dxfId="1014" priority="70">
      <formula>kvartal &lt; 4</formula>
    </cfRule>
  </conditionalFormatting>
  <conditionalFormatting sqref="F73:G74">
    <cfRule type="expression" dxfId="1013" priority="69">
      <formula>kvartal &lt; 4</formula>
    </cfRule>
  </conditionalFormatting>
  <conditionalFormatting sqref="F81:G82">
    <cfRule type="expression" dxfId="1012" priority="68">
      <formula>kvartal &lt; 4</formula>
    </cfRule>
  </conditionalFormatting>
  <conditionalFormatting sqref="F84:G85">
    <cfRule type="expression" dxfId="1011" priority="67">
      <formula>kvartal &lt; 4</formula>
    </cfRule>
  </conditionalFormatting>
  <conditionalFormatting sqref="F91:G92">
    <cfRule type="expression" dxfId="1010" priority="62">
      <formula>kvartal &lt; 4</formula>
    </cfRule>
  </conditionalFormatting>
  <conditionalFormatting sqref="F94:G95">
    <cfRule type="expression" dxfId="1009" priority="61">
      <formula>kvartal &lt; 4</formula>
    </cfRule>
  </conditionalFormatting>
  <conditionalFormatting sqref="F102:G103">
    <cfRule type="expression" dxfId="1008" priority="60">
      <formula>kvartal &lt; 4</formula>
    </cfRule>
  </conditionalFormatting>
  <conditionalFormatting sqref="F105:G106">
    <cfRule type="expression" dxfId="1007" priority="59">
      <formula>kvartal &lt; 4</formula>
    </cfRule>
  </conditionalFormatting>
  <conditionalFormatting sqref="F115">
    <cfRule type="expression" dxfId="1006" priority="58">
      <formula>kvartal &lt; 4</formula>
    </cfRule>
  </conditionalFormatting>
  <conditionalFormatting sqref="G115">
    <cfRule type="expression" dxfId="1005" priority="57">
      <formula>kvartal &lt; 4</formula>
    </cfRule>
  </conditionalFormatting>
  <conditionalFormatting sqref="F123:G123">
    <cfRule type="expression" dxfId="1004" priority="56">
      <formula>kvartal &lt; 4</formula>
    </cfRule>
  </conditionalFormatting>
  <conditionalFormatting sqref="F69:G69">
    <cfRule type="expression" dxfId="1003" priority="55">
      <formula>kvartal &lt; 4</formula>
    </cfRule>
  </conditionalFormatting>
  <conditionalFormatting sqref="F72:G72">
    <cfRule type="expression" dxfId="1002" priority="54">
      <formula>kvartal &lt; 4</formula>
    </cfRule>
  </conditionalFormatting>
  <conditionalFormatting sqref="F80:G80">
    <cfRule type="expression" dxfId="1001" priority="53">
      <formula>kvartal &lt; 4</formula>
    </cfRule>
  </conditionalFormatting>
  <conditionalFormatting sqref="F83:G83">
    <cfRule type="expression" dxfId="1000" priority="52">
      <formula>kvartal &lt; 4</formula>
    </cfRule>
  </conditionalFormatting>
  <conditionalFormatting sqref="F90:G90">
    <cfRule type="expression" dxfId="999" priority="46">
      <formula>kvartal &lt; 4</formula>
    </cfRule>
  </conditionalFormatting>
  <conditionalFormatting sqref="F93">
    <cfRule type="expression" dxfId="998" priority="45">
      <formula>kvartal &lt; 4</formula>
    </cfRule>
  </conditionalFormatting>
  <conditionalFormatting sqref="G93">
    <cfRule type="expression" dxfId="997" priority="44">
      <formula>kvartal &lt; 4</formula>
    </cfRule>
  </conditionalFormatting>
  <conditionalFormatting sqref="F101">
    <cfRule type="expression" dxfId="996" priority="43">
      <formula>kvartal &lt; 4</formula>
    </cfRule>
  </conditionalFormatting>
  <conditionalFormatting sqref="G101">
    <cfRule type="expression" dxfId="995" priority="42">
      <formula>kvartal &lt; 4</formula>
    </cfRule>
  </conditionalFormatting>
  <conditionalFormatting sqref="G104">
    <cfRule type="expression" dxfId="994" priority="41">
      <formula>kvartal &lt; 4</formula>
    </cfRule>
  </conditionalFormatting>
  <conditionalFormatting sqref="F104">
    <cfRule type="expression" dxfId="993" priority="40">
      <formula>kvartal &lt; 4</formula>
    </cfRule>
  </conditionalFormatting>
  <conditionalFormatting sqref="J69:K73">
    <cfRule type="expression" dxfId="992" priority="39">
      <formula>kvartal &lt; 4</formula>
    </cfRule>
  </conditionalFormatting>
  <conditionalFormatting sqref="J74:K74">
    <cfRule type="expression" dxfId="991" priority="38">
      <formula>kvartal &lt; 4</formula>
    </cfRule>
  </conditionalFormatting>
  <conditionalFormatting sqref="J80:K85">
    <cfRule type="expression" dxfId="990" priority="37">
      <formula>kvartal &lt; 4</formula>
    </cfRule>
  </conditionalFormatting>
  <conditionalFormatting sqref="J90:K95">
    <cfRule type="expression" dxfId="989" priority="34">
      <formula>kvartal &lt; 4</formula>
    </cfRule>
  </conditionalFormatting>
  <conditionalFormatting sqref="J101:K106">
    <cfRule type="expression" dxfId="988" priority="33">
      <formula>kvartal &lt; 4</formula>
    </cfRule>
  </conditionalFormatting>
  <conditionalFormatting sqref="J115:K115">
    <cfRule type="expression" dxfId="987" priority="32">
      <formula>kvartal &lt; 4</formula>
    </cfRule>
  </conditionalFormatting>
  <conditionalFormatting sqref="J123:K123">
    <cfRule type="expression" dxfId="986" priority="31">
      <formula>kvartal &lt; 4</formula>
    </cfRule>
  </conditionalFormatting>
  <conditionalFormatting sqref="A50:A52">
    <cfRule type="expression" dxfId="985" priority="12">
      <formula>kvartal &lt; 4</formula>
    </cfRule>
  </conditionalFormatting>
  <conditionalFormatting sqref="A69:A74">
    <cfRule type="expression" dxfId="984" priority="10">
      <formula>kvartal &lt; 4</formula>
    </cfRule>
  </conditionalFormatting>
  <conditionalFormatting sqref="A80:A85">
    <cfRule type="expression" dxfId="983" priority="9">
      <formula>kvartal &lt; 4</formula>
    </cfRule>
  </conditionalFormatting>
  <conditionalFormatting sqref="A90:A95">
    <cfRule type="expression" dxfId="982" priority="6">
      <formula>kvartal &lt; 4</formula>
    </cfRule>
  </conditionalFormatting>
  <conditionalFormatting sqref="A101:A106">
    <cfRule type="expression" dxfId="981" priority="5">
      <formula>kvartal &lt; 4</formula>
    </cfRule>
  </conditionalFormatting>
  <conditionalFormatting sqref="A115">
    <cfRule type="expression" dxfId="980" priority="4">
      <formula>kvartal &lt; 4</formula>
    </cfRule>
  </conditionalFormatting>
  <conditionalFormatting sqref="A123">
    <cfRule type="expression" dxfId="979" priority="3">
      <formula>kvartal &lt; 4</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139</v>
      </c>
      <c r="B1" s="945"/>
      <c r="C1" s="248" t="s">
        <v>133</v>
      </c>
      <c r="D1" s="26"/>
      <c r="E1" s="26"/>
      <c r="F1" s="26"/>
      <c r="G1" s="26"/>
      <c r="H1" s="26"/>
      <c r="I1" s="26"/>
      <c r="J1" s="26"/>
      <c r="K1" s="26"/>
      <c r="L1" s="26"/>
      <c r="M1" s="26"/>
    </row>
    <row r="2" spans="1:14" ht="15.75" x14ac:dyDescent="0.25">
      <c r="A2" s="165" t="s">
        <v>28</v>
      </c>
      <c r="B2" s="972"/>
      <c r="C2" s="972"/>
      <c r="D2" s="972"/>
      <c r="E2" s="298"/>
      <c r="F2" s="972"/>
      <c r="G2" s="972"/>
      <c r="H2" s="972"/>
      <c r="I2" s="298"/>
      <c r="J2" s="972"/>
      <c r="K2" s="972"/>
      <c r="L2" s="972"/>
      <c r="M2" s="298"/>
    </row>
    <row r="3" spans="1:14" ht="15.75" x14ac:dyDescent="0.25">
      <c r="A3" s="163"/>
      <c r="B3" s="298"/>
      <c r="C3" s="298"/>
      <c r="D3" s="298"/>
      <c r="E3" s="298"/>
      <c r="F3" s="298"/>
      <c r="G3" s="298"/>
      <c r="H3" s="298"/>
      <c r="I3" s="298"/>
      <c r="J3" s="298"/>
      <c r="K3" s="298"/>
      <c r="L3" s="298"/>
      <c r="M3" s="298"/>
    </row>
    <row r="4" spans="1:14" x14ac:dyDescent="0.2">
      <c r="A4" s="144"/>
      <c r="B4" s="973" t="s">
        <v>0</v>
      </c>
      <c r="C4" s="974"/>
      <c r="D4" s="974"/>
      <c r="E4" s="300"/>
      <c r="F4" s="973" t="s">
        <v>1</v>
      </c>
      <c r="G4" s="974"/>
      <c r="H4" s="974"/>
      <c r="I4" s="303"/>
      <c r="J4" s="973" t="s">
        <v>2</v>
      </c>
      <c r="K4" s="974"/>
      <c r="L4" s="974"/>
      <c r="M4" s="303"/>
    </row>
    <row r="5" spans="1:14" x14ac:dyDescent="0.2">
      <c r="A5" s="158"/>
      <c r="B5" s="152" t="s">
        <v>492</v>
      </c>
      <c r="C5" s="152" t="s">
        <v>493</v>
      </c>
      <c r="D5" s="245" t="s">
        <v>3</v>
      </c>
      <c r="E5" s="304" t="s">
        <v>29</v>
      </c>
      <c r="F5" s="152" t="s">
        <v>492</v>
      </c>
      <c r="G5" s="152" t="s">
        <v>493</v>
      </c>
      <c r="H5" s="245" t="s">
        <v>3</v>
      </c>
      <c r="I5" s="162" t="s">
        <v>29</v>
      </c>
      <c r="J5" s="152" t="s">
        <v>492</v>
      </c>
      <c r="K5" s="152" t="s">
        <v>493</v>
      </c>
      <c r="L5" s="245" t="s">
        <v>3</v>
      </c>
      <c r="M5" s="162" t="s">
        <v>29</v>
      </c>
    </row>
    <row r="6" spans="1:14" x14ac:dyDescent="0.2">
      <c r="A6" s="946"/>
      <c r="B6" s="156"/>
      <c r="C6" s="156"/>
      <c r="D6" s="246" t="s">
        <v>4</v>
      </c>
      <c r="E6" s="156" t="s">
        <v>30</v>
      </c>
      <c r="F6" s="161"/>
      <c r="G6" s="161"/>
      <c r="H6" s="245" t="s">
        <v>4</v>
      </c>
      <c r="I6" s="156" t="s">
        <v>30</v>
      </c>
      <c r="J6" s="161"/>
      <c r="K6" s="161"/>
      <c r="L6" s="245" t="s">
        <v>4</v>
      </c>
      <c r="M6" s="156" t="s">
        <v>30</v>
      </c>
    </row>
    <row r="7" spans="1:14" ht="15.75" x14ac:dyDescent="0.2">
      <c r="A7" s="14" t="s">
        <v>23</v>
      </c>
      <c r="B7" s="305">
        <v>325690</v>
      </c>
      <c r="C7" s="306">
        <v>352432.087</v>
      </c>
      <c r="D7" s="349">
        <f>IF(B7=0, "    ---- ", IF(ABS(ROUND(100/B7*C7-100,1))&lt;999,ROUND(100/B7*C7-100,1),IF(ROUND(100/B7*C7-100,1)&gt;999,999,-999)))</f>
        <v>8.1999999999999993</v>
      </c>
      <c r="E7" s="11">
        <f>IFERROR(100/'Skjema total MA'!C7*C7,0)</f>
        <v>7.4950078772095452</v>
      </c>
      <c r="F7" s="305"/>
      <c r="G7" s="306"/>
      <c r="H7" s="349"/>
      <c r="I7" s="160"/>
      <c r="J7" s="307">
        <f t="shared" ref="J7:K10" si="0">SUM(B7,F7)</f>
        <v>325690</v>
      </c>
      <c r="K7" s="308">
        <f t="shared" si="0"/>
        <v>352432.087</v>
      </c>
      <c r="L7" s="372">
        <f>IF(J7=0, "    ---- ", IF(ABS(ROUND(100/J7*K7-100,1))&lt;999,ROUND(100/J7*K7-100,1),IF(ROUND(100/J7*K7-100,1)&gt;999,999,-999)))</f>
        <v>8.1999999999999993</v>
      </c>
      <c r="M7" s="11">
        <f>IFERROR(100/'Skjema total MA'!I7*K7,0)</f>
        <v>2.3263713214976356</v>
      </c>
    </row>
    <row r="8" spans="1:14" ht="15.75" x14ac:dyDescent="0.2">
      <c r="A8" s="21" t="s">
        <v>25</v>
      </c>
      <c r="B8" s="280">
        <v>211348</v>
      </c>
      <c r="C8" s="281">
        <v>235552.10399999999</v>
      </c>
      <c r="D8" s="166">
        <f t="shared" ref="D8:D10" si="1">IF(B8=0, "    ---- ", IF(ABS(ROUND(100/B8*C8-100,1))&lt;999,ROUND(100/B8*C8-100,1),IF(ROUND(100/B8*C8-100,1)&gt;999,999,-999)))</f>
        <v>11.5</v>
      </c>
      <c r="E8" s="27">
        <f>IFERROR(100/'Skjema total MA'!C8*C8,0)</f>
        <v>8.3860404341738395</v>
      </c>
      <c r="F8" s="284"/>
      <c r="G8" s="285"/>
      <c r="H8" s="166"/>
      <c r="I8" s="175"/>
      <c r="J8" s="234">
        <f t="shared" si="0"/>
        <v>211348</v>
      </c>
      <c r="K8" s="286">
        <f t="shared" si="0"/>
        <v>235552.10399999999</v>
      </c>
      <c r="L8" s="166">
        <f t="shared" ref="L8:L9" si="2">IF(J8=0, "    ---- ", IF(ABS(ROUND(100/J8*K8-100,1))&lt;999,ROUND(100/J8*K8-100,1),IF(ROUND(100/J8*K8-100,1)&gt;999,999,-999)))</f>
        <v>11.5</v>
      </c>
      <c r="M8" s="27">
        <f>IFERROR(100/'Skjema total MA'!I8*K8,0)</f>
        <v>8.3860404341738395</v>
      </c>
    </row>
    <row r="9" spans="1:14" ht="15.75" x14ac:dyDescent="0.2">
      <c r="A9" s="21" t="s">
        <v>24</v>
      </c>
      <c r="B9" s="280">
        <v>114342</v>
      </c>
      <c r="C9" s="281">
        <v>116879.98299999999</v>
      </c>
      <c r="D9" s="166">
        <f t="shared" si="1"/>
        <v>2.2000000000000002</v>
      </c>
      <c r="E9" s="27">
        <f>IFERROR(100/'Skjema total MA'!C9*C9,0)</f>
        <v>11.869567253035843</v>
      </c>
      <c r="F9" s="284"/>
      <c r="G9" s="285"/>
      <c r="H9" s="166"/>
      <c r="I9" s="175"/>
      <c r="J9" s="234">
        <f t="shared" si="0"/>
        <v>114342</v>
      </c>
      <c r="K9" s="286">
        <f t="shared" si="0"/>
        <v>116879.98299999999</v>
      </c>
      <c r="L9" s="166">
        <f t="shared" si="2"/>
        <v>2.2000000000000002</v>
      </c>
      <c r="M9" s="27">
        <f>IFERROR(100/'Skjema total MA'!I9*K9,0)</f>
        <v>11.869567253035843</v>
      </c>
    </row>
    <row r="10" spans="1:14" ht="15.75" x14ac:dyDescent="0.2">
      <c r="A10" s="13" t="s">
        <v>451</v>
      </c>
      <c r="B10" s="309">
        <v>453992</v>
      </c>
      <c r="C10" s="310">
        <v>512717.34090000001</v>
      </c>
      <c r="D10" s="171">
        <f t="shared" si="1"/>
        <v>12.9</v>
      </c>
      <c r="E10" s="11">
        <f>IFERROR(100/'Skjema total MA'!C10*C10,0)</f>
        <v>2.4252440158351876</v>
      </c>
      <c r="F10" s="309"/>
      <c r="G10" s="310"/>
      <c r="H10" s="171"/>
      <c r="I10" s="160"/>
      <c r="J10" s="307">
        <f t="shared" si="0"/>
        <v>453992</v>
      </c>
      <c r="K10" s="308">
        <f t="shared" si="0"/>
        <v>512717.34090000001</v>
      </c>
      <c r="L10" s="373">
        <f t="shared" ref="L10" si="3">IF(J10=0, "    ---- ", IF(ABS(ROUND(100/J10*K10-100,1))&lt;999,ROUND(100/J10*K10-100,1),IF(ROUND(100/J10*K10-100,1)&gt;999,999,-999)))</f>
        <v>12.9</v>
      </c>
      <c r="M10" s="11">
        <f>IFERROR(100/'Skjema total MA'!I10*K10,0)</f>
        <v>0.69175373916187166</v>
      </c>
    </row>
    <row r="11" spans="1:14" s="43" customFormat="1" ht="15.75" x14ac:dyDescent="0.2">
      <c r="A11" s="13" t="s">
        <v>452</v>
      </c>
      <c r="B11" s="309"/>
      <c r="C11" s="310"/>
      <c r="D11" s="171"/>
      <c r="E11" s="11"/>
      <c r="F11" s="309"/>
      <c r="G11" s="310"/>
      <c r="H11" s="171"/>
      <c r="I11" s="160"/>
      <c r="J11" s="307"/>
      <c r="K11" s="308"/>
      <c r="L11" s="373"/>
      <c r="M11" s="11"/>
      <c r="N11" s="143"/>
    </row>
    <row r="12" spans="1:14" s="43" customFormat="1" ht="15.75" x14ac:dyDescent="0.2">
      <c r="A12" s="41" t="s">
        <v>453</v>
      </c>
      <c r="B12" s="311"/>
      <c r="C12" s="312"/>
      <c r="D12" s="169"/>
      <c r="E12" s="36"/>
      <c r="F12" s="311"/>
      <c r="G12" s="312"/>
      <c r="H12" s="169"/>
      <c r="I12" s="169"/>
      <c r="J12" s="313"/>
      <c r="K12" s="314"/>
      <c r="L12" s="374"/>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975"/>
      <c r="C18" s="975"/>
      <c r="D18" s="975"/>
      <c r="E18" s="298"/>
      <c r="F18" s="975"/>
      <c r="G18" s="975"/>
      <c r="H18" s="975"/>
      <c r="I18" s="298"/>
      <c r="J18" s="975"/>
      <c r="K18" s="975"/>
      <c r="L18" s="975"/>
      <c r="M18" s="298"/>
    </row>
    <row r="19" spans="1:14" x14ac:dyDescent="0.2">
      <c r="A19" s="144"/>
      <c r="B19" s="973" t="s">
        <v>0</v>
      </c>
      <c r="C19" s="974"/>
      <c r="D19" s="974"/>
      <c r="E19" s="300"/>
      <c r="F19" s="973" t="s">
        <v>1</v>
      </c>
      <c r="G19" s="974"/>
      <c r="H19" s="974"/>
      <c r="I19" s="303"/>
      <c r="J19" s="973" t="s">
        <v>2</v>
      </c>
      <c r="K19" s="974"/>
      <c r="L19" s="974"/>
      <c r="M19" s="303"/>
    </row>
    <row r="20" spans="1:14" x14ac:dyDescent="0.2">
      <c r="A20" s="140" t="s">
        <v>5</v>
      </c>
      <c r="B20" s="152" t="s">
        <v>492</v>
      </c>
      <c r="C20" s="152" t="s">
        <v>493</v>
      </c>
      <c r="D20" s="162" t="s">
        <v>3</v>
      </c>
      <c r="E20" s="304" t="s">
        <v>29</v>
      </c>
      <c r="F20" s="152" t="s">
        <v>492</v>
      </c>
      <c r="G20" s="152" t="s">
        <v>493</v>
      </c>
      <c r="H20" s="162" t="s">
        <v>3</v>
      </c>
      <c r="I20" s="162" t="s">
        <v>29</v>
      </c>
      <c r="J20" s="152" t="s">
        <v>492</v>
      </c>
      <c r="K20" s="152" t="s">
        <v>493</v>
      </c>
      <c r="L20" s="162" t="s">
        <v>3</v>
      </c>
      <c r="M20" s="162" t="s">
        <v>29</v>
      </c>
    </row>
    <row r="21" spans="1:14" x14ac:dyDescent="0.2">
      <c r="A21" s="947"/>
      <c r="B21" s="156"/>
      <c r="C21" s="156"/>
      <c r="D21" s="246" t="s">
        <v>4</v>
      </c>
      <c r="E21" s="156" t="s">
        <v>30</v>
      </c>
      <c r="F21" s="161"/>
      <c r="G21" s="161"/>
      <c r="H21" s="245"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372"/>
      <c r="M22" s="24"/>
    </row>
    <row r="23" spans="1:14" ht="15.75" x14ac:dyDescent="0.2">
      <c r="A23" s="753" t="s">
        <v>454</v>
      </c>
      <c r="B23" s="280"/>
      <c r="C23" s="280"/>
      <c r="D23" s="166"/>
      <c r="E23" s="11"/>
      <c r="F23" s="289"/>
      <c r="G23" s="289"/>
      <c r="H23" s="166"/>
      <c r="I23" s="365"/>
      <c r="J23" s="289"/>
      <c r="K23" s="289"/>
      <c r="L23" s="166"/>
      <c r="M23" s="23"/>
    </row>
    <row r="24" spans="1:14" ht="15.75" x14ac:dyDescent="0.2">
      <c r="A24" s="753" t="s">
        <v>455</v>
      </c>
      <c r="B24" s="280"/>
      <c r="C24" s="280"/>
      <c r="D24" s="166"/>
      <c r="E24" s="11"/>
      <c r="F24" s="289"/>
      <c r="G24" s="289"/>
      <c r="H24" s="166"/>
      <c r="I24" s="365"/>
      <c r="J24" s="289"/>
      <c r="K24" s="289"/>
      <c r="L24" s="166"/>
      <c r="M24" s="23"/>
    </row>
    <row r="25" spans="1:14" ht="15.75" x14ac:dyDescent="0.2">
      <c r="A25" s="753" t="s">
        <v>456</v>
      </c>
      <c r="B25" s="280"/>
      <c r="C25" s="280"/>
      <c r="D25" s="166"/>
      <c r="E25" s="11"/>
      <c r="F25" s="289"/>
      <c r="G25" s="289"/>
      <c r="H25" s="166"/>
      <c r="I25" s="365"/>
      <c r="J25" s="289"/>
      <c r="K25" s="289"/>
      <c r="L25" s="166"/>
      <c r="M25" s="23"/>
    </row>
    <row r="26" spans="1:14" ht="15.75" x14ac:dyDescent="0.2">
      <c r="A26" s="753" t="s">
        <v>457</v>
      </c>
      <c r="B26" s="280"/>
      <c r="C26" s="280"/>
      <c r="D26" s="166"/>
      <c r="E26" s="11"/>
      <c r="F26" s="289"/>
      <c r="G26" s="289"/>
      <c r="H26" s="166"/>
      <c r="I26" s="365"/>
      <c r="J26" s="289"/>
      <c r="K26" s="289"/>
      <c r="L26" s="166"/>
      <c r="M26" s="23"/>
    </row>
    <row r="27" spans="1:14" x14ac:dyDescent="0.2">
      <c r="A27" s="753" t="s">
        <v>11</v>
      </c>
      <c r="B27" s="280"/>
      <c r="C27" s="280"/>
      <c r="D27" s="166"/>
      <c r="E27" s="11"/>
      <c r="F27" s="289"/>
      <c r="G27" s="289"/>
      <c r="H27" s="166"/>
      <c r="I27" s="365"/>
      <c r="J27" s="289"/>
      <c r="K27" s="289"/>
      <c r="L27" s="166"/>
      <c r="M27" s="23"/>
    </row>
    <row r="28" spans="1:14" ht="15.75" x14ac:dyDescent="0.2">
      <c r="A28" s="49" t="s">
        <v>279</v>
      </c>
      <c r="B28" s="44">
        <v>130511</v>
      </c>
      <c r="C28" s="286">
        <v>158541.239</v>
      </c>
      <c r="D28" s="166">
        <f t="shared" ref="D28" si="4">IF(B28=0, "    ---- ", IF(ABS(ROUND(100/B28*C28-100,1))&lt;999,ROUND(100/B28*C28-100,1),IF(ROUND(100/B28*C28-100,1)&gt;999,999,-999)))</f>
        <v>21.5</v>
      </c>
      <c r="E28" s="11">
        <f>IFERROR(100/'Skjema total MA'!C28*C28,0)</f>
        <v>8.4353599413165146</v>
      </c>
      <c r="F28" s="234"/>
      <c r="G28" s="286"/>
      <c r="H28" s="166"/>
      <c r="I28" s="27"/>
      <c r="J28" s="44">
        <f t="shared" ref="J28:K28" si="5">SUM(B28,F28)</f>
        <v>130511</v>
      </c>
      <c r="K28" s="44">
        <f t="shared" si="5"/>
        <v>158541.239</v>
      </c>
      <c r="L28" s="254">
        <f t="shared" ref="L28" si="6">IF(J28=0, "    ---- ", IF(ABS(ROUND(100/J28*K28-100,1))&lt;999,ROUND(100/J28*K28-100,1),IF(ROUND(100/J28*K28-100,1)&gt;999,999,-999)))</f>
        <v>21.5</v>
      </c>
      <c r="M28" s="23">
        <f>IFERROR(100/'Skjema total MA'!I28*K28,0)</f>
        <v>8.4353599413165146</v>
      </c>
    </row>
    <row r="29" spans="1:14" s="3" customFormat="1" ht="15.75" x14ac:dyDescent="0.2">
      <c r="A29" s="13" t="s">
        <v>451</v>
      </c>
      <c r="B29" s="236"/>
      <c r="C29" s="236"/>
      <c r="D29" s="171"/>
      <c r="E29" s="11"/>
      <c r="F29" s="307"/>
      <c r="G29" s="307"/>
      <c r="H29" s="171"/>
      <c r="I29" s="11"/>
      <c r="J29" s="236"/>
      <c r="K29" s="236"/>
      <c r="L29" s="373"/>
      <c r="M29" s="24"/>
      <c r="N29" s="148"/>
    </row>
    <row r="30" spans="1:14" s="3" customFormat="1" ht="15.75" x14ac:dyDescent="0.2">
      <c r="A30" s="753" t="s">
        <v>454</v>
      </c>
      <c r="B30" s="280"/>
      <c r="C30" s="280"/>
      <c r="D30" s="166"/>
      <c r="E30" s="11"/>
      <c r="F30" s="289"/>
      <c r="G30" s="289"/>
      <c r="H30" s="166"/>
      <c r="I30" s="365"/>
      <c r="J30" s="289"/>
      <c r="K30" s="289"/>
      <c r="L30" s="166"/>
      <c r="M30" s="23"/>
      <c r="N30" s="148"/>
    </row>
    <row r="31" spans="1:14" s="3" customFormat="1" ht="15.75" x14ac:dyDescent="0.2">
      <c r="A31" s="753" t="s">
        <v>455</v>
      </c>
      <c r="B31" s="280"/>
      <c r="C31" s="280"/>
      <c r="D31" s="166"/>
      <c r="E31" s="11"/>
      <c r="F31" s="289"/>
      <c r="G31" s="289"/>
      <c r="H31" s="166"/>
      <c r="I31" s="365"/>
      <c r="J31" s="289"/>
      <c r="K31" s="289"/>
      <c r="L31" s="166"/>
      <c r="M31" s="23"/>
      <c r="N31" s="148"/>
    </row>
    <row r="32" spans="1:14" ht="15.75" x14ac:dyDescent="0.2">
      <c r="A32" s="753" t="s">
        <v>456</v>
      </c>
      <c r="B32" s="280"/>
      <c r="C32" s="280"/>
      <c r="D32" s="166"/>
      <c r="E32" s="11"/>
      <c r="F32" s="289"/>
      <c r="G32" s="289"/>
      <c r="H32" s="166"/>
      <c r="I32" s="365"/>
      <c r="J32" s="289"/>
      <c r="K32" s="289"/>
      <c r="L32" s="166"/>
      <c r="M32" s="23"/>
    </row>
    <row r="33" spans="1:14" ht="15.75" x14ac:dyDescent="0.2">
      <c r="A33" s="753" t="s">
        <v>457</v>
      </c>
      <c r="B33" s="280"/>
      <c r="C33" s="280"/>
      <c r="D33" s="166"/>
      <c r="E33" s="11"/>
      <c r="F33" s="289"/>
      <c r="G33" s="289"/>
      <c r="H33" s="166"/>
      <c r="I33" s="365"/>
      <c r="J33" s="289"/>
      <c r="K33" s="289"/>
      <c r="L33" s="166"/>
      <c r="M33" s="23"/>
    </row>
    <row r="34" spans="1:14" ht="15.75" x14ac:dyDescent="0.2">
      <c r="A34" s="13" t="s">
        <v>452</v>
      </c>
      <c r="B34" s="236"/>
      <c r="C34" s="308"/>
      <c r="D34" s="171"/>
      <c r="E34" s="11"/>
      <c r="F34" s="307"/>
      <c r="G34" s="308"/>
      <c r="H34" s="171"/>
      <c r="I34" s="11"/>
      <c r="J34" s="236"/>
      <c r="K34" s="236"/>
      <c r="L34" s="373"/>
      <c r="M34" s="24"/>
    </row>
    <row r="35" spans="1:14" ht="15.75" x14ac:dyDescent="0.2">
      <c r="A35" s="13" t="s">
        <v>453</v>
      </c>
      <c r="B35" s="236"/>
      <c r="C35" s="308"/>
      <c r="D35" s="171"/>
      <c r="E35" s="11"/>
      <c r="F35" s="307"/>
      <c r="G35" s="308"/>
      <c r="H35" s="171"/>
      <c r="I35" s="11"/>
      <c r="J35" s="236"/>
      <c r="K35" s="236"/>
      <c r="L35" s="373"/>
      <c r="M35" s="24"/>
    </row>
    <row r="36" spans="1:14" ht="15.75" x14ac:dyDescent="0.2">
      <c r="A36" s="12" t="s">
        <v>287</v>
      </c>
      <c r="B36" s="236"/>
      <c r="C36" s="308"/>
      <c r="D36" s="171"/>
      <c r="E36" s="11"/>
      <c r="F36" s="318"/>
      <c r="G36" s="319"/>
      <c r="H36" s="171"/>
      <c r="I36" s="379"/>
      <c r="J36" s="236"/>
      <c r="K36" s="236"/>
      <c r="L36" s="373"/>
      <c r="M36" s="24"/>
    </row>
    <row r="37" spans="1:14" ht="15.75" x14ac:dyDescent="0.2">
      <c r="A37" s="12" t="s">
        <v>459</v>
      </c>
      <c r="B37" s="236"/>
      <c r="C37" s="308"/>
      <c r="D37" s="171"/>
      <c r="E37" s="11"/>
      <c r="F37" s="318"/>
      <c r="G37" s="320"/>
      <c r="H37" s="171"/>
      <c r="I37" s="379"/>
      <c r="J37" s="236"/>
      <c r="K37" s="236"/>
      <c r="L37" s="373"/>
      <c r="M37" s="24"/>
    </row>
    <row r="38" spans="1:14" ht="15.75" x14ac:dyDescent="0.2">
      <c r="A38" s="12" t="s">
        <v>460</v>
      </c>
      <c r="B38" s="236"/>
      <c r="C38" s="308"/>
      <c r="D38" s="171"/>
      <c r="E38" s="24"/>
      <c r="F38" s="318"/>
      <c r="G38" s="319"/>
      <c r="H38" s="171"/>
      <c r="I38" s="379"/>
      <c r="J38" s="236"/>
      <c r="K38" s="236"/>
      <c r="L38" s="373"/>
      <c r="M38" s="24"/>
    </row>
    <row r="39" spans="1:14" ht="15.75" x14ac:dyDescent="0.2">
      <c r="A39" s="18" t="s">
        <v>461</v>
      </c>
      <c r="B39" s="275"/>
      <c r="C39" s="314"/>
      <c r="D39" s="169"/>
      <c r="E39" s="36"/>
      <c r="F39" s="321"/>
      <c r="G39" s="322"/>
      <c r="H39" s="169"/>
      <c r="I39" s="36"/>
      <c r="J39" s="236"/>
      <c r="K39" s="236"/>
      <c r="L39" s="374"/>
      <c r="M39" s="36"/>
    </row>
    <row r="40" spans="1:14" ht="15.75" x14ac:dyDescent="0.25">
      <c r="A40" s="47"/>
      <c r="B40" s="253"/>
      <c r="C40" s="253"/>
      <c r="D40" s="976"/>
      <c r="E40" s="976"/>
      <c r="F40" s="976"/>
      <c r="G40" s="976"/>
      <c r="H40" s="976"/>
      <c r="I40" s="976"/>
      <c r="J40" s="976"/>
      <c r="K40" s="976"/>
      <c r="L40" s="976"/>
      <c r="M40" s="301"/>
    </row>
    <row r="41" spans="1:14" x14ac:dyDescent="0.2">
      <c r="A41" s="155"/>
    </row>
    <row r="42" spans="1:14" ht="15.75" x14ac:dyDescent="0.25">
      <c r="A42" s="147" t="s">
        <v>276</v>
      </c>
      <c r="B42" s="972"/>
      <c r="C42" s="972"/>
      <c r="D42" s="972"/>
      <c r="E42" s="298"/>
      <c r="F42" s="977"/>
      <c r="G42" s="977"/>
      <c r="H42" s="977"/>
      <c r="I42" s="301"/>
      <c r="J42" s="977"/>
      <c r="K42" s="977"/>
      <c r="L42" s="977"/>
      <c r="M42" s="301"/>
    </row>
    <row r="43" spans="1:14" ht="15.75" x14ac:dyDescent="0.25">
      <c r="A43" s="163"/>
      <c r="B43" s="302"/>
      <c r="C43" s="302"/>
      <c r="D43" s="302"/>
      <c r="E43" s="302"/>
      <c r="F43" s="301"/>
      <c r="G43" s="301"/>
      <c r="H43" s="301"/>
      <c r="I43" s="301"/>
      <c r="J43" s="301"/>
      <c r="K43" s="301"/>
      <c r="L43" s="301"/>
      <c r="M43" s="301"/>
    </row>
    <row r="44" spans="1:14" ht="15.75" x14ac:dyDescent="0.25">
      <c r="A44" s="247"/>
      <c r="B44" s="973" t="s">
        <v>0</v>
      </c>
      <c r="C44" s="974"/>
      <c r="D44" s="974"/>
      <c r="E44" s="243"/>
      <c r="F44" s="301"/>
      <c r="G44" s="301"/>
      <c r="H44" s="301"/>
      <c r="I44" s="301"/>
      <c r="J44" s="301"/>
      <c r="K44" s="301"/>
      <c r="L44" s="301"/>
      <c r="M44" s="301"/>
    </row>
    <row r="45" spans="1:14" s="3" customFormat="1" x14ac:dyDescent="0.2">
      <c r="A45" s="140"/>
      <c r="B45" s="152" t="s">
        <v>492</v>
      </c>
      <c r="C45" s="152" t="s">
        <v>493</v>
      </c>
      <c r="D45" s="162" t="s">
        <v>3</v>
      </c>
      <c r="E45" s="162" t="s">
        <v>29</v>
      </c>
      <c r="F45" s="174"/>
      <c r="G45" s="174"/>
      <c r="H45" s="173"/>
      <c r="I45" s="173"/>
      <c r="J45" s="174"/>
      <c r="K45" s="174"/>
      <c r="L45" s="173"/>
      <c r="M45" s="173"/>
      <c r="N45" s="148"/>
    </row>
    <row r="46" spans="1:14" s="3" customFormat="1" x14ac:dyDescent="0.2">
      <c r="A46" s="947"/>
      <c r="B46" s="244"/>
      <c r="C46" s="244"/>
      <c r="D46" s="245" t="s">
        <v>4</v>
      </c>
      <c r="E46" s="156" t="s">
        <v>30</v>
      </c>
      <c r="F46" s="173"/>
      <c r="G46" s="173"/>
      <c r="H46" s="173"/>
      <c r="I46" s="173"/>
      <c r="J46" s="173"/>
      <c r="K46" s="173"/>
      <c r="L46" s="173"/>
      <c r="M46" s="173"/>
      <c r="N46" s="148"/>
    </row>
    <row r="47" spans="1:14" s="3" customFormat="1" ht="15.75" x14ac:dyDescent="0.2">
      <c r="A47" s="14" t="s">
        <v>23</v>
      </c>
      <c r="B47" s="309">
        <v>121876</v>
      </c>
      <c r="C47" s="310">
        <v>120398.47166</v>
      </c>
      <c r="D47" s="372">
        <f t="shared" ref="D47:D57" si="7">IF(B47=0, "    ---- ", IF(ABS(ROUND(100/B47*C47-100,1))&lt;999,ROUND(100/B47*C47-100,1),IF(ROUND(100/B47*C47-100,1)&gt;999,999,-999)))</f>
        <v>-1.2</v>
      </c>
      <c r="E47" s="11">
        <f>IFERROR(100/'Skjema total MA'!C47*C47,0)</f>
        <v>2.7818222930691885</v>
      </c>
      <c r="F47" s="145"/>
      <c r="G47" s="33"/>
      <c r="H47" s="159"/>
      <c r="I47" s="159"/>
      <c r="J47" s="37"/>
      <c r="K47" s="37"/>
      <c r="L47" s="159"/>
      <c r="M47" s="159"/>
      <c r="N47" s="148"/>
    </row>
    <row r="48" spans="1:14" s="3" customFormat="1" ht="15.75" x14ac:dyDescent="0.2">
      <c r="A48" s="38" t="s">
        <v>462</v>
      </c>
      <c r="B48" s="280">
        <v>121876</v>
      </c>
      <c r="C48" s="281">
        <v>120398.47166</v>
      </c>
      <c r="D48" s="254">
        <f t="shared" si="7"/>
        <v>-1.2</v>
      </c>
      <c r="E48" s="27">
        <f>IFERROR(100/'Skjema total MA'!C48*C48,0)</f>
        <v>5.0177853435528643</v>
      </c>
      <c r="F48" s="145"/>
      <c r="G48" s="33"/>
      <c r="H48" s="145"/>
      <c r="I48" s="145"/>
      <c r="J48" s="33"/>
      <c r="K48" s="33"/>
      <c r="L48" s="159"/>
      <c r="M48" s="159"/>
      <c r="N48" s="148"/>
    </row>
    <row r="49" spans="1:14" s="3" customFormat="1" ht="15.75" x14ac:dyDescent="0.2">
      <c r="A49" s="38" t="s">
        <v>463</v>
      </c>
      <c r="B49" s="44"/>
      <c r="C49" s="286"/>
      <c r="D49" s="254"/>
      <c r="E49" s="27"/>
      <c r="F49" s="145"/>
      <c r="G49" s="33"/>
      <c r="H49" s="145"/>
      <c r="I49" s="145"/>
      <c r="J49" s="37"/>
      <c r="K49" s="37"/>
      <c r="L49" s="159"/>
      <c r="M49" s="159"/>
      <c r="N49" s="148"/>
    </row>
    <row r="50" spans="1:14" s="3" customFormat="1" x14ac:dyDescent="0.2">
      <c r="A50" s="295" t="s">
        <v>6</v>
      </c>
      <c r="B50" s="289"/>
      <c r="C50" s="290"/>
      <c r="D50" s="254"/>
      <c r="E50" s="23"/>
      <c r="F50" s="145"/>
      <c r="G50" s="33"/>
      <c r="H50" s="145"/>
      <c r="I50" s="145"/>
      <c r="J50" s="33"/>
      <c r="K50" s="33"/>
      <c r="L50" s="159"/>
      <c r="M50" s="159"/>
      <c r="N50" s="148"/>
    </row>
    <row r="51" spans="1:14" s="3" customFormat="1" x14ac:dyDescent="0.2">
      <c r="A51" s="295" t="s">
        <v>7</v>
      </c>
      <c r="B51" s="289"/>
      <c r="C51" s="290"/>
      <c r="D51" s="254"/>
      <c r="E51" s="23"/>
      <c r="F51" s="145"/>
      <c r="G51" s="33"/>
      <c r="H51" s="145"/>
      <c r="I51" s="145"/>
      <c r="J51" s="33"/>
      <c r="K51" s="33"/>
      <c r="L51" s="159"/>
      <c r="M51" s="159"/>
      <c r="N51" s="148"/>
    </row>
    <row r="52" spans="1:14" s="3" customFormat="1" x14ac:dyDescent="0.2">
      <c r="A52" s="295" t="s">
        <v>8</v>
      </c>
      <c r="B52" s="289"/>
      <c r="C52" s="290"/>
      <c r="D52" s="254"/>
      <c r="E52" s="23"/>
      <c r="F52" s="145"/>
      <c r="G52" s="33"/>
      <c r="H52" s="145"/>
      <c r="I52" s="145"/>
      <c r="J52" s="33"/>
      <c r="K52" s="33"/>
      <c r="L52" s="159"/>
      <c r="M52" s="159"/>
      <c r="N52" s="148"/>
    </row>
    <row r="53" spans="1:14" s="3" customFormat="1" ht="15.75" x14ac:dyDescent="0.2">
      <c r="A53" s="39" t="s">
        <v>464</v>
      </c>
      <c r="B53" s="309">
        <v>2655.3040000000001</v>
      </c>
      <c r="C53" s="310">
        <v>3148.8780000000002</v>
      </c>
      <c r="D53" s="373">
        <f t="shared" si="7"/>
        <v>18.600000000000001</v>
      </c>
      <c r="E53" s="11">
        <f>IFERROR(100/'Skjema total MA'!C53*C53,0)</f>
        <v>1.3494809332684323</v>
      </c>
      <c r="F53" s="145"/>
      <c r="G53" s="33"/>
      <c r="H53" s="145"/>
      <c r="I53" s="145"/>
      <c r="J53" s="33"/>
      <c r="K53" s="33"/>
      <c r="L53" s="159"/>
      <c r="M53" s="159"/>
      <c r="N53" s="148"/>
    </row>
    <row r="54" spans="1:14" s="3" customFormat="1" ht="15.75" x14ac:dyDescent="0.2">
      <c r="A54" s="38" t="s">
        <v>462</v>
      </c>
      <c r="B54" s="280">
        <v>2655.3040000000001</v>
      </c>
      <c r="C54" s="281">
        <v>3148.8780000000002</v>
      </c>
      <c r="D54" s="254">
        <f t="shared" si="7"/>
        <v>18.600000000000001</v>
      </c>
      <c r="E54" s="27">
        <f>IFERROR(100/'Skjema total MA'!C54*C54,0)</f>
        <v>2.268979976452278</v>
      </c>
      <c r="F54" s="145"/>
      <c r="G54" s="33"/>
      <c r="H54" s="145"/>
      <c r="I54" s="145"/>
      <c r="J54" s="33"/>
      <c r="K54" s="33"/>
      <c r="L54" s="159"/>
      <c r="M54" s="159"/>
      <c r="N54" s="148"/>
    </row>
    <row r="55" spans="1:14" s="3" customFormat="1" ht="15.75" x14ac:dyDescent="0.2">
      <c r="A55" s="38" t="s">
        <v>463</v>
      </c>
      <c r="B55" s="280"/>
      <c r="C55" s="281"/>
      <c r="D55" s="254"/>
      <c r="E55" s="27"/>
      <c r="F55" s="145"/>
      <c r="G55" s="33"/>
      <c r="H55" s="145"/>
      <c r="I55" s="145"/>
      <c r="J55" s="33"/>
      <c r="K55" s="33"/>
      <c r="L55" s="159"/>
      <c r="M55" s="159"/>
      <c r="N55" s="148"/>
    </row>
    <row r="56" spans="1:14" s="3" customFormat="1" ht="15.75" x14ac:dyDescent="0.2">
      <c r="A56" s="39" t="s">
        <v>465</v>
      </c>
      <c r="B56" s="309">
        <v>3010.7170000000001</v>
      </c>
      <c r="C56" s="310">
        <v>5722.1710000000003</v>
      </c>
      <c r="D56" s="373">
        <f t="shared" si="7"/>
        <v>90.1</v>
      </c>
      <c r="E56" s="11">
        <f>IFERROR(100/'Skjema total MA'!C56*C56,0)</f>
        <v>3.0765529305167361</v>
      </c>
      <c r="F56" s="145"/>
      <c r="G56" s="33"/>
      <c r="H56" s="145"/>
      <c r="I56" s="145"/>
      <c r="J56" s="33"/>
      <c r="K56" s="33"/>
      <c r="L56" s="159"/>
      <c r="M56" s="159"/>
      <c r="N56" s="148"/>
    </row>
    <row r="57" spans="1:14" s="3" customFormat="1" ht="15.75" x14ac:dyDescent="0.2">
      <c r="A57" s="38" t="s">
        <v>462</v>
      </c>
      <c r="B57" s="280">
        <v>3010.7170000000001</v>
      </c>
      <c r="C57" s="281">
        <v>5722.1710000000003</v>
      </c>
      <c r="D57" s="254">
        <f t="shared" si="7"/>
        <v>90.1</v>
      </c>
      <c r="E57" s="27">
        <f>IFERROR(100/'Skjema total MA'!C57*C57,0)</f>
        <v>4.7928583017288036</v>
      </c>
      <c r="F57" s="145"/>
      <c r="G57" s="33"/>
      <c r="H57" s="145"/>
      <c r="I57" s="145"/>
      <c r="J57" s="33"/>
      <c r="K57" s="33"/>
      <c r="L57" s="159"/>
      <c r="M57" s="159"/>
      <c r="N57" s="148"/>
    </row>
    <row r="58" spans="1:14" s="3" customFormat="1" ht="15.75" x14ac:dyDescent="0.2">
      <c r="A58" s="46" t="s">
        <v>463</v>
      </c>
      <c r="B58" s="282"/>
      <c r="C58" s="283"/>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975"/>
      <c r="C62" s="975"/>
      <c r="D62" s="975"/>
      <c r="E62" s="298"/>
      <c r="F62" s="975"/>
      <c r="G62" s="975"/>
      <c r="H62" s="975"/>
      <c r="I62" s="298"/>
      <c r="J62" s="975"/>
      <c r="K62" s="975"/>
      <c r="L62" s="975"/>
      <c r="M62" s="298"/>
    </row>
    <row r="63" spans="1:14" x14ac:dyDescent="0.2">
      <c r="A63" s="144"/>
      <c r="B63" s="973" t="s">
        <v>0</v>
      </c>
      <c r="C63" s="974"/>
      <c r="D63" s="978"/>
      <c r="E63" s="299"/>
      <c r="F63" s="974" t="s">
        <v>1</v>
      </c>
      <c r="G63" s="974"/>
      <c r="H63" s="974"/>
      <c r="I63" s="303"/>
      <c r="J63" s="973" t="s">
        <v>2</v>
      </c>
      <c r="K63" s="974"/>
      <c r="L63" s="974"/>
      <c r="M63" s="303"/>
    </row>
    <row r="64" spans="1:14" x14ac:dyDescent="0.2">
      <c r="A64" s="140"/>
      <c r="B64" s="152" t="s">
        <v>492</v>
      </c>
      <c r="C64" s="152" t="s">
        <v>493</v>
      </c>
      <c r="D64" s="245" t="s">
        <v>3</v>
      </c>
      <c r="E64" s="304" t="s">
        <v>29</v>
      </c>
      <c r="F64" s="152" t="s">
        <v>492</v>
      </c>
      <c r="G64" s="152" t="s">
        <v>493</v>
      </c>
      <c r="H64" s="245" t="s">
        <v>3</v>
      </c>
      <c r="I64" s="304" t="s">
        <v>29</v>
      </c>
      <c r="J64" s="152" t="s">
        <v>492</v>
      </c>
      <c r="K64" s="152" t="s">
        <v>493</v>
      </c>
      <c r="L64" s="245" t="s">
        <v>3</v>
      </c>
      <c r="M64" s="162" t="s">
        <v>29</v>
      </c>
    </row>
    <row r="65" spans="1:14" x14ac:dyDescent="0.2">
      <c r="A65" s="947"/>
      <c r="B65" s="156"/>
      <c r="C65" s="156"/>
      <c r="D65" s="246" t="s">
        <v>4</v>
      </c>
      <c r="E65" s="156" t="s">
        <v>30</v>
      </c>
      <c r="F65" s="161"/>
      <c r="G65" s="161"/>
      <c r="H65" s="245" t="s">
        <v>4</v>
      </c>
      <c r="I65" s="156" t="s">
        <v>30</v>
      </c>
      <c r="J65" s="161"/>
      <c r="K65" s="206"/>
      <c r="L65" s="156" t="s">
        <v>4</v>
      </c>
      <c r="M65" s="156" t="s">
        <v>30</v>
      </c>
    </row>
    <row r="66" spans="1:14" ht="15.75" x14ac:dyDescent="0.2">
      <c r="A66" s="14" t="s">
        <v>23</v>
      </c>
      <c r="B66" s="352"/>
      <c r="C66" s="352"/>
      <c r="D66" s="349"/>
      <c r="E66" s="11"/>
      <c r="F66" s="351"/>
      <c r="G66" s="351"/>
      <c r="H66" s="349"/>
      <c r="I66" s="11"/>
      <c r="J66" s="308"/>
      <c r="K66" s="315"/>
      <c r="L66" s="373"/>
      <c r="M66" s="11"/>
    </row>
    <row r="67" spans="1:14" x14ac:dyDescent="0.2">
      <c r="A67" s="367" t="s">
        <v>9</v>
      </c>
      <c r="B67" s="44"/>
      <c r="C67" s="145"/>
      <c r="D67" s="166"/>
      <c r="E67" s="27"/>
      <c r="F67" s="234"/>
      <c r="G67" s="145"/>
      <c r="H67" s="166"/>
      <c r="I67" s="27"/>
      <c r="J67" s="286"/>
      <c r="K67" s="44"/>
      <c r="L67" s="254"/>
      <c r="M67" s="27"/>
    </row>
    <row r="68" spans="1:14" x14ac:dyDescent="0.2">
      <c r="A68" s="21" t="s">
        <v>10</v>
      </c>
      <c r="B68" s="291"/>
      <c r="C68" s="292"/>
      <c r="D68" s="166"/>
      <c r="E68" s="27"/>
      <c r="F68" s="291"/>
      <c r="G68" s="292"/>
      <c r="H68" s="166"/>
      <c r="I68" s="27"/>
      <c r="J68" s="286"/>
      <c r="K68" s="44"/>
      <c r="L68" s="254"/>
      <c r="M68" s="27"/>
    </row>
    <row r="69" spans="1:14" ht="15.75" x14ac:dyDescent="0.2">
      <c r="A69" s="295" t="s">
        <v>466</v>
      </c>
      <c r="B69" s="280"/>
      <c r="C69" s="280"/>
      <c r="D69" s="166"/>
      <c r="E69" s="365"/>
      <c r="F69" s="280"/>
      <c r="G69" s="280"/>
      <c r="H69" s="166"/>
      <c r="I69" s="365"/>
      <c r="J69" s="289"/>
      <c r="K69" s="289"/>
      <c r="L69" s="166"/>
      <c r="M69" s="23"/>
    </row>
    <row r="70" spans="1:14" x14ac:dyDescent="0.2">
      <c r="A70" s="295" t="s">
        <v>12</v>
      </c>
      <c r="B70" s="293"/>
      <c r="C70" s="294"/>
      <c r="D70" s="166"/>
      <c r="E70" s="365"/>
      <c r="F70" s="280"/>
      <c r="G70" s="280"/>
      <c r="H70" s="166"/>
      <c r="I70" s="365"/>
      <c r="J70" s="289"/>
      <c r="K70" s="289"/>
      <c r="L70" s="166"/>
      <c r="M70" s="23"/>
    </row>
    <row r="71" spans="1:14" x14ac:dyDescent="0.2">
      <c r="A71" s="295" t="s">
        <v>13</v>
      </c>
      <c r="B71" s="235"/>
      <c r="C71" s="288"/>
      <c r="D71" s="166"/>
      <c r="E71" s="365"/>
      <c r="F71" s="280"/>
      <c r="G71" s="280"/>
      <c r="H71" s="166"/>
      <c r="I71" s="365"/>
      <c r="J71" s="289"/>
      <c r="K71" s="289"/>
      <c r="L71" s="166"/>
      <c r="M71" s="23"/>
    </row>
    <row r="72" spans="1:14" ht="15.75" x14ac:dyDescent="0.2">
      <c r="A72" s="295" t="s">
        <v>467</v>
      </c>
      <c r="B72" s="280"/>
      <c r="C72" s="280"/>
      <c r="D72" s="166"/>
      <c r="E72" s="365"/>
      <c r="F72" s="280"/>
      <c r="G72" s="280"/>
      <c r="H72" s="166"/>
      <c r="I72" s="365"/>
      <c r="J72" s="289"/>
      <c r="K72" s="289"/>
      <c r="L72" s="166"/>
      <c r="M72" s="23"/>
    </row>
    <row r="73" spans="1:14" x14ac:dyDescent="0.2">
      <c r="A73" s="295" t="s">
        <v>12</v>
      </c>
      <c r="B73" s="235"/>
      <c r="C73" s="288"/>
      <c r="D73" s="166"/>
      <c r="E73" s="365"/>
      <c r="F73" s="280"/>
      <c r="G73" s="280"/>
      <c r="H73" s="166"/>
      <c r="I73" s="365"/>
      <c r="J73" s="289"/>
      <c r="K73" s="289"/>
      <c r="L73" s="166"/>
      <c r="M73" s="23"/>
    </row>
    <row r="74" spans="1:14" s="3" customFormat="1" x14ac:dyDescent="0.2">
      <c r="A74" s="295" t="s">
        <v>13</v>
      </c>
      <c r="B74" s="235"/>
      <c r="C74" s="288"/>
      <c r="D74" s="166"/>
      <c r="E74" s="365"/>
      <c r="F74" s="280"/>
      <c r="G74" s="280"/>
      <c r="H74" s="166"/>
      <c r="I74" s="365"/>
      <c r="J74" s="289"/>
      <c r="K74" s="289"/>
      <c r="L74" s="166"/>
      <c r="M74" s="23"/>
      <c r="N74" s="148"/>
    </row>
    <row r="75" spans="1:14" s="3" customFormat="1" x14ac:dyDescent="0.2">
      <c r="A75" s="21" t="s">
        <v>353</v>
      </c>
      <c r="B75" s="234"/>
      <c r="C75" s="145"/>
      <c r="D75" s="166"/>
      <c r="E75" s="27"/>
      <c r="F75" s="234"/>
      <c r="G75" s="145"/>
      <c r="H75" s="166"/>
      <c r="I75" s="27"/>
      <c r="J75" s="286"/>
      <c r="K75" s="44"/>
      <c r="L75" s="254"/>
      <c r="M75" s="27"/>
      <c r="N75" s="148"/>
    </row>
    <row r="76" spans="1:14" s="3" customFormat="1" x14ac:dyDescent="0.2">
      <c r="A76" s="21" t="s">
        <v>352</v>
      </c>
      <c r="B76" s="234"/>
      <c r="C76" s="145"/>
      <c r="D76" s="166"/>
      <c r="E76" s="27"/>
      <c r="F76" s="234"/>
      <c r="G76" s="145"/>
      <c r="H76" s="166"/>
      <c r="I76" s="27"/>
      <c r="J76" s="286"/>
      <c r="K76" s="44"/>
      <c r="L76" s="254"/>
      <c r="M76" s="27"/>
      <c r="N76" s="148"/>
    </row>
    <row r="77" spans="1:14" ht="15.75" x14ac:dyDescent="0.2">
      <c r="A77" s="21" t="s">
        <v>468</v>
      </c>
      <c r="B77" s="234"/>
      <c r="C77" s="234"/>
      <c r="D77" s="166"/>
      <c r="E77" s="27"/>
      <c r="F77" s="234"/>
      <c r="G77" s="145"/>
      <c r="H77" s="166"/>
      <c r="I77" s="27"/>
      <c r="J77" s="286"/>
      <c r="K77" s="44"/>
      <c r="L77" s="254"/>
      <c r="M77" s="27"/>
    </row>
    <row r="78" spans="1:14" x14ac:dyDescent="0.2">
      <c r="A78" s="21" t="s">
        <v>9</v>
      </c>
      <c r="B78" s="234"/>
      <c r="C78" s="145"/>
      <c r="D78" s="166"/>
      <c r="E78" s="27"/>
      <c r="F78" s="234"/>
      <c r="G78" s="145"/>
      <c r="H78" s="166"/>
      <c r="I78" s="27"/>
      <c r="J78" s="286"/>
      <c r="K78" s="44"/>
      <c r="L78" s="254"/>
      <c r="M78" s="27"/>
    </row>
    <row r="79" spans="1:14" x14ac:dyDescent="0.2">
      <c r="A79" s="21" t="s">
        <v>10</v>
      </c>
      <c r="B79" s="291"/>
      <c r="C79" s="292"/>
      <c r="D79" s="166"/>
      <c r="E79" s="27"/>
      <c r="F79" s="291"/>
      <c r="G79" s="292"/>
      <c r="H79" s="166"/>
      <c r="I79" s="27"/>
      <c r="J79" s="286"/>
      <c r="K79" s="44"/>
      <c r="L79" s="254"/>
      <c r="M79" s="27"/>
    </row>
    <row r="80" spans="1:14" ht="15.75" x14ac:dyDescent="0.2">
      <c r="A80" s="295" t="s">
        <v>466</v>
      </c>
      <c r="B80" s="280"/>
      <c r="C80" s="280"/>
      <c r="D80" s="166"/>
      <c r="E80" s="365"/>
      <c r="F80" s="280"/>
      <c r="G80" s="280"/>
      <c r="H80" s="166"/>
      <c r="I80" s="365"/>
      <c r="J80" s="289"/>
      <c r="K80" s="289"/>
      <c r="L80" s="166"/>
      <c r="M80" s="23"/>
    </row>
    <row r="81" spans="1:13" x14ac:dyDescent="0.2">
      <c r="A81" s="295" t="s">
        <v>12</v>
      </c>
      <c r="B81" s="235"/>
      <c r="C81" s="288"/>
      <c r="D81" s="166"/>
      <c r="E81" s="365"/>
      <c r="F81" s="280"/>
      <c r="G81" s="280"/>
      <c r="H81" s="166"/>
      <c r="I81" s="365"/>
      <c r="J81" s="289"/>
      <c r="K81" s="289"/>
      <c r="L81" s="166"/>
      <c r="M81" s="23"/>
    </row>
    <row r="82" spans="1:13" x14ac:dyDescent="0.2">
      <c r="A82" s="295" t="s">
        <v>13</v>
      </c>
      <c r="B82" s="235"/>
      <c r="C82" s="288"/>
      <c r="D82" s="166"/>
      <c r="E82" s="365"/>
      <c r="F82" s="280"/>
      <c r="G82" s="280"/>
      <c r="H82" s="166"/>
      <c r="I82" s="365"/>
      <c r="J82" s="289"/>
      <c r="K82" s="289"/>
      <c r="L82" s="166"/>
      <c r="M82" s="23"/>
    </row>
    <row r="83" spans="1:13" ht="15.75" x14ac:dyDescent="0.2">
      <c r="A83" s="295" t="s">
        <v>467</v>
      </c>
      <c r="B83" s="280"/>
      <c r="C83" s="280"/>
      <c r="D83" s="166"/>
      <c r="E83" s="365"/>
      <c r="F83" s="280"/>
      <c r="G83" s="280"/>
      <c r="H83" s="166"/>
      <c r="I83" s="365"/>
      <c r="J83" s="289"/>
      <c r="K83" s="289"/>
      <c r="L83" s="166"/>
      <c r="M83" s="23"/>
    </row>
    <row r="84" spans="1:13" x14ac:dyDescent="0.2">
      <c r="A84" s="295" t="s">
        <v>12</v>
      </c>
      <c r="B84" s="235"/>
      <c r="C84" s="288"/>
      <c r="D84" s="166"/>
      <c r="E84" s="365"/>
      <c r="F84" s="280"/>
      <c r="G84" s="280"/>
      <c r="H84" s="166"/>
      <c r="I84" s="365"/>
      <c r="J84" s="289"/>
      <c r="K84" s="289"/>
      <c r="L84" s="166"/>
      <c r="M84" s="23"/>
    </row>
    <row r="85" spans="1:13" x14ac:dyDescent="0.2">
      <c r="A85" s="295" t="s">
        <v>13</v>
      </c>
      <c r="B85" s="235"/>
      <c r="C85" s="288"/>
      <c r="D85" s="166"/>
      <c r="E85" s="365"/>
      <c r="F85" s="280"/>
      <c r="G85" s="280"/>
      <c r="H85" s="166"/>
      <c r="I85" s="365"/>
      <c r="J85" s="289"/>
      <c r="K85" s="289"/>
      <c r="L85" s="166"/>
      <c r="M85" s="23"/>
    </row>
    <row r="86" spans="1:13" ht="15.75" x14ac:dyDescent="0.2">
      <c r="A86" s="21" t="s">
        <v>469</v>
      </c>
      <c r="B86" s="234"/>
      <c r="C86" s="145"/>
      <c r="D86" s="166"/>
      <c r="E86" s="27"/>
      <c r="F86" s="234"/>
      <c r="G86" s="145"/>
      <c r="H86" s="166"/>
      <c r="I86" s="27"/>
      <c r="J86" s="286"/>
      <c r="K86" s="44"/>
      <c r="L86" s="254"/>
      <c r="M86" s="27"/>
    </row>
    <row r="87" spans="1:13" ht="15.75" x14ac:dyDescent="0.2">
      <c r="A87" s="13" t="s">
        <v>451</v>
      </c>
      <c r="B87" s="352"/>
      <c r="C87" s="352"/>
      <c r="D87" s="171"/>
      <c r="E87" s="11"/>
      <c r="F87" s="351"/>
      <c r="G87" s="351"/>
      <c r="H87" s="171"/>
      <c r="I87" s="11"/>
      <c r="J87" s="308"/>
      <c r="K87" s="236"/>
      <c r="L87" s="373"/>
      <c r="M87" s="11"/>
    </row>
    <row r="88" spans="1:13" x14ac:dyDescent="0.2">
      <c r="A88" s="21" t="s">
        <v>9</v>
      </c>
      <c r="B88" s="234"/>
      <c r="C88" s="145"/>
      <c r="D88" s="166"/>
      <c r="E88" s="27"/>
      <c r="F88" s="234"/>
      <c r="G88" s="145"/>
      <c r="H88" s="166"/>
      <c r="I88" s="27"/>
      <c r="J88" s="286"/>
      <c r="K88" s="44"/>
      <c r="L88" s="254"/>
      <c r="M88" s="27"/>
    </row>
    <row r="89" spans="1:13" x14ac:dyDescent="0.2">
      <c r="A89" s="21" t="s">
        <v>10</v>
      </c>
      <c r="B89" s="234"/>
      <c r="C89" s="145"/>
      <c r="D89" s="166"/>
      <c r="E89" s="27"/>
      <c r="F89" s="234"/>
      <c r="G89" s="145"/>
      <c r="H89" s="166"/>
      <c r="I89" s="27"/>
      <c r="J89" s="286"/>
      <c r="K89" s="44"/>
      <c r="L89" s="254"/>
      <c r="M89" s="27"/>
    </row>
    <row r="90" spans="1:13" ht="15.75" x14ac:dyDescent="0.2">
      <c r="A90" s="295" t="s">
        <v>466</v>
      </c>
      <c r="B90" s="280"/>
      <c r="C90" s="280"/>
      <c r="D90" s="166"/>
      <c r="E90" s="365"/>
      <c r="F90" s="280"/>
      <c r="G90" s="280"/>
      <c r="H90" s="166"/>
      <c r="I90" s="365"/>
      <c r="J90" s="289"/>
      <c r="K90" s="289"/>
      <c r="L90" s="166"/>
      <c r="M90" s="23"/>
    </row>
    <row r="91" spans="1:13" x14ac:dyDescent="0.2">
      <c r="A91" s="295" t="s">
        <v>12</v>
      </c>
      <c r="B91" s="235"/>
      <c r="C91" s="288"/>
      <c r="D91" s="166"/>
      <c r="E91" s="365"/>
      <c r="F91" s="280"/>
      <c r="G91" s="280"/>
      <c r="H91" s="166"/>
      <c r="I91" s="365"/>
      <c r="J91" s="289"/>
      <c r="K91" s="289"/>
      <c r="L91" s="166"/>
      <c r="M91" s="23"/>
    </row>
    <row r="92" spans="1:13" x14ac:dyDescent="0.2">
      <c r="A92" s="295" t="s">
        <v>13</v>
      </c>
      <c r="B92" s="235"/>
      <c r="C92" s="288"/>
      <c r="D92" s="166"/>
      <c r="E92" s="365"/>
      <c r="F92" s="280"/>
      <c r="G92" s="280"/>
      <c r="H92" s="166"/>
      <c r="I92" s="365"/>
      <c r="J92" s="289"/>
      <c r="K92" s="289"/>
      <c r="L92" s="166"/>
      <c r="M92" s="23"/>
    </row>
    <row r="93" spans="1:13" ht="15.75" x14ac:dyDescent="0.2">
      <c r="A93" s="295" t="s">
        <v>467</v>
      </c>
      <c r="B93" s="280"/>
      <c r="C93" s="280"/>
      <c r="D93" s="166"/>
      <c r="E93" s="365"/>
      <c r="F93" s="280"/>
      <c r="G93" s="280"/>
      <c r="H93" s="166"/>
      <c r="I93" s="365"/>
      <c r="J93" s="289"/>
      <c r="K93" s="289"/>
      <c r="L93" s="166"/>
      <c r="M93" s="23"/>
    </row>
    <row r="94" spans="1:13" x14ac:dyDescent="0.2">
      <c r="A94" s="295" t="s">
        <v>12</v>
      </c>
      <c r="B94" s="235"/>
      <c r="C94" s="288"/>
      <c r="D94" s="166"/>
      <c r="E94" s="365"/>
      <c r="F94" s="280"/>
      <c r="G94" s="280"/>
      <c r="H94" s="166"/>
      <c r="I94" s="365"/>
      <c r="J94" s="289"/>
      <c r="K94" s="289"/>
      <c r="L94" s="166"/>
      <c r="M94" s="23"/>
    </row>
    <row r="95" spans="1:13" x14ac:dyDescent="0.2">
      <c r="A95" s="295" t="s">
        <v>13</v>
      </c>
      <c r="B95" s="235"/>
      <c r="C95" s="288"/>
      <c r="D95" s="166"/>
      <c r="E95" s="365"/>
      <c r="F95" s="280"/>
      <c r="G95" s="280"/>
      <c r="H95" s="166"/>
      <c r="I95" s="365"/>
      <c r="J95" s="289"/>
      <c r="K95" s="289"/>
      <c r="L95" s="166"/>
      <c r="M95" s="23"/>
    </row>
    <row r="96" spans="1:13" x14ac:dyDescent="0.2">
      <c r="A96" s="21" t="s">
        <v>351</v>
      </c>
      <c r="B96" s="234"/>
      <c r="C96" s="145"/>
      <c r="D96" s="166"/>
      <c r="E96" s="27"/>
      <c r="F96" s="234"/>
      <c r="G96" s="145"/>
      <c r="H96" s="166"/>
      <c r="I96" s="27"/>
      <c r="J96" s="286"/>
      <c r="K96" s="44"/>
      <c r="L96" s="254"/>
      <c r="M96" s="27"/>
    </row>
    <row r="97" spans="1:13" x14ac:dyDescent="0.2">
      <c r="A97" s="21" t="s">
        <v>350</v>
      </c>
      <c r="B97" s="234"/>
      <c r="C97" s="145"/>
      <c r="D97" s="166"/>
      <c r="E97" s="27"/>
      <c r="F97" s="234"/>
      <c r="G97" s="145"/>
      <c r="H97" s="166"/>
      <c r="I97" s="27"/>
      <c r="J97" s="286"/>
      <c r="K97" s="44"/>
      <c r="L97" s="254"/>
      <c r="M97" s="27"/>
    </row>
    <row r="98" spans="1:13" ht="15.75" x14ac:dyDescent="0.2">
      <c r="A98" s="21" t="s">
        <v>468</v>
      </c>
      <c r="B98" s="234"/>
      <c r="C98" s="234"/>
      <c r="D98" s="166"/>
      <c r="E98" s="27"/>
      <c r="F98" s="291"/>
      <c r="G98" s="291"/>
      <c r="H98" s="166"/>
      <c r="I98" s="27"/>
      <c r="J98" s="286"/>
      <c r="K98" s="44"/>
      <c r="L98" s="254"/>
      <c r="M98" s="27"/>
    </row>
    <row r="99" spans="1:13" x14ac:dyDescent="0.2">
      <c r="A99" s="21" t="s">
        <v>9</v>
      </c>
      <c r="B99" s="291"/>
      <c r="C99" s="292"/>
      <c r="D99" s="166"/>
      <c r="E99" s="27"/>
      <c r="F99" s="234"/>
      <c r="G99" s="145"/>
      <c r="H99" s="166"/>
      <c r="I99" s="27"/>
      <c r="J99" s="286"/>
      <c r="K99" s="44"/>
      <c r="L99" s="254"/>
      <c r="M99" s="27"/>
    </row>
    <row r="100" spans="1:13" x14ac:dyDescent="0.2">
      <c r="A100" s="21" t="s">
        <v>10</v>
      </c>
      <c r="B100" s="291"/>
      <c r="C100" s="292"/>
      <c r="D100" s="166"/>
      <c r="E100" s="27"/>
      <c r="F100" s="234"/>
      <c r="G100" s="234"/>
      <c r="H100" s="166"/>
      <c r="I100" s="27"/>
      <c r="J100" s="286"/>
      <c r="K100" s="44"/>
      <c r="L100" s="254"/>
      <c r="M100" s="27"/>
    </row>
    <row r="101" spans="1:13" ht="15.75" x14ac:dyDescent="0.2">
      <c r="A101" s="295" t="s">
        <v>466</v>
      </c>
      <c r="B101" s="280"/>
      <c r="C101" s="280"/>
      <c r="D101" s="166"/>
      <c r="E101" s="365"/>
      <c r="F101" s="280"/>
      <c r="G101" s="280"/>
      <c r="H101" s="166"/>
      <c r="I101" s="365"/>
      <c r="J101" s="289"/>
      <c r="K101" s="289"/>
      <c r="L101" s="166"/>
      <c r="M101" s="23"/>
    </row>
    <row r="102" spans="1:13" x14ac:dyDescent="0.2">
      <c r="A102" s="295" t="s">
        <v>12</v>
      </c>
      <c r="B102" s="235"/>
      <c r="C102" s="288"/>
      <c r="D102" s="166"/>
      <c r="E102" s="365"/>
      <c r="F102" s="280"/>
      <c r="G102" s="280"/>
      <c r="H102" s="166"/>
      <c r="I102" s="365"/>
      <c r="J102" s="289"/>
      <c r="K102" s="289"/>
      <c r="L102" s="166"/>
      <c r="M102" s="23"/>
    </row>
    <row r="103" spans="1:13" x14ac:dyDescent="0.2">
      <c r="A103" s="295" t="s">
        <v>13</v>
      </c>
      <c r="B103" s="235"/>
      <c r="C103" s="288"/>
      <c r="D103" s="166"/>
      <c r="E103" s="365"/>
      <c r="F103" s="280"/>
      <c r="G103" s="280"/>
      <c r="H103" s="166"/>
      <c r="I103" s="365"/>
      <c r="J103" s="289"/>
      <c r="K103" s="289"/>
      <c r="L103" s="166"/>
      <c r="M103" s="23"/>
    </row>
    <row r="104" spans="1:13" ht="15.75" x14ac:dyDescent="0.2">
      <c r="A104" s="295" t="s">
        <v>467</v>
      </c>
      <c r="B104" s="280"/>
      <c r="C104" s="280"/>
      <c r="D104" s="166"/>
      <c r="E104" s="365"/>
      <c r="F104" s="280"/>
      <c r="G104" s="280"/>
      <c r="H104" s="166"/>
      <c r="I104" s="365"/>
      <c r="J104" s="289"/>
      <c r="K104" s="289"/>
      <c r="L104" s="166"/>
      <c r="M104" s="23"/>
    </row>
    <row r="105" spans="1:13" x14ac:dyDescent="0.2">
      <c r="A105" s="295" t="s">
        <v>12</v>
      </c>
      <c r="B105" s="235"/>
      <c r="C105" s="288"/>
      <c r="D105" s="166"/>
      <c r="E105" s="365"/>
      <c r="F105" s="280"/>
      <c r="G105" s="280"/>
      <c r="H105" s="166"/>
      <c r="I105" s="365"/>
      <c r="J105" s="289"/>
      <c r="K105" s="289"/>
      <c r="L105" s="166"/>
      <c r="M105" s="23"/>
    </row>
    <row r="106" spans="1:13" x14ac:dyDescent="0.2">
      <c r="A106" s="295" t="s">
        <v>13</v>
      </c>
      <c r="B106" s="235"/>
      <c r="C106" s="288"/>
      <c r="D106" s="166"/>
      <c r="E106" s="365"/>
      <c r="F106" s="280"/>
      <c r="G106" s="280"/>
      <c r="H106" s="166"/>
      <c r="I106" s="365"/>
      <c r="J106" s="289"/>
      <c r="K106" s="289"/>
      <c r="L106" s="166"/>
      <c r="M106" s="23"/>
    </row>
    <row r="107" spans="1:13" ht="15.75" x14ac:dyDescent="0.2">
      <c r="A107" s="21" t="s">
        <v>469</v>
      </c>
      <c r="B107" s="234"/>
      <c r="C107" s="145"/>
      <c r="D107" s="166"/>
      <c r="E107" s="27"/>
      <c r="F107" s="234"/>
      <c r="G107" s="145"/>
      <c r="H107" s="166"/>
      <c r="I107" s="27"/>
      <c r="J107" s="286"/>
      <c r="K107" s="44"/>
      <c r="L107" s="254"/>
      <c r="M107" s="27"/>
    </row>
    <row r="108" spans="1:13" ht="15.75" x14ac:dyDescent="0.2">
      <c r="A108" s="21" t="s">
        <v>470</v>
      </c>
      <c r="B108" s="234"/>
      <c r="C108" s="234"/>
      <c r="D108" s="166"/>
      <c r="E108" s="27"/>
      <c r="F108" s="234"/>
      <c r="G108" s="234"/>
      <c r="H108" s="166"/>
      <c r="I108" s="27"/>
      <c r="J108" s="286"/>
      <c r="K108" s="44"/>
      <c r="L108" s="254"/>
      <c r="M108" s="27"/>
    </row>
    <row r="109" spans="1:13" ht="15.75" x14ac:dyDescent="0.2">
      <c r="A109" s="21" t="s">
        <v>471</v>
      </c>
      <c r="B109" s="234"/>
      <c r="C109" s="234"/>
      <c r="D109" s="166"/>
      <c r="E109" s="27"/>
      <c r="F109" s="234"/>
      <c r="G109" s="234"/>
      <c r="H109" s="166"/>
      <c r="I109" s="27"/>
      <c r="J109" s="286"/>
      <c r="K109" s="44"/>
      <c r="L109" s="254"/>
      <c r="M109" s="27"/>
    </row>
    <row r="110" spans="1:13" ht="15.75" x14ac:dyDescent="0.2">
      <c r="A110" s="21" t="s">
        <v>472</v>
      </c>
      <c r="B110" s="234"/>
      <c r="C110" s="234"/>
      <c r="D110" s="166"/>
      <c r="E110" s="27"/>
      <c r="F110" s="234"/>
      <c r="G110" s="234"/>
      <c r="H110" s="166"/>
      <c r="I110" s="27"/>
      <c r="J110" s="286"/>
      <c r="K110" s="44"/>
      <c r="L110" s="254"/>
      <c r="M110" s="27"/>
    </row>
    <row r="111" spans="1:13" ht="15.75" x14ac:dyDescent="0.2">
      <c r="A111" s="13" t="s">
        <v>452</v>
      </c>
      <c r="B111" s="307"/>
      <c r="C111" s="159"/>
      <c r="D111" s="171"/>
      <c r="E111" s="11"/>
      <c r="F111" s="307"/>
      <c r="G111" s="159"/>
      <c r="H111" s="171"/>
      <c r="I111" s="11"/>
      <c r="J111" s="308"/>
      <c r="K111" s="236"/>
      <c r="L111" s="373"/>
      <c r="M111" s="11"/>
    </row>
    <row r="112" spans="1:13" x14ac:dyDescent="0.2">
      <c r="A112" s="21" t="s">
        <v>9</v>
      </c>
      <c r="B112" s="234"/>
      <c r="C112" s="145"/>
      <c r="D112" s="166"/>
      <c r="E112" s="27"/>
      <c r="F112" s="234"/>
      <c r="G112" s="145"/>
      <c r="H112" s="166"/>
      <c r="I112" s="27"/>
      <c r="J112" s="286"/>
      <c r="K112" s="44"/>
      <c r="L112" s="254"/>
      <c r="M112" s="27"/>
    </row>
    <row r="113" spans="1:14" x14ac:dyDescent="0.2">
      <c r="A113" s="21" t="s">
        <v>10</v>
      </c>
      <c r="B113" s="234"/>
      <c r="C113" s="145"/>
      <c r="D113" s="166"/>
      <c r="E113" s="27"/>
      <c r="F113" s="234"/>
      <c r="G113" s="145"/>
      <c r="H113" s="166"/>
      <c r="I113" s="27"/>
      <c r="J113" s="286"/>
      <c r="K113" s="44"/>
      <c r="L113" s="254"/>
      <c r="M113" s="27"/>
    </row>
    <row r="114" spans="1:14" x14ac:dyDescent="0.2">
      <c r="A114" s="21" t="s">
        <v>26</v>
      </c>
      <c r="B114" s="234"/>
      <c r="C114" s="145"/>
      <c r="D114" s="166"/>
      <c r="E114" s="27"/>
      <c r="F114" s="234"/>
      <c r="G114" s="145"/>
      <c r="H114" s="166"/>
      <c r="I114" s="27"/>
      <c r="J114" s="286"/>
      <c r="K114" s="44"/>
      <c r="L114" s="254"/>
      <c r="M114" s="27"/>
    </row>
    <row r="115" spans="1:14" x14ac:dyDescent="0.2">
      <c r="A115" s="295" t="s">
        <v>15</v>
      </c>
      <c r="B115" s="280"/>
      <c r="C115" s="280"/>
      <c r="D115" s="166"/>
      <c r="E115" s="365"/>
      <c r="F115" s="280"/>
      <c r="G115" s="280"/>
      <c r="H115" s="166"/>
      <c r="I115" s="365"/>
      <c r="J115" s="289"/>
      <c r="K115" s="289"/>
      <c r="L115" s="166"/>
      <c r="M115" s="23"/>
    </row>
    <row r="116" spans="1:14" ht="15.75" x14ac:dyDescent="0.2">
      <c r="A116" s="21" t="s">
        <v>473</v>
      </c>
      <c r="B116" s="234"/>
      <c r="C116" s="234"/>
      <c r="D116" s="166"/>
      <c r="E116" s="27"/>
      <c r="F116" s="234"/>
      <c r="G116" s="234"/>
      <c r="H116" s="166"/>
      <c r="I116" s="27"/>
      <c r="J116" s="286"/>
      <c r="K116" s="44"/>
      <c r="L116" s="254"/>
      <c r="M116" s="27"/>
    </row>
    <row r="117" spans="1:14" ht="15.75" x14ac:dyDescent="0.2">
      <c r="A117" s="21" t="s">
        <v>474</v>
      </c>
      <c r="B117" s="234"/>
      <c r="C117" s="234"/>
      <c r="D117" s="166"/>
      <c r="E117" s="27"/>
      <c r="F117" s="234"/>
      <c r="G117" s="234"/>
      <c r="H117" s="166"/>
      <c r="I117" s="27"/>
      <c r="J117" s="286"/>
      <c r="K117" s="44"/>
      <c r="L117" s="254"/>
      <c r="M117" s="27"/>
    </row>
    <row r="118" spans="1:14" ht="15.75" x14ac:dyDescent="0.2">
      <c r="A118" s="21" t="s">
        <v>472</v>
      </c>
      <c r="B118" s="234"/>
      <c r="C118" s="234"/>
      <c r="D118" s="166"/>
      <c r="E118" s="27"/>
      <c r="F118" s="234"/>
      <c r="G118" s="234"/>
      <c r="H118" s="166"/>
      <c r="I118" s="27"/>
      <c r="J118" s="286"/>
      <c r="K118" s="44"/>
      <c r="L118" s="254"/>
      <c r="M118" s="27"/>
    </row>
    <row r="119" spans="1:14" ht="15.75" x14ac:dyDescent="0.2">
      <c r="A119" s="13" t="s">
        <v>453</v>
      </c>
      <c r="B119" s="307"/>
      <c r="C119" s="159"/>
      <c r="D119" s="171"/>
      <c r="E119" s="11"/>
      <c r="F119" s="307"/>
      <c r="G119" s="159"/>
      <c r="H119" s="171"/>
      <c r="I119" s="11"/>
      <c r="J119" s="308"/>
      <c r="K119" s="236"/>
      <c r="L119" s="373"/>
      <c r="M119" s="11"/>
    </row>
    <row r="120" spans="1:14" x14ac:dyDescent="0.2">
      <c r="A120" s="21" t="s">
        <v>9</v>
      </c>
      <c r="B120" s="234"/>
      <c r="C120" s="145"/>
      <c r="D120" s="166"/>
      <c r="E120" s="27"/>
      <c r="F120" s="234"/>
      <c r="G120" s="145"/>
      <c r="H120" s="166"/>
      <c r="I120" s="27"/>
      <c r="J120" s="286"/>
      <c r="K120" s="44"/>
      <c r="L120" s="254"/>
      <c r="M120" s="27"/>
    </row>
    <row r="121" spans="1:14" x14ac:dyDescent="0.2">
      <c r="A121" s="21" t="s">
        <v>10</v>
      </c>
      <c r="B121" s="234"/>
      <c r="C121" s="145"/>
      <c r="D121" s="166"/>
      <c r="E121" s="27"/>
      <c r="F121" s="234"/>
      <c r="G121" s="145"/>
      <c r="H121" s="166"/>
      <c r="I121" s="27"/>
      <c r="J121" s="286"/>
      <c r="K121" s="44"/>
      <c r="L121" s="254"/>
      <c r="M121" s="27"/>
    </row>
    <row r="122" spans="1:14" x14ac:dyDescent="0.2">
      <c r="A122" s="21" t="s">
        <v>26</v>
      </c>
      <c r="B122" s="234"/>
      <c r="C122" s="145"/>
      <c r="D122" s="166"/>
      <c r="E122" s="27"/>
      <c r="F122" s="234"/>
      <c r="G122" s="145"/>
      <c r="H122" s="166"/>
      <c r="I122" s="27"/>
      <c r="J122" s="286"/>
      <c r="K122" s="44"/>
      <c r="L122" s="254"/>
      <c r="M122" s="27"/>
    </row>
    <row r="123" spans="1:14" x14ac:dyDescent="0.2">
      <c r="A123" s="295" t="s">
        <v>14</v>
      </c>
      <c r="B123" s="280"/>
      <c r="C123" s="280"/>
      <c r="D123" s="166"/>
      <c r="E123" s="365"/>
      <c r="F123" s="280"/>
      <c r="G123" s="280"/>
      <c r="H123" s="166"/>
      <c r="I123" s="365"/>
      <c r="J123" s="289"/>
      <c r="K123" s="289"/>
      <c r="L123" s="166"/>
      <c r="M123" s="23"/>
    </row>
    <row r="124" spans="1:14" ht="15.75" x14ac:dyDescent="0.2">
      <c r="A124" s="21" t="s">
        <v>479</v>
      </c>
      <c r="B124" s="234"/>
      <c r="C124" s="234"/>
      <c r="D124" s="166"/>
      <c r="E124" s="27"/>
      <c r="F124" s="234"/>
      <c r="G124" s="234"/>
      <c r="H124" s="166"/>
      <c r="I124" s="27"/>
      <c r="J124" s="286"/>
      <c r="K124" s="44"/>
      <c r="L124" s="254"/>
      <c r="M124" s="27"/>
    </row>
    <row r="125" spans="1:14" ht="15.75" x14ac:dyDescent="0.2">
      <c r="A125" s="21" t="s">
        <v>471</v>
      </c>
      <c r="B125" s="234"/>
      <c r="C125" s="234"/>
      <c r="D125" s="166"/>
      <c r="E125" s="27"/>
      <c r="F125" s="234"/>
      <c r="G125" s="234"/>
      <c r="H125" s="166"/>
      <c r="I125" s="27"/>
      <c r="J125" s="286"/>
      <c r="K125" s="44"/>
      <c r="L125" s="254"/>
      <c r="M125" s="27"/>
    </row>
    <row r="126" spans="1:14" ht="15.75" x14ac:dyDescent="0.2">
      <c r="A126" s="10" t="s">
        <v>472</v>
      </c>
      <c r="B126" s="45"/>
      <c r="C126" s="45"/>
      <c r="D126" s="167"/>
      <c r="E126" s="366"/>
      <c r="F126" s="45"/>
      <c r="G126" s="45"/>
      <c r="H126" s="167"/>
      <c r="I126" s="22"/>
      <c r="J126" s="287"/>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975"/>
      <c r="C130" s="975"/>
      <c r="D130" s="975"/>
      <c r="E130" s="298"/>
      <c r="F130" s="975"/>
      <c r="G130" s="975"/>
      <c r="H130" s="975"/>
      <c r="I130" s="298"/>
      <c r="J130" s="975"/>
      <c r="K130" s="975"/>
      <c r="L130" s="975"/>
      <c r="M130" s="298"/>
    </row>
    <row r="131" spans="1:14" s="3" customFormat="1" x14ac:dyDescent="0.2">
      <c r="A131" s="144"/>
      <c r="B131" s="973" t="s">
        <v>0</v>
      </c>
      <c r="C131" s="974"/>
      <c r="D131" s="974"/>
      <c r="E131" s="300"/>
      <c r="F131" s="973" t="s">
        <v>1</v>
      </c>
      <c r="G131" s="974"/>
      <c r="H131" s="974"/>
      <c r="I131" s="303"/>
      <c r="J131" s="973" t="s">
        <v>2</v>
      </c>
      <c r="K131" s="974"/>
      <c r="L131" s="974"/>
      <c r="M131" s="303"/>
      <c r="N131" s="148"/>
    </row>
    <row r="132" spans="1:14" s="3" customFormat="1" x14ac:dyDescent="0.2">
      <c r="A132" s="140"/>
      <c r="B132" s="152" t="s">
        <v>492</v>
      </c>
      <c r="C132" s="152" t="s">
        <v>493</v>
      </c>
      <c r="D132" s="245" t="s">
        <v>3</v>
      </c>
      <c r="E132" s="304" t="s">
        <v>29</v>
      </c>
      <c r="F132" s="152" t="s">
        <v>492</v>
      </c>
      <c r="G132" s="152" t="s">
        <v>493</v>
      </c>
      <c r="H132" s="206" t="s">
        <v>3</v>
      </c>
      <c r="I132" s="162" t="s">
        <v>29</v>
      </c>
      <c r="J132" s="152" t="s">
        <v>492</v>
      </c>
      <c r="K132" s="152" t="s">
        <v>493</v>
      </c>
      <c r="L132" s="246" t="s">
        <v>3</v>
      </c>
      <c r="M132" s="162" t="s">
        <v>29</v>
      </c>
      <c r="N132" s="148"/>
    </row>
    <row r="133" spans="1:14" s="3" customFormat="1" x14ac:dyDescent="0.2">
      <c r="A133" s="947"/>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475</v>
      </c>
      <c r="B134" s="236"/>
      <c r="C134" s="308"/>
      <c r="D134" s="349"/>
      <c r="E134" s="11"/>
      <c r="F134" s="315"/>
      <c r="G134" s="316"/>
      <c r="H134" s="376"/>
      <c r="I134" s="24"/>
      <c r="J134" s="317"/>
      <c r="K134" s="317"/>
      <c r="L134" s="372"/>
      <c r="M134" s="11"/>
      <c r="N134" s="148"/>
    </row>
    <row r="135" spans="1:14" s="3" customFormat="1" ht="15.75" x14ac:dyDescent="0.2">
      <c r="A135" s="13" t="s">
        <v>480</v>
      </c>
      <c r="B135" s="236"/>
      <c r="C135" s="308"/>
      <c r="D135" s="171"/>
      <c r="E135" s="11"/>
      <c r="F135" s="236"/>
      <c r="G135" s="308"/>
      <c r="H135" s="377"/>
      <c r="I135" s="24"/>
      <c r="J135" s="307"/>
      <c r="K135" s="307"/>
      <c r="L135" s="373"/>
      <c r="M135" s="11"/>
      <c r="N135" s="148"/>
    </row>
    <row r="136" spans="1:14" s="3" customFormat="1" ht="15.75" x14ac:dyDescent="0.2">
      <c r="A136" s="13" t="s">
        <v>477</v>
      </c>
      <c r="B136" s="236"/>
      <c r="C136" s="308"/>
      <c r="D136" s="171"/>
      <c r="E136" s="11"/>
      <c r="F136" s="236"/>
      <c r="G136" s="308"/>
      <c r="H136" s="377"/>
      <c r="I136" s="24"/>
      <c r="J136" s="307"/>
      <c r="K136" s="307"/>
      <c r="L136" s="373"/>
      <c r="M136" s="11"/>
      <c r="N136" s="148"/>
    </row>
    <row r="137" spans="1:14" s="3" customFormat="1" ht="15.75" x14ac:dyDescent="0.2">
      <c r="A137" s="41" t="s">
        <v>478</v>
      </c>
      <c r="B137" s="275"/>
      <c r="C137" s="314"/>
      <c r="D137" s="169"/>
      <c r="E137" s="9"/>
      <c r="F137" s="275"/>
      <c r="G137" s="314"/>
      <c r="H137" s="378"/>
      <c r="I137" s="36"/>
      <c r="J137" s="313"/>
      <c r="K137" s="313"/>
      <c r="L137" s="374"/>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978" priority="132">
      <formula>kvartal &lt; 4</formula>
    </cfRule>
  </conditionalFormatting>
  <conditionalFormatting sqref="B69">
    <cfRule type="expression" dxfId="977" priority="100">
      <formula>kvartal &lt; 4</formula>
    </cfRule>
  </conditionalFormatting>
  <conditionalFormatting sqref="C69">
    <cfRule type="expression" dxfId="976" priority="99">
      <formula>kvartal &lt; 4</formula>
    </cfRule>
  </conditionalFormatting>
  <conditionalFormatting sqref="B72">
    <cfRule type="expression" dxfId="975" priority="98">
      <formula>kvartal &lt; 4</formula>
    </cfRule>
  </conditionalFormatting>
  <conditionalFormatting sqref="C72">
    <cfRule type="expression" dxfId="974" priority="97">
      <formula>kvartal &lt; 4</formula>
    </cfRule>
  </conditionalFormatting>
  <conditionalFormatting sqref="B80">
    <cfRule type="expression" dxfId="973" priority="96">
      <formula>kvartal &lt; 4</formula>
    </cfRule>
  </conditionalFormatting>
  <conditionalFormatting sqref="C80">
    <cfRule type="expression" dxfId="972" priority="95">
      <formula>kvartal &lt; 4</formula>
    </cfRule>
  </conditionalFormatting>
  <conditionalFormatting sqref="B83">
    <cfRule type="expression" dxfId="971" priority="94">
      <formula>kvartal &lt; 4</formula>
    </cfRule>
  </conditionalFormatting>
  <conditionalFormatting sqref="C83">
    <cfRule type="expression" dxfId="970" priority="93">
      <formula>kvartal &lt; 4</formula>
    </cfRule>
  </conditionalFormatting>
  <conditionalFormatting sqref="B90">
    <cfRule type="expression" dxfId="969" priority="84">
      <formula>kvartal &lt; 4</formula>
    </cfRule>
  </conditionalFormatting>
  <conditionalFormatting sqref="C90">
    <cfRule type="expression" dxfId="968" priority="83">
      <formula>kvartal &lt; 4</formula>
    </cfRule>
  </conditionalFormatting>
  <conditionalFormatting sqref="B93">
    <cfRule type="expression" dxfId="967" priority="82">
      <formula>kvartal &lt; 4</formula>
    </cfRule>
  </conditionalFormatting>
  <conditionalFormatting sqref="C93">
    <cfRule type="expression" dxfId="966" priority="81">
      <formula>kvartal &lt; 4</formula>
    </cfRule>
  </conditionalFormatting>
  <conditionalFormatting sqref="B101">
    <cfRule type="expression" dxfId="965" priority="80">
      <formula>kvartal &lt; 4</formula>
    </cfRule>
  </conditionalFormatting>
  <conditionalFormatting sqref="C101">
    <cfRule type="expression" dxfId="964" priority="79">
      <formula>kvartal &lt; 4</formula>
    </cfRule>
  </conditionalFormatting>
  <conditionalFormatting sqref="B104">
    <cfRule type="expression" dxfId="963" priority="78">
      <formula>kvartal &lt; 4</formula>
    </cfRule>
  </conditionalFormatting>
  <conditionalFormatting sqref="C104">
    <cfRule type="expression" dxfId="962" priority="77">
      <formula>kvartal &lt; 4</formula>
    </cfRule>
  </conditionalFormatting>
  <conditionalFormatting sqref="B115">
    <cfRule type="expression" dxfId="961" priority="76">
      <formula>kvartal &lt; 4</formula>
    </cfRule>
  </conditionalFormatting>
  <conditionalFormatting sqref="C115">
    <cfRule type="expression" dxfId="960" priority="75">
      <formula>kvartal &lt; 4</formula>
    </cfRule>
  </conditionalFormatting>
  <conditionalFormatting sqref="B123">
    <cfRule type="expression" dxfId="959" priority="74">
      <formula>kvartal &lt; 4</formula>
    </cfRule>
  </conditionalFormatting>
  <conditionalFormatting sqref="C123">
    <cfRule type="expression" dxfId="958" priority="73">
      <formula>kvartal &lt; 4</formula>
    </cfRule>
  </conditionalFormatting>
  <conditionalFormatting sqref="F70">
    <cfRule type="expression" dxfId="957" priority="72">
      <formula>kvartal &lt; 4</formula>
    </cfRule>
  </conditionalFormatting>
  <conditionalFormatting sqref="G70">
    <cfRule type="expression" dxfId="956" priority="71">
      <formula>kvartal &lt; 4</formula>
    </cfRule>
  </conditionalFormatting>
  <conditionalFormatting sqref="F71:G71">
    <cfRule type="expression" dxfId="955" priority="70">
      <formula>kvartal &lt; 4</formula>
    </cfRule>
  </conditionalFormatting>
  <conditionalFormatting sqref="F73:G74">
    <cfRule type="expression" dxfId="954" priority="69">
      <formula>kvartal &lt; 4</formula>
    </cfRule>
  </conditionalFormatting>
  <conditionalFormatting sqref="F81:G82">
    <cfRule type="expression" dxfId="953" priority="68">
      <formula>kvartal &lt; 4</formula>
    </cfRule>
  </conditionalFormatting>
  <conditionalFormatting sqref="F84:G85">
    <cfRule type="expression" dxfId="952" priority="67">
      <formula>kvartal &lt; 4</formula>
    </cfRule>
  </conditionalFormatting>
  <conditionalFormatting sqref="F91:G92">
    <cfRule type="expression" dxfId="951" priority="62">
      <formula>kvartal &lt; 4</formula>
    </cfRule>
  </conditionalFormatting>
  <conditionalFormatting sqref="F94:G95">
    <cfRule type="expression" dxfId="950" priority="61">
      <formula>kvartal &lt; 4</formula>
    </cfRule>
  </conditionalFormatting>
  <conditionalFormatting sqref="F102:G103">
    <cfRule type="expression" dxfId="949" priority="60">
      <formula>kvartal &lt; 4</formula>
    </cfRule>
  </conditionalFormatting>
  <conditionalFormatting sqref="F105:G106">
    <cfRule type="expression" dxfId="948" priority="59">
      <formula>kvartal &lt; 4</formula>
    </cfRule>
  </conditionalFormatting>
  <conditionalFormatting sqref="F115">
    <cfRule type="expression" dxfId="947" priority="58">
      <formula>kvartal &lt; 4</formula>
    </cfRule>
  </conditionalFormatting>
  <conditionalFormatting sqref="G115">
    <cfRule type="expression" dxfId="946" priority="57">
      <formula>kvartal &lt; 4</formula>
    </cfRule>
  </conditionalFormatting>
  <conditionalFormatting sqref="F123:G123">
    <cfRule type="expression" dxfId="945" priority="56">
      <formula>kvartal &lt; 4</formula>
    </cfRule>
  </conditionalFormatting>
  <conditionalFormatting sqref="F69:G69">
    <cfRule type="expression" dxfId="944" priority="55">
      <formula>kvartal &lt; 4</formula>
    </cfRule>
  </conditionalFormatting>
  <conditionalFormatting sqref="F72:G72">
    <cfRule type="expression" dxfId="943" priority="54">
      <formula>kvartal &lt; 4</formula>
    </cfRule>
  </conditionalFormatting>
  <conditionalFormatting sqref="F80:G80">
    <cfRule type="expression" dxfId="942" priority="53">
      <formula>kvartal &lt; 4</formula>
    </cfRule>
  </conditionalFormatting>
  <conditionalFormatting sqref="F83:G83">
    <cfRule type="expression" dxfId="941" priority="52">
      <formula>kvartal &lt; 4</formula>
    </cfRule>
  </conditionalFormatting>
  <conditionalFormatting sqref="F90:G90">
    <cfRule type="expression" dxfId="940" priority="46">
      <formula>kvartal &lt; 4</formula>
    </cfRule>
  </conditionalFormatting>
  <conditionalFormatting sqref="F93">
    <cfRule type="expression" dxfId="939" priority="45">
      <formula>kvartal &lt; 4</formula>
    </cfRule>
  </conditionalFormatting>
  <conditionalFormatting sqref="G93">
    <cfRule type="expression" dxfId="938" priority="44">
      <formula>kvartal &lt; 4</formula>
    </cfRule>
  </conditionalFormatting>
  <conditionalFormatting sqref="F101">
    <cfRule type="expression" dxfId="937" priority="43">
      <formula>kvartal &lt; 4</formula>
    </cfRule>
  </conditionalFormatting>
  <conditionalFormatting sqref="G101">
    <cfRule type="expression" dxfId="936" priority="42">
      <formula>kvartal &lt; 4</formula>
    </cfRule>
  </conditionalFormatting>
  <conditionalFormatting sqref="G104">
    <cfRule type="expression" dxfId="935" priority="41">
      <formula>kvartal &lt; 4</formula>
    </cfRule>
  </conditionalFormatting>
  <conditionalFormatting sqref="F104">
    <cfRule type="expression" dxfId="934" priority="40">
      <formula>kvartal &lt; 4</formula>
    </cfRule>
  </conditionalFormatting>
  <conditionalFormatting sqref="J69:K73">
    <cfRule type="expression" dxfId="933" priority="39">
      <formula>kvartal &lt; 4</formula>
    </cfRule>
  </conditionalFormatting>
  <conditionalFormatting sqref="J74:K74">
    <cfRule type="expression" dxfId="932" priority="38">
      <formula>kvartal &lt; 4</formula>
    </cfRule>
  </conditionalFormatting>
  <conditionalFormatting sqref="J80:K85">
    <cfRule type="expression" dxfId="931" priority="37">
      <formula>kvartal &lt; 4</formula>
    </cfRule>
  </conditionalFormatting>
  <conditionalFormatting sqref="J90:K95">
    <cfRule type="expression" dxfId="930" priority="34">
      <formula>kvartal &lt; 4</formula>
    </cfRule>
  </conditionalFormatting>
  <conditionalFormatting sqref="J101:K106">
    <cfRule type="expression" dxfId="929" priority="33">
      <formula>kvartal &lt; 4</formula>
    </cfRule>
  </conditionalFormatting>
  <conditionalFormatting sqref="J115:K115">
    <cfRule type="expression" dxfId="928" priority="32">
      <formula>kvartal &lt; 4</formula>
    </cfRule>
  </conditionalFormatting>
  <conditionalFormatting sqref="J123:K123">
    <cfRule type="expression" dxfId="927" priority="31">
      <formula>kvartal &lt; 4</formula>
    </cfRule>
  </conditionalFormatting>
  <conditionalFormatting sqref="A50:A52">
    <cfRule type="expression" dxfId="926" priority="12">
      <formula>kvartal &lt; 4</formula>
    </cfRule>
  </conditionalFormatting>
  <conditionalFormatting sqref="A69:A74">
    <cfRule type="expression" dxfId="925" priority="10">
      <formula>kvartal &lt; 4</formula>
    </cfRule>
  </conditionalFormatting>
  <conditionalFormatting sqref="A80:A85">
    <cfRule type="expression" dxfId="924" priority="9">
      <formula>kvartal &lt; 4</formula>
    </cfRule>
  </conditionalFormatting>
  <conditionalFormatting sqref="A90:A95">
    <cfRule type="expression" dxfId="923" priority="6">
      <formula>kvartal &lt; 4</formula>
    </cfRule>
  </conditionalFormatting>
  <conditionalFormatting sqref="A101:A106">
    <cfRule type="expression" dxfId="922" priority="5">
      <formula>kvartal &lt; 4</formula>
    </cfRule>
  </conditionalFormatting>
  <conditionalFormatting sqref="A115">
    <cfRule type="expression" dxfId="921" priority="4">
      <formula>kvartal &lt; 4</formula>
    </cfRule>
  </conditionalFormatting>
  <conditionalFormatting sqref="A123">
    <cfRule type="expression" dxfId="920" priority="3">
      <formula>kvartal &lt; 4</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4"/>
  <dimension ref="A1:N144"/>
  <sheetViews>
    <sheetView showGridLines="0" zoomScaleNormal="100" workbookViewId="0">
      <selection activeCell="A4" sqref="A4"/>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139</v>
      </c>
      <c r="B1" s="945"/>
      <c r="C1" s="752" t="s">
        <v>496</v>
      </c>
      <c r="D1" s="26"/>
      <c r="E1" s="26"/>
      <c r="F1" s="26"/>
      <c r="G1" s="26"/>
      <c r="H1" s="26"/>
      <c r="I1" s="26"/>
      <c r="J1" s="26"/>
      <c r="K1" s="26"/>
      <c r="L1" s="26"/>
      <c r="M1" s="26"/>
    </row>
    <row r="2" spans="1:14" ht="15.75" x14ac:dyDescent="0.25">
      <c r="A2" s="165" t="s">
        <v>28</v>
      </c>
      <c r="B2" s="972"/>
      <c r="C2" s="972"/>
      <c r="D2" s="972"/>
      <c r="E2" s="298"/>
      <c r="F2" s="972"/>
      <c r="G2" s="972"/>
      <c r="H2" s="972"/>
      <c r="I2" s="298"/>
      <c r="J2" s="972"/>
      <c r="K2" s="972"/>
      <c r="L2" s="972"/>
      <c r="M2" s="298"/>
    </row>
    <row r="3" spans="1:14" ht="15.75" x14ac:dyDescent="0.25">
      <c r="A3" s="782"/>
      <c r="B3" s="781"/>
      <c r="C3" s="783"/>
      <c r="D3" s="781"/>
      <c r="E3" s="781"/>
      <c r="F3" s="298"/>
      <c r="G3" s="298"/>
      <c r="H3" s="298"/>
      <c r="I3" s="298"/>
      <c r="J3" s="298"/>
      <c r="K3" s="298"/>
      <c r="L3" s="298"/>
      <c r="M3" s="298"/>
    </row>
    <row r="4" spans="1:14" x14ac:dyDescent="0.2">
      <c r="A4" s="144"/>
      <c r="B4" s="973" t="s">
        <v>0</v>
      </c>
      <c r="C4" s="974"/>
      <c r="D4" s="974"/>
      <c r="E4" s="300"/>
      <c r="F4" s="973" t="s">
        <v>1</v>
      </c>
      <c r="G4" s="974"/>
      <c r="H4" s="974"/>
      <c r="I4" s="303"/>
      <c r="J4" s="973" t="s">
        <v>2</v>
      </c>
      <c r="K4" s="974"/>
      <c r="L4" s="974"/>
      <c r="M4" s="303"/>
    </row>
    <row r="5" spans="1:14" x14ac:dyDescent="0.2">
      <c r="A5" s="158"/>
      <c r="B5" s="152" t="s">
        <v>492</v>
      </c>
      <c r="C5" s="152" t="s">
        <v>493</v>
      </c>
      <c r="D5" s="245" t="s">
        <v>3</v>
      </c>
      <c r="E5" s="304" t="s">
        <v>29</v>
      </c>
      <c r="F5" s="152" t="s">
        <v>492</v>
      </c>
      <c r="G5" s="152" t="s">
        <v>493</v>
      </c>
      <c r="H5" s="245" t="s">
        <v>3</v>
      </c>
      <c r="I5" s="162" t="s">
        <v>29</v>
      </c>
      <c r="J5" s="152" t="s">
        <v>492</v>
      </c>
      <c r="K5" s="152" t="s">
        <v>493</v>
      </c>
      <c r="L5" s="245" t="s">
        <v>3</v>
      </c>
      <c r="M5" s="162" t="s">
        <v>29</v>
      </c>
    </row>
    <row r="6" spans="1:14" x14ac:dyDescent="0.2">
      <c r="A6" s="946"/>
      <c r="B6" s="156"/>
      <c r="C6" s="156"/>
      <c r="D6" s="246" t="s">
        <v>4</v>
      </c>
      <c r="E6" s="156" t="s">
        <v>30</v>
      </c>
      <c r="F6" s="161"/>
      <c r="G6" s="161"/>
      <c r="H6" s="245" t="s">
        <v>4</v>
      </c>
      <c r="I6" s="156" t="s">
        <v>30</v>
      </c>
      <c r="J6" s="161"/>
      <c r="K6" s="161"/>
      <c r="L6" s="245" t="s">
        <v>4</v>
      </c>
      <c r="M6" s="156" t="s">
        <v>30</v>
      </c>
    </row>
    <row r="7" spans="1:14" ht="15.75" x14ac:dyDescent="0.2">
      <c r="A7" s="14" t="s">
        <v>23</v>
      </c>
      <c r="B7" s="305"/>
      <c r="C7" s="306">
        <v>13539.09604</v>
      </c>
      <c r="D7" s="349" t="str">
        <f>IF(B7=0, "    ---- ", IF(ABS(ROUND(100/B7*C7-100,1))&lt;999,ROUND(100/B7*C7-100,1),IF(ROUND(100/B7*C7-100,1)&gt;999,999,-999)))</f>
        <v xml:space="preserve">    ---- </v>
      </c>
      <c r="E7" s="11">
        <f>IFERROR(100/'Skjema total MA'!C7*C7,0)</f>
        <v>0.28792960463357742</v>
      </c>
      <c r="F7" s="305"/>
      <c r="G7" s="306"/>
      <c r="H7" s="349"/>
      <c r="I7" s="160"/>
      <c r="J7" s="307"/>
      <c r="K7" s="308">
        <f t="shared" ref="K7:K10" si="0">SUM(C7,G7)</f>
        <v>13539.09604</v>
      </c>
      <c r="L7" s="372" t="str">
        <f>IF(J7=0, "    ---- ", IF(ABS(ROUND(100/J7*K7-100,1))&lt;999,ROUND(100/J7*K7-100,1),IF(ROUND(100/J7*K7-100,1)&gt;999,999,-999)))</f>
        <v xml:space="preserve">    ---- </v>
      </c>
      <c r="M7" s="11">
        <f>IFERROR(100/'Skjema total MA'!I7*K7,0)</f>
        <v>8.9370309651908078E-2</v>
      </c>
    </row>
    <row r="8" spans="1:14" ht="15.75" x14ac:dyDescent="0.2">
      <c r="A8" s="21" t="s">
        <v>25</v>
      </c>
      <c r="B8" s="280"/>
      <c r="C8" s="281">
        <v>8330.46947</v>
      </c>
      <c r="D8" s="166" t="str">
        <f t="shared" ref="D8:D10" si="1">IF(B8=0, "    ---- ", IF(ABS(ROUND(100/B8*C8-100,1))&lt;999,ROUND(100/B8*C8-100,1),IF(ROUND(100/B8*C8-100,1)&gt;999,999,-999)))</f>
        <v xml:space="preserve">    ---- </v>
      </c>
      <c r="E8" s="27">
        <f>IFERROR(100/'Skjema total MA'!C8*C8,0)</f>
        <v>0.29657834774029751</v>
      </c>
      <c r="F8" s="284"/>
      <c r="G8" s="285"/>
      <c r="H8" s="166"/>
      <c r="I8" s="175"/>
      <c r="J8" s="234"/>
      <c r="K8" s="286">
        <f t="shared" si="0"/>
        <v>8330.46947</v>
      </c>
      <c r="L8" s="373" t="str">
        <f t="shared" ref="L8:L10" si="2">IF(J8=0, "    ---- ", IF(ABS(ROUND(100/J8*K8-100,1))&lt;999,ROUND(100/J8*K8-100,1),IF(ROUND(100/J8*K8-100,1)&gt;999,999,-999)))</f>
        <v xml:space="preserve">    ---- </v>
      </c>
      <c r="M8" s="27">
        <f>IFERROR(100/'Skjema total MA'!I8*K8,0)</f>
        <v>0.29657834774029751</v>
      </c>
    </row>
    <row r="9" spans="1:14" ht="15.75" x14ac:dyDescent="0.2">
      <c r="A9" s="21" t="s">
        <v>24</v>
      </c>
      <c r="B9" s="280"/>
      <c r="C9" s="281">
        <v>5208.6265700000004</v>
      </c>
      <c r="D9" s="166" t="str">
        <f t="shared" si="1"/>
        <v xml:space="preserve">    ---- </v>
      </c>
      <c r="E9" s="27">
        <f>IFERROR(100/'Skjema total MA'!C9*C9,0)</f>
        <v>0.52895407563983321</v>
      </c>
      <c r="F9" s="284"/>
      <c r="G9" s="285"/>
      <c r="H9" s="166"/>
      <c r="I9" s="175"/>
      <c r="J9" s="234"/>
      <c r="K9" s="286">
        <f t="shared" si="0"/>
        <v>5208.6265700000004</v>
      </c>
      <c r="L9" s="373" t="str">
        <f t="shared" si="2"/>
        <v xml:space="preserve">    ---- </v>
      </c>
      <c r="M9" s="27">
        <f>IFERROR(100/'Skjema total MA'!I9*K9,0)</f>
        <v>0.52895407563983321</v>
      </c>
    </row>
    <row r="10" spans="1:14" ht="15.75" x14ac:dyDescent="0.2">
      <c r="A10" s="13" t="s">
        <v>451</v>
      </c>
      <c r="B10" s="309"/>
      <c r="C10" s="310">
        <v>6599.8879075415198</v>
      </c>
      <c r="D10" s="171" t="str">
        <f t="shared" si="1"/>
        <v xml:space="preserve">    ---- </v>
      </c>
      <c r="E10" s="11">
        <f>IFERROR(100/'Skjema total MA'!C10*C10,0)</f>
        <v>3.1218641103207687E-2</v>
      </c>
      <c r="F10" s="309"/>
      <c r="G10" s="310"/>
      <c r="H10" s="171"/>
      <c r="I10" s="160"/>
      <c r="J10" s="307"/>
      <c r="K10" s="308">
        <f t="shared" si="0"/>
        <v>6599.8879075415198</v>
      </c>
      <c r="L10" s="373" t="str">
        <f t="shared" si="2"/>
        <v xml:space="preserve">    ---- </v>
      </c>
      <c r="M10" s="11">
        <f>IFERROR(100/'Skjema total MA'!I10*K10,0)</f>
        <v>8.9045108754796706E-3</v>
      </c>
    </row>
    <row r="11" spans="1:14" s="43" customFormat="1" ht="15.75" x14ac:dyDescent="0.2">
      <c r="A11" s="13" t="s">
        <v>452</v>
      </c>
      <c r="B11" s="309"/>
      <c r="C11" s="310"/>
      <c r="D11" s="171"/>
      <c r="E11" s="11"/>
      <c r="F11" s="309"/>
      <c r="G11" s="310"/>
      <c r="H11" s="171"/>
      <c r="I11" s="160"/>
      <c r="J11" s="307"/>
      <c r="K11" s="308"/>
      <c r="L11" s="373"/>
      <c r="M11" s="11"/>
      <c r="N11" s="143"/>
    </row>
    <row r="12" spans="1:14" s="43" customFormat="1" ht="15.75" x14ac:dyDescent="0.2">
      <c r="A12" s="41" t="s">
        <v>453</v>
      </c>
      <c r="B12" s="311"/>
      <c r="C12" s="312"/>
      <c r="D12" s="169"/>
      <c r="E12" s="36"/>
      <c r="F12" s="311"/>
      <c r="G12" s="312"/>
      <c r="H12" s="169"/>
      <c r="I12" s="169"/>
      <c r="J12" s="313"/>
      <c r="K12" s="314"/>
      <c r="L12" s="374"/>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975"/>
      <c r="C18" s="975"/>
      <c r="D18" s="975"/>
      <c r="E18" s="298"/>
      <c r="F18" s="975"/>
      <c r="G18" s="975"/>
      <c r="H18" s="975"/>
      <c r="I18" s="298"/>
      <c r="J18" s="975"/>
      <c r="K18" s="975"/>
      <c r="L18" s="975"/>
      <c r="M18" s="298"/>
    </row>
    <row r="19" spans="1:14" x14ac:dyDescent="0.2">
      <c r="A19" s="144"/>
      <c r="B19" s="973" t="s">
        <v>0</v>
      </c>
      <c r="C19" s="974"/>
      <c r="D19" s="974"/>
      <c r="E19" s="300"/>
      <c r="F19" s="973" t="s">
        <v>1</v>
      </c>
      <c r="G19" s="974"/>
      <c r="H19" s="974"/>
      <c r="I19" s="303"/>
      <c r="J19" s="973" t="s">
        <v>2</v>
      </c>
      <c r="K19" s="974"/>
      <c r="L19" s="974"/>
      <c r="M19" s="303"/>
    </row>
    <row r="20" spans="1:14" x14ac:dyDescent="0.2">
      <c r="A20" s="140" t="s">
        <v>5</v>
      </c>
      <c r="B20" s="152" t="s">
        <v>492</v>
      </c>
      <c r="C20" s="152" t="s">
        <v>493</v>
      </c>
      <c r="D20" s="162" t="s">
        <v>3</v>
      </c>
      <c r="E20" s="304" t="s">
        <v>29</v>
      </c>
      <c r="F20" s="152" t="s">
        <v>492</v>
      </c>
      <c r="G20" s="152" t="s">
        <v>493</v>
      </c>
      <c r="H20" s="162" t="s">
        <v>3</v>
      </c>
      <c r="I20" s="162" t="s">
        <v>29</v>
      </c>
      <c r="J20" s="152" t="s">
        <v>492</v>
      </c>
      <c r="K20" s="152" t="s">
        <v>493</v>
      </c>
      <c r="L20" s="162" t="s">
        <v>3</v>
      </c>
      <c r="M20" s="162" t="s">
        <v>29</v>
      </c>
    </row>
    <row r="21" spans="1:14" x14ac:dyDescent="0.2">
      <c r="A21" s="947"/>
      <c r="B21" s="156"/>
      <c r="C21" s="156"/>
      <c r="D21" s="246" t="s">
        <v>4</v>
      </c>
      <c r="E21" s="156" t="s">
        <v>30</v>
      </c>
      <c r="F21" s="161"/>
      <c r="G21" s="161"/>
      <c r="H21" s="245"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372"/>
      <c r="M22" s="24"/>
    </row>
    <row r="23" spans="1:14" ht="15.75" x14ac:dyDescent="0.2">
      <c r="A23" s="753" t="s">
        <v>454</v>
      </c>
      <c r="B23" s="280"/>
      <c r="C23" s="280"/>
      <c r="D23" s="166"/>
      <c r="E23" s="11"/>
      <c r="F23" s="289"/>
      <c r="G23" s="289"/>
      <c r="H23" s="166"/>
      <c r="I23" s="365"/>
      <c r="J23" s="289"/>
      <c r="K23" s="289"/>
      <c r="L23" s="166"/>
      <c r="M23" s="23"/>
    </row>
    <row r="24" spans="1:14" ht="15.75" x14ac:dyDescent="0.2">
      <c r="A24" s="753" t="s">
        <v>455</v>
      </c>
      <c r="B24" s="280"/>
      <c r="C24" s="280"/>
      <c r="D24" s="166"/>
      <c r="E24" s="11"/>
      <c r="F24" s="289"/>
      <c r="G24" s="289"/>
      <c r="H24" s="166"/>
      <c r="I24" s="365"/>
      <c r="J24" s="289"/>
      <c r="K24" s="289"/>
      <c r="L24" s="166"/>
      <c r="M24" s="23"/>
    </row>
    <row r="25" spans="1:14" ht="15.75" x14ac:dyDescent="0.2">
      <c r="A25" s="753" t="s">
        <v>456</v>
      </c>
      <c r="B25" s="280"/>
      <c r="C25" s="280"/>
      <c r="D25" s="166"/>
      <c r="E25" s="11"/>
      <c r="F25" s="289"/>
      <c r="G25" s="289"/>
      <c r="H25" s="166"/>
      <c r="I25" s="365"/>
      <c r="J25" s="289"/>
      <c r="K25" s="289"/>
      <c r="L25" s="166"/>
      <c r="M25" s="23"/>
    </row>
    <row r="26" spans="1:14" ht="15.75" x14ac:dyDescent="0.2">
      <c r="A26" s="753" t="s">
        <v>457</v>
      </c>
      <c r="B26" s="280"/>
      <c r="C26" s="280"/>
      <c r="D26" s="166"/>
      <c r="E26" s="11"/>
      <c r="F26" s="289"/>
      <c r="G26" s="289"/>
      <c r="H26" s="166"/>
      <c r="I26" s="365"/>
      <c r="J26" s="289"/>
      <c r="K26" s="289"/>
      <c r="L26" s="166"/>
      <c r="M26" s="23"/>
    </row>
    <row r="27" spans="1:14" x14ac:dyDescent="0.2">
      <c r="A27" s="753" t="s">
        <v>11</v>
      </c>
      <c r="B27" s="280"/>
      <c r="C27" s="280"/>
      <c r="D27" s="166"/>
      <c r="E27" s="11"/>
      <c r="F27" s="289"/>
      <c r="G27" s="289"/>
      <c r="H27" s="166"/>
      <c r="I27" s="365"/>
      <c r="J27" s="289"/>
      <c r="K27" s="289"/>
      <c r="L27" s="166"/>
      <c r="M27" s="23"/>
    </row>
    <row r="28" spans="1:14" ht="15.75" x14ac:dyDescent="0.2">
      <c r="A28" s="49" t="s">
        <v>279</v>
      </c>
      <c r="B28" s="44"/>
      <c r="C28" s="286"/>
      <c r="D28" s="166"/>
      <c r="E28" s="11"/>
      <c r="F28" s="234"/>
      <c r="G28" s="286"/>
      <c r="H28" s="166"/>
      <c r="I28" s="27"/>
      <c r="J28" s="44"/>
      <c r="K28" s="44"/>
      <c r="L28" s="254"/>
      <c r="M28" s="23"/>
    </row>
    <row r="29" spans="1:14" s="3" customFormat="1" ht="15.75" x14ac:dyDescent="0.2">
      <c r="A29" s="13" t="s">
        <v>451</v>
      </c>
      <c r="B29" s="236"/>
      <c r="C29" s="236"/>
      <c r="D29" s="171"/>
      <c r="E29" s="11"/>
      <c r="F29" s="307"/>
      <c r="G29" s="307"/>
      <c r="H29" s="171"/>
      <c r="I29" s="11"/>
      <c r="J29" s="236"/>
      <c r="K29" s="236"/>
      <c r="L29" s="373"/>
      <c r="M29" s="24"/>
      <c r="N29" s="148"/>
    </row>
    <row r="30" spans="1:14" s="3" customFormat="1" ht="15.75" x14ac:dyDescent="0.2">
      <c r="A30" s="753" t="s">
        <v>454</v>
      </c>
      <c r="B30" s="280"/>
      <c r="C30" s="280"/>
      <c r="D30" s="166"/>
      <c r="E30" s="11"/>
      <c r="F30" s="289"/>
      <c r="G30" s="289"/>
      <c r="H30" s="166"/>
      <c r="I30" s="365"/>
      <c r="J30" s="289"/>
      <c r="K30" s="289"/>
      <c r="L30" s="166"/>
      <c r="M30" s="23"/>
      <c r="N30" s="148"/>
    </row>
    <row r="31" spans="1:14" s="3" customFormat="1" ht="15.75" x14ac:dyDescent="0.2">
      <c r="A31" s="753" t="s">
        <v>455</v>
      </c>
      <c r="B31" s="280"/>
      <c r="C31" s="280"/>
      <c r="D31" s="166"/>
      <c r="E31" s="11"/>
      <c r="F31" s="289"/>
      <c r="G31" s="289"/>
      <c r="H31" s="166"/>
      <c r="I31" s="365"/>
      <c r="J31" s="289"/>
      <c r="K31" s="289"/>
      <c r="L31" s="166"/>
      <c r="M31" s="23"/>
      <c r="N31" s="148"/>
    </row>
    <row r="32" spans="1:14" ht="15.75" x14ac:dyDescent="0.2">
      <c r="A32" s="753" t="s">
        <v>456</v>
      </c>
      <c r="B32" s="280"/>
      <c r="C32" s="280"/>
      <c r="D32" s="166"/>
      <c r="E32" s="11"/>
      <c r="F32" s="289"/>
      <c r="G32" s="289"/>
      <c r="H32" s="166"/>
      <c r="I32" s="365"/>
      <c r="J32" s="289"/>
      <c r="K32" s="289"/>
      <c r="L32" s="166"/>
      <c r="M32" s="23"/>
    </row>
    <row r="33" spans="1:14" ht="15.75" x14ac:dyDescent="0.2">
      <c r="A33" s="753" t="s">
        <v>457</v>
      </c>
      <c r="B33" s="280"/>
      <c r="C33" s="280"/>
      <c r="D33" s="166"/>
      <c r="E33" s="11"/>
      <c r="F33" s="289"/>
      <c r="G33" s="289"/>
      <c r="H33" s="166"/>
      <c r="I33" s="365"/>
      <c r="J33" s="289"/>
      <c r="K33" s="289"/>
      <c r="L33" s="166"/>
      <c r="M33" s="23"/>
    </row>
    <row r="34" spans="1:14" ht="15.75" x14ac:dyDescent="0.2">
      <c r="A34" s="13" t="s">
        <v>452</v>
      </c>
      <c r="B34" s="236"/>
      <c r="C34" s="308"/>
      <c r="D34" s="171"/>
      <c r="E34" s="11"/>
      <c r="F34" s="307"/>
      <c r="G34" s="308"/>
      <c r="H34" s="171"/>
      <c r="I34" s="11"/>
      <c r="J34" s="236"/>
      <c r="K34" s="236"/>
      <c r="L34" s="373"/>
      <c r="M34" s="24"/>
    </row>
    <row r="35" spans="1:14" ht="15.75" x14ac:dyDescent="0.2">
      <c r="A35" s="13" t="s">
        <v>453</v>
      </c>
      <c r="B35" s="236"/>
      <c r="C35" s="308"/>
      <c r="D35" s="171"/>
      <c r="E35" s="11"/>
      <c r="F35" s="307"/>
      <c r="G35" s="308"/>
      <c r="H35" s="171"/>
      <c r="I35" s="11"/>
      <c r="J35" s="236"/>
      <c r="K35" s="236"/>
      <c r="L35" s="373"/>
      <c r="M35" s="24"/>
    </row>
    <row r="36" spans="1:14" ht="15.75" x14ac:dyDescent="0.2">
      <c r="A36" s="12" t="s">
        <v>287</v>
      </c>
      <c r="B36" s="236"/>
      <c r="C36" s="308"/>
      <c r="D36" s="171"/>
      <c r="E36" s="11"/>
      <c r="F36" s="318"/>
      <c r="G36" s="319"/>
      <c r="H36" s="171"/>
      <c r="I36" s="379"/>
      <c r="J36" s="236"/>
      <c r="K36" s="236"/>
      <c r="L36" s="373"/>
      <c r="M36" s="24"/>
    </row>
    <row r="37" spans="1:14" ht="15.75" x14ac:dyDescent="0.2">
      <c r="A37" s="12" t="s">
        <v>459</v>
      </c>
      <c r="B37" s="236"/>
      <c r="C37" s="308"/>
      <c r="D37" s="171"/>
      <c r="E37" s="11"/>
      <c r="F37" s="318"/>
      <c r="G37" s="320"/>
      <c r="H37" s="171"/>
      <c r="I37" s="379"/>
      <c r="J37" s="236"/>
      <c r="K37" s="236"/>
      <c r="L37" s="373"/>
      <c r="M37" s="24"/>
    </row>
    <row r="38" spans="1:14" ht="15.75" x14ac:dyDescent="0.2">
      <c r="A38" s="12" t="s">
        <v>460</v>
      </c>
      <c r="B38" s="236"/>
      <c r="C38" s="308"/>
      <c r="D38" s="171"/>
      <c r="E38" s="24"/>
      <c r="F38" s="318"/>
      <c r="G38" s="319"/>
      <c r="H38" s="171"/>
      <c r="I38" s="379"/>
      <c r="J38" s="236"/>
      <c r="K38" s="236"/>
      <c r="L38" s="373"/>
      <c r="M38" s="24"/>
    </row>
    <row r="39" spans="1:14" ht="15.75" x14ac:dyDescent="0.2">
      <c r="A39" s="18" t="s">
        <v>461</v>
      </c>
      <c r="B39" s="275"/>
      <c r="C39" s="314"/>
      <c r="D39" s="169"/>
      <c r="E39" s="36"/>
      <c r="F39" s="321"/>
      <c r="G39" s="322"/>
      <c r="H39" s="169"/>
      <c r="I39" s="36"/>
      <c r="J39" s="236"/>
      <c r="K39" s="236"/>
      <c r="L39" s="374"/>
      <c r="M39" s="36"/>
    </row>
    <row r="40" spans="1:14" ht="15.75" x14ac:dyDescent="0.25">
      <c r="A40" s="47"/>
      <c r="B40" s="253"/>
      <c r="C40" s="253"/>
      <c r="D40" s="976"/>
      <c r="E40" s="976"/>
      <c r="F40" s="976"/>
      <c r="G40" s="976"/>
      <c r="H40" s="976"/>
      <c r="I40" s="976"/>
      <c r="J40" s="976"/>
      <c r="K40" s="976"/>
      <c r="L40" s="976"/>
      <c r="M40" s="301"/>
    </row>
    <row r="41" spans="1:14" x14ac:dyDescent="0.2">
      <c r="A41" s="155"/>
    </row>
    <row r="42" spans="1:14" ht="15.75" x14ac:dyDescent="0.25">
      <c r="A42" s="147" t="s">
        <v>276</v>
      </c>
      <c r="B42" s="972"/>
      <c r="C42" s="972"/>
      <c r="D42" s="972"/>
      <c r="E42" s="298"/>
      <c r="F42" s="977"/>
      <c r="G42" s="977"/>
      <c r="H42" s="977"/>
      <c r="I42" s="301"/>
      <c r="J42" s="977"/>
      <c r="K42" s="977"/>
      <c r="L42" s="977"/>
      <c r="M42" s="301"/>
    </row>
    <row r="43" spans="1:14" ht="15.75" x14ac:dyDescent="0.25">
      <c r="A43" s="163"/>
      <c r="B43" s="302"/>
      <c r="C43" s="302"/>
      <c r="D43" s="302"/>
      <c r="E43" s="302"/>
      <c r="F43" s="301"/>
      <c r="G43" s="301"/>
      <c r="H43" s="301"/>
      <c r="I43" s="301"/>
      <c r="J43" s="301"/>
      <c r="K43" s="301"/>
      <c r="L43" s="301"/>
      <c r="M43" s="301"/>
    </row>
    <row r="44" spans="1:14" ht="15.75" x14ac:dyDescent="0.25">
      <c r="A44" s="247"/>
      <c r="B44" s="973" t="s">
        <v>0</v>
      </c>
      <c r="C44" s="974"/>
      <c r="D44" s="974"/>
      <c r="E44" s="243"/>
      <c r="F44" s="301"/>
      <c r="G44" s="301"/>
      <c r="H44" s="301"/>
      <c r="I44" s="301"/>
      <c r="J44" s="301"/>
      <c r="K44" s="301"/>
      <c r="L44" s="301"/>
      <c r="M44" s="301"/>
    </row>
    <row r="45" spans="1:14" s="3" customFormat="1" x14ac:dyDescent="0.2">
      <c r="A45" s="140"/>
      <c r="B45" s="152" t="s">
        <v>492</v>
      </c>
      <c r="C45" s="152" t="s">
        <v>493</v>
      </c>
      <c r="D45" s="162" t="s">
        <v>3</v>
      </c>
      <c r="E45" s="162" t="s">
        <v>29</v>
      </c>
      <c r="F45" s="174"/>
      <c r="G45" s="174"/>
      <c r="H45" s="173"/>
      <c r="I45" s="173"/>
      <c r="J45" s="174"/>
      <c r="K45" s="174"/>
      <c r="L45" s="173"/>
      <c r="M45" s="173"/>
      <c r="N45" s="148"/>
    </row>
    <row r="46" spans="1:14" s="3" customFormat="1" x14ac:dyDescent="0.2">
      <c r="A46" s="947"/>
      <c r="B46" s="244"/>
      <c r="C46" s="244"/>
      <c r="D46" s="245" t="s">
        <v>4</v>
      </c>
      <c r="E46" s="156" t="s">
        <v>30</v>
      </c>
      <c r="F46" s="173"/>
      <c r="G46" s="173"/>
      <c r="H46" s="173"/>
      <c r="I46" s="173"/>
      <c r="J46" s="173"/>
      <c r="K46" s="173"/>
      <c r="L46" s="173"/>
      <c r="M46" s="173"/>
      <c r="N46" s="148"/>
    </row>
    <row r="47" spans="1:14" s="3" customFormat="1" ht="15.75" x14ac:dyDescent="0.2">
      <c r="A47" s="14" t="s">
        <v>23</v>
      </c>
      <c r="B47" s="309">
        <v>1788</v>
      </c>
      <c r="C47" s="310">
        <v>3961.9921289016102</v>
      </c>
      <c r="D47" s="372">
        <f t="shared" ref="D47:D57" si="3">IF(B47=0, "    ---- ", IF(ABS(ROUND(100/B47*C47-100,1))&lt;999,ROUND(100/B47*C47-100,1),IF(ROUND(100/B47*C47-100,1)&gt;999,999,-999)))</f>
        <v>121.6</v>
      </c>
      <c r="E47" s="11">
        <f>IFERROR(100/'Skjema total MA'!C47*C47,0)</f>
        <v>9.1542341669149666E-2</v>
      </c>
      <c r="F47" s="145"/>
      <c r="G47" s="33"/>
      <c r="H47" s="159"/>
      <c r="I47" s="159"/>
      <c r="J47" s="37"/>
      <c r="K47" s="37"/>
      <c r="L47" s="159"/>
      <c r="M47" s="159"/>
      <c r="N47" s="148"/>
    </row>
    <row r="48" spans="1:14" s="3" customFormat="1" ht="15.75" x14ac:dyDescent="0.2">
      <c r="A48" s="38" t="s">
        <v>462</v>
      </c>
      <c r="B48" s="280">
        <v>1788</v>
      </c>
      <c r="C48" s="281">
        <v>3961.9921289016102</v>
      </c>
      <c r="D48" s="254">
        <f t="shared" si="3"/>
        <v>121.6</v>
      </c>
      <c r="E48" s="27">
        <f>IFERROR(100/'Skjema total MA'!C48*C48,0)</f>
        <v>0.16512191360547965</v>
      </c>
      <c r="F48" s="145"/>
      <c r="G48" s="33"/>
      <c r="H48" s="145"/>
      <c r="I48" s="145"/>
      <c r="J48" s="33"/>
      <c r="K48" s="33"/>
      <c r="L48" s="159"/>
      <c r="M48" s="159"/>
      <c r="N48" s="148"/>
    </row>
    <row r="49" spans="1:14" s="3" customFormat="1" ht="15.75" x14ac:dyDescent="0.2">
      <c r="A49" s="38" t="s">
        <v>463</v>
      </c>
      <c r="B49" s="44"/>
      <c r="C49" s="286"/>
      <c r="D49" s="254"/>
      <c r="E49" s="27"/>
      <c r="F49" s="145"/>
      <c r="G49" s="33"/>
      <c r="H49" s="145"/>
      <c r="I49" s="145"/>
      <c r="J49" s="37"/>
      <c r="K49" s="37"/>
      <c r="L49" s="159"/>
      <c r="M49" s="159"/>
      <c r="N49" s="148"/>
    </row>
    <row r="50" spans="1:14" s="3" customFormat="1" x14ac:dyDescent="0.2">
      <c r="A50" s="295" t="s">
        <v>6</v>
      </c>
      <c r="B50" s="289"/>
      <c r="C50" s="290"/>
      <c r="D50" s="254"/>
      <c r="E50" s="23"/>
      <c r="F50" s="145"/>
      <c r="G50" s="33"/>
      <c r="H50" s="145"/>
      <c r="I50" s="145"/>
      <c r="J50" s="33"/>
      <c r="K50" s="33"/>
      <c r="L50" s="159"/>
      <c r="M50" s="159"/>
      <c r="N50" s="148"/>
    </row>
    <row r="51" spans="1:14" s="3" customFormat="1" x14ac:dyDescent="0.2">
      <c r="A51" s="295" t="s">
        <v>7</v>
      </c>
      <c r="B51" s="289"/>
      <c r="C51" s="290"/>
      <c r="D51" s="254"/>
      <c r="E51" s="23"/>
      <c r="F51" s="145"/>
      <c r="G51" s="33"/>
      <c r="H51" s="145"/>
      <c r="I51" s="145"/>
      <c r="J51" s="33"/>
      <c r="K51" s="33"/>
      <c r="L51" s="159"/>
      <c r="M51" s="159"/>
      <c r="N51" s="148"/>
    </row>
    <row r="52" spans="1:14" s="3" customFormat="1" x14ac:dyDescent="0.2">
      <c r="A52" s="295" t="s">
        <v>8</v>
      </c>
      <c r="B52" s="289"/>
      <c r="C52" s="290"/>
      <c r="D52" s="254"/>
      <c r="E52" s="23"/>
      <c r="F52" s="145"/>
      <c r="G52" s="33"/>
      <c r="H52" s="145"/>
      <c r="I52" s="145"/>
      <c r="J52" s="33"/>
      <c r="K52" s="33"/>
      <c r="L52" s="159"/>
      <c r="M52" s="159"/>
      <c r="N52" s="148"/>
    </row>
    <row r="53" spans="1:14" s="3" customFormat="1" ht="15.75" x14ac:dyDescent="0.2">
      <c r="A53" s="39" t="s">
        <v>464</v>
      </c>
      <c r="B53" s="309">
        <v>1721</v>
      </c>
      <c r="C53" s="310">
        <v>0</v>
      </c>
      <c r="D53" s="373">
        <f t="shared" si="3"/>
        <v>-100</v>
      </c>
      <c r="E53" s="11">
        <f>IFERROR(100/'Skjema total MA'!C53*C53,0)</f>
        <v>0</v>
      </c>
      <c r="F53" s="145"/>
      <c r="G53" s="33"/>
      <c r="H53" s="145"/>
      <c r="I53" s="145"/>
      <c r="J53" s="33"/>
      <c r="K53" s="33"/>
      <c r="L53" s="159"/>
      <c r="M53" s="159"/>
      <c r="N53" s="148"/>
    </row>
    <row r="54" spans="1:14" s="3" customFormat="1" ht="15.75" x14ac:dyDescent="0.2">
      <c r="A54" s="38" t="s">
        <v>462</v>
      </c>
      <c r="B54" s="280">
        <v>1721</v>
      </c>
      <c r="C54" s="281">
        <v>0</v>
      </c>
      <c r="D54" s="254">
        <f t="shared" si="3"/>
        <v>-100</v>
      </c>
      <c r="E54" s="27">
        <f>IFERROR(100/'Skjema total MA'!C54*C54,0)</f>
        <v>0</v>
      </c>
      <c r="F54" s="145"/>
      <c r="G54" s="33"/>
      <c r="H54" s="145"/>
      <c r="I54" s="145"/>
      <c r="J54" s="33"/>
      <c r="K54" s="33"/>
      <c r="L54" s="159"/>
      <c r="M54" s="159"/>
      <c r="N54" s="148"/>
    </row>
    <row r="55" spans="1:14" s="3" customFormat="1" ht="15.75" x14ac:dyDescent="0.2">
      <c r="A55" s="38" t="s">
        <v>463</v>
      </c>
      <c r="B55" s="280"/>
      <c r="C55" s="281"/>
      <c r="D55" s="254"/>
      <c r="E55" s="27"/>
      <c r="F55" s="145"/>
      <c r="G55" s="33"/>
      <c r="H55" s="145"/>
      <c r="I55" s="145"/>
      <c r="J55" s="33"/>
      <c r="K55" s="33"/>
      <c r="L55" s="159"/>
      <c r="M55" s="159"/>
      <c r="N55" s="148"/>
    </row>
    <row r="56" spans="1:14" s="3" customFormat="1" ht="15.75" x14ac:dyDescent="0.2">
      <c r="A56" s="39" t="s">
        <v>465</v>
      </c>
      <c r="B56" s="309">
        <v>707</v>
      </c>
      <c r="C56" s="310">
        <v>264.21499999999997</v>
      </c>
      <c r="D56" s="373">
        <f t="shared" si="3"/>
        <v>-62.6</v>
      </c>
      <c r="E56" s="11">
        <f>IFERROR(100/'Skjema total MA'!C56*C56,0)</f>
        <v>0.14205647341480696</v>
      </c>
      <c r="F56" s="145"/>
      <c r="G56" s="33"/>
      <c r="H56" s="145"/>
      <c r="I56" s="145"/>
      <c r="J56" s="33"/>
      <c r="K56" s="33"/>
      <c r="L56" s="159"/>
      <c r="M56" s="159"/>
      <c r="N56" s="148"/>
    </row>
    <row r="57" spans="1:14" s="3" customFormat="1" ht="15.75" x14ac:dyDescent="0.2">
      <c r="A57" s="38" t="s">
        <v>462</v>
      </c>
      <c r="B57" s="280">
        <v>707</v>
      </c>
      <c r="C57" s="281">
        <v>264.21499999999997</v>
      </c>
      <c r="D57" s="254">
        <f t="shared" si="3"/>
        <v>-62.6</v>
      </c>
      <c r="E57" s="27">
        <f>IFERROR(100/'Skjema total MA'!C57*C57,0)</f>
        <v>0.22130500053061603</v>
      </c>
      <c r="F57" s="145"/>
      <c r="G57" s="33"/>
      <c r="H57" s="145"/>
      <c r="I57" s="145"/>
      <c r="J57" s="33"/>
      <c r="K57" s="33"/>
      <c r="L57" s="159"/>
      <c r="M57" s="159"/>
      <c r="N57" s="148"/>
    </row>
    <row r="58" spans="1:14" s="3" customFormat="1" ht="15.75" x14ac:dyDescent="0.2">
      <c r="A58" s="46" t="s">
        <v>463</v>
      </c>
      <c r="B58" s="282"/>
      <c r="C58" s="283"/>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975"/>
      <c r="C62" s="975"/>
      <c r="D62" s="975"/>
      <c r="E62" s="298"/>
      <c r="F62" s="975"/>
      <c r="G62" s="975"/>
      <c r="H62" s="975"/>
      <c r="I62" s="298"/>
      <c r="J62" s="975"/>
      <c r="K62" s="975"/>
      <c r="L62" s="975"/>
      <c r="M62" s="298"/>
    </row>
    <row r="63" spans="1:14" x14ac:dyDescent="0.2">
      <c r="A63" s="144"/>
      <c r="B63" s="973" t="s">
        <v>0</v>
      </c>
      <c r="C63" s="974"/>
      <c r="D63" s="978"/>
      <c r="E63" s="299"/>
      <c r="F63" s="974" t="s">
        <v>1</v>
      </c>
      <c r="G63" s="974"/>
      <c r="H63" s="974"/>
      <c r="I63" s="303"/>
      <c r="J63" s="973" t="s">
        <v>2</v>
      </c>
      <c r="K63" s="974"/>
      <c r="L63" s="974"/>
      <c r="M63" s="303"/>
    </row>
    <row r="64" spans="1:14" x14ac:dyDescent="0.2">
      <c r="A64" s="140"/>
      <c r="B64" s="152" t="s">
        <v>492</v>
      </c>
      <c r="C64" s="152" t="s">
        <v>493</v>
      </c>
      <c r="D64" s="245" t="s">
        <v>3</v>
      </c>
      <c r="E64" s="304" t="s">
        <v>29</v>
      </c>
      <c r="F64" s="152" t="s">
        <v>492</v>
      </c>
      <c r="G64" s="152" t="s">
        <v>493</v>
      </c>
      <c r="H64" s="245" t="s">
        <v>3</v>
      </c>
      <c r="I64" s="304" t="s">
        <v>29</v>
      </c>
      <c r="J64" s="152" t="s">
        <v>492</v>
      </c>
      <c r="K64" s="152" t="s">
        <v>493</v>
      </c>
      <c r="L64" s="245" t="s">
        <v>3</v>
      </c>
      <c r="M64" s="162" t="s">
        <v>29</v>
      </c>
    </row>
    <row r="65" spans="1:14" x14ac:dyDescent="0.2">
      <c r="A65" s="947"/>
      <c r="B65" s="156"/>
      <c r="C65" s="156"/>
      <c r="D65" s="246" t="s">
        <v>4</v>
      </c>
      <c r="E65" s="156" t="s">
        <v>30</v>
      </c>
      <c r="F65" s="161"/>
      <c r="G65" s="161"/>
      <c r="H65" s="245" t="s">
        <v>4</v>
      </c>
      <c r="I65" s="156" t="s">
        <v>30</v>
      </c>
      <c r="J65" s="161"/>
      <c r="K65" s="206"/>
      <c r="L65" s="156" t="s">
        <v>4</v>
      </c>
      <c r="M65" s="156" t="s">
        <v>30</v>
      </c>
    </row>
    <row r="66" spans="1:14" ht="15.75" x14ac:dyDescent="0.2">
      <c r="A66" s="14" t="s">
        <v>23</v>
      </c>
      <c r="B66" s="352"/>
      <c r="C66" s="352"/>
      <c r="D66" s="349"/>
      <c r="E66" s="11"/>
      <c r="F66" s="351"/>
      <c r="G66" s="351"/>
      <c r="H66" s="349"/>
      <c r="I66" s="11"/>
      <c r="J66" s="308"/>
      <c r="K66" s="315"/>
      <c r="L66" s="373"/>
      <c r="M66" s="11"/>
    </row>
    <row r="67" spans="1:14" x14ac:dyDescent="0.2">
      <c r="A67" s="367" t="s">
        <v>9</v>
      </c>
      <c r="B67" s="44"/>
      <c r="C67" s="145"/>
      <c r="D67" s="166"/>
      <c r="E67" s="27"/>
      <c r="F67" s="234"/>
      <c r="G67" s="145"/>
      <c r="H67" s="166"/>
      <c r="I67" s="27"/>
      <c r="J67" s="286"/>
      <c r="K67" s="44"/>
      <c r="L67" s="254"/>
      <c r="M67" s="27"/>
    </row>
    <row r="68" spans="1:14" x14ac:dyDescent="0.2">
      <c r="A68" s="21" t="s">
        <v>10</v>
      </c>
      <c r="B68" s="291"/>
      <c r="C68" s="292"/>
      <c r="D68" s="166"/>
      <c r="E68" s="27"/>
      <c r="F68" s="291"/>
      <c r="G68" s="292"/>
      <c r="H68" s="166"/>
      <c r="I68" s="27"/>
      <c r="J68" s="286"/>
      <c r="K68" s="44"/>
      <c r="L68" s="254"/>
      <c r="M68" s="27"/>
    </row>
    <row r="69" spans="1:14" ht="15.75" x14ac:dyDescent="0.2">
      <c r="A69" s="295" t="s">
        <v>466</v>
      </c>
      <c r="B69" s="280"/>
      <c r="C69" s="280"/>
      <c r="D69" s="166"/>
      <c r="E69" s="365"/>
      <c r="F69" s="280"/>
      <c r="G69" s="280"/>
      <c r="H69" s="166"/>
      <c r="I69" s="365"/>
      <c r="J69" s="289"/>
      <c r="K69" s="289"/>
      <c r="L69" s="166"/>
      <c r="M69" s="23"/>
    </row>
    <row r="70" spans="1:14" x14ac:dyDescent="0.2">
      <c r="A70" s="295" t="s">
        <v>12</v>
      </c>
      <c r="B70" s="293"/>
      <c r="C70" s="294"/>
      <c r="D70" s="166"/>
      <c r="E70" s="365"/>
      <c r="F70" s="280"/>
      <c r="G70" s="280"/>
      <c r="H70" s="166"/>
      <c r="I70" s="365"/>
      <c r="J70" s="289"/>
      <c r="K70" s="289"/>
      <c r="L70" s="166"/>
      <c r="M70" s="23"/>
    </row>
    <row r="71" spans="1:14" x14ac:dyDescent="0.2">
      <c r="A71" s="295" t="s">
        <v>13</v>
      </c>
      <c r="B71" s="235"/>
      <c r="C71" s="288"/>
      <c r="D71" s="166"/>
      <c r="E71" s="365"/>
      <c r="F71" s="280"/>
      <c r="G71" s="280"/>
      <c r="H71" s="166"/>
      <c r="I71" s="365"/>
      <c r="J71" s="289"/>
      <c r="K71" s="289"/>
      <c r="L71" s="166"/>
      <c r="M71" s="23"/>
    </row>
    <row r="72" spans="1:14" ht="15.75" x14ac:dyDescent="0.2">
      <c r="A72" s="295" t="s">
        <v>467</v>
      </c>
      <c r="B72" s="280"/>
      <c r="C72" s="280"/>
      <c r="D72" s="166"/>
      <c r="E72" s="365"/>
      <c r="F72" s="280"/>
      <c r="G72" s="280"/>
      <c r="H72" s="166"/>
      <c r="I72" s="365"/>
      <c r="J72" s="289"/>
      <c r="K72" s="289"/>
      <c r="L72" s="166"/>
      <c r="M72" s="23"/>
    </row>
    <row r="73" spans="1:14" x14ac:dyDescent="0.2">
      <c r="A73" s="295" t="s">
        <v>12</v>
      </c>
      <c r="B73" s="235"/>
      <c r="C73" s="288"/>
      <c r="D73" s="166"/>
      <c r="E73" s="365"/>
      <c r="F73" s="280"/>
      <c r="G73" s="280"/>
      <c r="H73" s="166"/>
      <c r="I73" s="365"/>
      <c r="J73" s="289"/>
      <c r="K73" s="289"/>
      <c r="L73" s="166"/>
      <c r="M73" s="23"/>
    </row>
    <row r="74" spans="1:14" s="3" customFormat="1" x14ac:dyDescent="0.2">
      <c r="A74" s="295" t="s">
        <v>13</v>
      </c>
      <c r="B74" s="235"/>
      <c r="C74" s="288"/>
      <c r="D74" s="166"/>
      <c r="E74" s="365"/>
      <c r="F74" s="280"/>
      <c r="G74" s="280"/>
      <c r="H74" s="166"/>
      <c r="I74" s="365"/>
      <c r="J74" s="289"/>
      <c r="K74" s="289"/>
      <c r="L74" s="166"/>
      <c r="M74" s="23"/>
      <c r="N74" s="148"/>
    </row>
    <row r="75" spans="1:14" s="3" customFormat="1" x14ac:dyDescent="0.2">
      <c r="A75" s="21" t="s">
        <v>353</v>
      </c>
      <c r="B75" s="234"/>
      <c r="C75" s="145"/>
      <c r="D75" s="166"/>
      <c r="E75" s="27"/>
      <c r="F75" s="234"/>
      <c r="G75" s="145"/>
      <c r="H75" s="166"/>
      <c r="I75" s="27"/>
      <c r="J75" s="286"/>
      <c r="K75" s="44"/>
      <c r="L75" s="254"/>
      <c r="M75" s="27"/>
      <c r="N75" s="148"/>
    </row>
    <row r="76" spans="1:14" s="3" customFormat="1" x14ac:dyDescent="0.2">
      <c r="A76" s="21" t="s">
        <v>352</v>
      </c>
      <c r="B76" s="234"/>
      <c r="C76" s="145"/>
      <c r="D76" s="166"/>
      <c r="E76" s="27"/>
      <c r="F76" s="234"/>
      <c r="G76" s="145"/>
      <c r="H76" s="166"/>
      <c r="I76" s="27"/>
      <c r="J76" s="286"/>
      <c r="K76" s="44"/>
      <c r="L76" s="254"/>
      <c r="M76" s="27"/>
      <c r="N76" s="148"/>
    </row>
    <row r="77" spans="1:14" ht="15.75" x14ac:dyDescent="0.2">
      <c r="A77" s="21" t="s">
        <v>468</v>
      </c>
      <c r="B77" s="234"/>
      <c r="C77" s="234"/>
      <c r="D77" s="166"/>
      <c r="E77" s="27"/>
      <c r="F77" s="234"/>
      <c r="G77" s="145"/>
      <c r="H77" s="166"/>
      <c r="I77" s="27"/>
      <c r="J77" s="286"/>
      <c r="K77" s="44"/>
      <c r="L77" s="254"/>
      <c r="M77" s="27"/>
    </row>
    <row r="78" spans="1:14" x14ac:dyDescent="0.2">
      <c r="A78" s="21" t="s">
        <v>9</v>
      </c>
      <c r="B78" s="234"/>
      <c r="C78" s="145"/>
      <c r="D78" s="166"/>
      <c r="E78" s="27"/>
      <c r="F78" s="234"/>
      <c r="G78" s="145"/>
      <c r="H78" s="166"/>
      <c r="I78" s="27"/>
      <c r="J78" s="286"/>
      <c r="K78" s="44"/>
      <c r="L78" s="254"/>
      <c r="M78" s="27"/>
    </row>
    <row r="79" spans="1:14" x14ac:dyDescent="0.2">
      <c r="A79" s="21" t="s">
        <v>10</v>
      </c>
      <c r="B79" s="291"/>
      <c r="C79" s="292"/>
      <c r="D79" s="166"/>
      <c r="E79" s="27"/>
      <c r="F79" s="291"/>
      <c r="G79" s="292"/>
      <c r="H79" s="166"/>
      <c r="I79" s="27"/>
      <c r="J79" s="286"/>
      <c r="K79" s="44"/>
      <c r="L79" s="254"/>
      <c r="M79" s="27"/>
    </row>
    <row r="80" spans="1:14" ht="15.75" x14ac:dyDescent="0.2">
      <c r="A80" s="295" t="s">
        <v>466</v>
      </c>
      <c r="B80" s="280"/>
      <c r="C80" s="280"/>
      <c r="D80" s="166"/>
      <c r="E80" s="365"/>
      <c r="F80" s="280"/>
      <c r="G80" s="280"/>
      <c r="H80" s="166"/>
      <c r="I80" s="365"/>
      <c r="J80" s="289"/>
      <c r="K80" s="289"/>
      <c r="L80" s="166"/>
      <c r="M80" s="23"/>
    </row>
    <row r="81" spans="1:13" x14ac:dyDescent="0.2">
      <c r="A81" s="295" t="s">
        <v>12</v>
      </c>
      <c r="B81" s="235"/>
      <c r="C81" s="288"/>
      <c r="D81" s="166"/>
      <c r="E81" s="365"/>
      <c r="F81" s="280"/>
      <c r="G81" s="280"/>
      <c r="H81" s="166"/>
      <c r="I81" s="365"/>
      <c r="J81" s="289"/>
      <c r="K81" s="289"/>
      <c r="L81" s="166"/>
      <c r="M81" s="23"/>
    </row>
    <row r="82" spans="1:13" x14ac:dyDescent="0.2">
      <c r="A82" s="295" t="s">
        <v>13</v>
      </c>
      <c r="B82" s="235"/>
      <c r="C82" s="288"/>
      <c r="D82" s="166"/>
      <c r="E82" s="365"/>
      <c r="F82" s="280"/>
      <c r="G82" s="280"/>
      <c r="H82" s="166"/>
      <c r="I82" s="365"/>
      <c r="J82" s="289"/>
      <c r="K82" s="289"/>
      <c r="L82" s="166"/>
      <c r="M82" s="23"/>
    </row>
    <row r="83" spans="1:13" ht="15.75" x14ac:dyDescent="0.2">
      <c r="A83" s="295" t="s">
        <v>467</v>
      </c>
      <c r="B83" s="280"/>
      <c r="C83" s="280"/>
      <c r="D83" s="166"/>
      <c r="E83" s="365"/>
      <c r="F83" s="280"/>
      <c r="G83" s="280"/>
      <c r="H83" s="166"/>
      <c r="I83" s="365"/>
      <c r="J83" s="289"/>
      <c r="K83" s="289"/>
      <c r="L83" s="166"/>
      <c r="M83" s="23"/>
    </row>
    <row r="84" spans="1:13" x14ac:dyDescent="0.2">
      <c r="A84" s="295" t="s">
        <v>12</v>
      </c>
      <c r="B84" s="235"/>
      <c r="C84" s="288"/>
      <c r="D84" s="166"/>
      <c r="E84" s="365"/>
      <c r="F84" s="280"/>
      <c r="G84" s="280"/>
      <c r="H84" s="166"/>
      <c r="I84" s="365"/>
      <c r="J84" s="289"/>
      <c r="K84" s="289"/>
      <c r="L84" s="166"/>
      <c r="M84" s="23"/>
    </row>
    <row r="85" spans="1:13" x14ac:dyDescent="0.2">
      <c r="A85" s="295" t="s">
        <v>13</v>
      </c>
      <c r="B85" s="235"/>
      <c r="C85" s="288"/>
      <c r="D85" s="166"/>
      <c r="E85" s="365"/>
      <c r="F85" s="280"/>
      <c r="G85" s="280"/>
      <c r="H85" s="166"/>
      <c r="I85" s="365"/>
      <c r="J85" s="289"/>
      <c r="K85" s="289"/>
      <c r="L85" s="166"/>
      <c r="M85" s="23"/>
    </row>
    <row r="86" spans="1:13" ht="15.75" x14ac:dyDescent="0.2">
      <c r="A86" s="21" t="s">
        <v>469</v>
      </c>
      <c r="B86" s="234"/>
      <c r="C86" s="145"/>
      <c r="D86" s="166"/>
      <c r="E86" s="27"/>
      <c r="F86" s="234"/>
      <c r="G86" s="145"/>
      <c r="H86" s="166"/>
      <c r="I86" s="27"/>
      <c r="J86" s="286"/>
      <c r="K86" s="44"/>
      <c r="L86" s="254"/>
      <c r="M86" s="27"/>
    </row>
    <row r="87" spans="1:13" ht="15.75" x14ac:dyDescent="0.2">
      <c r="A87" s="13" t="s">
        <v>451</v>
      </c>
      <c r="B87" s="352"/>
      <c r="C87" s="352"/>
      <c r="D87" s="171"/>
      <c r="E87" s="11"/>
      <c r="F87" s="351"/>
      <c r="G87" s="351"/>
      <c r="H87" s="171"/>
      <c r="I87" s="11"/>
      <c r="J87" s="308"/>
      <c r="K87" s="236"/>
      <c r="L87" s="373"/>
      <c r="M87" s="11"/>
    </row>
    <row r="88" spans="1:13" x14ac:dyDescent="0.2">
      <c r="A88" s="21" t="s">
        <v>9</v>
      </c>
      <c r="B88" s="234"/>
      <c r="C88" s="145"/>
      <c r="D88" s="166"/>
      <c r="E88" s="27"/>
      <c r="F88" s="234"/>
      <c r="G88" s="145"/>
      <c r="H88" s="166"/>
      <c r="I88" s="27"/>
      <c r="J88" s="286"/>
      <c r="K88" s="44"/>
      <c r="L88" s="254"/>
      <c r="M88" s="27"/>
    </row>
    <row r="89" spans="1:13" x14ac:dyDescent="0.2">
      <c r="A89" s="21" t="s">
        <v>10</v>
      </c>
      <c r="B89" s="234"/>
      <c r="C89" s="145"/>
      <c r="D89" s="166"/>
      <c r="E89" s="27"/>
      <c r="F89" s="234"/>
      <c r="G89" s="145"/>
      <c r="H89" s="166"/>
      <c r="I89" s="27"/>
      <c r="J89" s="286"/>
      <c r="K89" s="44"/>
      <c r="L89" s="254"/>
      <c r="M89" s="27"/>
    </row>
    <row r="90" spans="1:13" ht="15.75" x14ac:dyDescent="0.2">
      <c r="A90" s="295" t="s">
        <v>466</v>
      </c>
      <c r="B90" s="280"/>
      <c r="C90" s="280"/>
      <c r="D90" s="166"/>
      <c r="E90" s="365"/>
      <c r="F90" s="280"/>
      <c r="G90" s="280"/>
      <c r="H90" s="166"/>
      <c r="I90" s="365"/>
      <c r="J90" s="289"/>
      <c r="K90" s="289"/>
      <c r="L90" s="166"/>
      <c r="M90" s="23"/>
    </row>
    <row r="91" spans="1:13" x14ac:dyDescent="0.2">
      <c r="A91" s="295" t="s">
        <v>12</v>
      </c>
      <c r="B91" s="235"/>
      <c r="C91" s="288"/>
      <c r="D91" s="166"/>
      <c r="E91" s="365"/>
      <c r="F91" s="280"/>
      <c r="G91" s="280"/>
      <c r="H91" s="166"/>
      <c r="I91" s="365"/>
      <c r="J91" s="289"/>
      <c r="K91" s="289"/>
      <c r="L91" s="166"/>
      <c r="M91" s="23"/>
    </row>
    <row r="92" spans="1:13" x14ac:dyDescent="0.2">
      <c r="A92" s="295" t="s">
        <v>13</v>
      </c>
      <c r="B92" s="235"/>
      <c r="C92" s="288"/>
      <c r="D92" s="166"/>
      <c r="E92" s="365"/>
      <c r="F92" s="280"/>
      <c r="G92" s="280"/>
      <c r="H92" s="166"/>
      <c r="I92" s="365"/>
      <c r="J92" s="289"/>
      <c r="K92" s="289"/>
      <c r="L92" s="166"/>
      <c r="M92" s="23"/>
    </row>
    <row r="93" spans="1:13" ht="15.75" x14ac:dyDescent="0.2">
      <c r="A93" s="295" t="s">
        <v>467</v>
      </c>
      <c r="B93" s="280"/>
      <c r="C93" s="280"/>
      <c r="D93" s="166"/>
      <c r="E93" s="365"/>
      <c r="F93" s="280"/>
      <c r="G93" s="280"/>
      <c r="H93" s="166"/>
      <c r="I93" s="365"/>
      <c r="J93" s="289"/>
      <c r="K93" s="289"/>
      <c r="L93" s="166"/>
      <c r="M93" s="23"/>
    </row>
    <row r="94" spans="1:13" x14ac:dyDescent="0.2">
      <c r="A94" s="295" t="s">
        <v>12</v>
      </c>
      <c r="B94" s="235"/>
      <c r="C94" s="288"/>
      <c r="D94" s="166"/>
      <c r="E94" s="365"/>
      <c r="F94" s="280"/>
      <c r="G94" s="280"/>
      <c r="H94" s="166"/>
      <c r="I94" s="365"/>
      <c r="J94" s="289"/>
      <c r="K94" s="289"/>
      <c r="L94" s="166"/>
      <c r="M94" s="23"/>
    </row>
    <row r="95" spans="1:13" x14ac:dyDescent="0.2">
      <c r="A95" s="295" t="s">
        <v>13</v>
      </c>
      <c r="B95" s="235"/>
      <c r="C95" s="288"/>
      <c r="D95" s="166"/>
      <c r="E95" s="365"/>
      <c r="F95" s="280"/>
      <c r="G95" s="280"/>
      <c r="H95" s="166"/>
      <c r="I95" s="365"/>
      <c r="J95" s="289"/>
      <c r="K95" s="289"/>
      <c r="L95" s="166"/>
      <c r="M95" s="23"/>
    </row>
    <row r="96" spans="1:13" x14ac:dyDescent="0.2">
      <c r="A96" s="21" t="s">
        <v>351</v>
      </c>
      <c r="B96" s="234"/>
      <c r="C96" s="145"/>
      <c r="D96" s="166"/>
      <c r="E96" s="27"/>
      <c r="F96" s="234"/>
      <c r="G96" s="145"/>
      <c r="H96" s="166"/>
      <c r="I96" s="27"/>
      <c r="J96" s="286"/>
      <c r="K96" s="44"/>
      <c r="L96" s="254"/>
      <c r="M96" s="27"/>
    </row>
    <row r="97" spans="1:13" x14ac:dyDescent="0.2">
      <c r="A97" s="21" t="s">
        <v>350</v>
      </c>
      <c r="B97" s="234"/>
      <c r="C97" s="145"/>
      <c r="D97" s="166"/>
      <c r="E97" s="27"/>
      <c r="F97" s="234"/>
      <c r="G97" s="145"/>
      <c r="H97" s="166"/>
      <c r="I97" s="27"/>
      <c r="J97" s="286"/>
      <c r="K97" s="44"/>
      <c r="L97" s="254"/>
      <c r="M97" s="27"/>
    </row>
    <row r="98" spans="1:13" ht="15.75" x14ac:dyDescent="0.2">
      <c r="A98" s="21" t="s">
        <v>468</v>
      </c>
      <c r="B98" s="234"/>
      <c r="C98" s="234"/>
      <c r="D98" s="166"/>
      <c r="E98" s="27"/>
      <c r="F98" s="291"/>
      <c r="G98" s="291"/>
      <c r="H98" s="166"/>
      <c r="I98" s="27"/>
      <c r="J98" s="286"/>
      <c r="K98" s="44"/>
      <c r="L98" s="254"/>
      <c r="M98" s="27"/>
    </row>
    <row r="99" spans="1:13" x14ac:dyDescent="0.2">
      <c r="A99" s="21" t="s">
        <v>9</v>
      </c>
      <c r="B99" s="291"/>
      <c r="C99" s="292"/>
      <c r="D99" s="166"/>
      <c r="E99" s="27"/>
      <c r="F99" s="234"/>
      <c r="G99" s="145"/>
      <c r="H99" s="166"/>
      <c r="I99" s="27"/>
      <c r="J99" s="286"/>
      <c r="K99" s="44"/>
      <c r="L99" s="254"/>
      <c r="M99" s="27"/>
    </row>
    <row r="100" spans="1:13" x14ac:dyDescent="0.2">
      <c r="A100" s="21" t="s">
        <v>10</v>
      </c>
      <c r="B100" s="291"/>
      <c r="C100" s="292"/>
      <c r="D100" s="166"/>
      <c r="E100" s="27"/>
      <c r="F100" s="234"/>
      <c r="G100" s="234"/>
      <c r="H100" s="166"/>
      <c r="I100" s="27"/>
      <c r="J100" s="286"/>
      <c r="K100" s="44"/>
      <c r="L100" s="254"/>
      <c r="M100" s="27"/>
    </row>
    <row r="101" spans="1:13" ht="15.75" x14ac:dyDescent="0.2">
      <c r="A101" s="295" t="s">
        <v>466</v>
      </c>
      <c r="B101" s="280"/>
      <c r="C101" s="280"/>
      <c r="D101" s="166"/>
      <c r="E101" s="365"/>
      <c r="F101" s="280"/>
      <c r="G101" s="280"/>
      <c r="H101" s="166"/>
      <c r="I101" s="365"/>
      <c r="J101" s="289"/>
      <c r="K101" s="289"/>
      <c r="L101" s="166"/>
      <c r="M101" s="23"/>
    </row>
    <row r="102" spans="1:13" x14ac:dyDescent="0.2">
      <c r="A102" s="295" t="s">
        <v>12</v>
      </c>
      <c r="B102" s="235"/>
      <c r="C102" s="288"/>
      <c r="D102" s="166"/>
      <c r="E102" s="365"/>
      <c r="F102" s="280"/>
      <c r="G102" s="280"/>
      <c r="H102" s="166"/>
      <c r="I102" s="365"/>
      <c r="J102" s="289"/>
      <c r="K102" s="289"/>
      <c r="L102" s="166"/>
      <c r="M102" s="23"/>
    </row>
    <row r="103" spans="1:13" x14ac:dyDescent="0.2">
      <c r="A103" s="295" t="s">
        <v>13</v>
      </c>
      <c r="B103" s="235"/>
      <c r="C103" s="288"/>
      <c r="D103" s="166"/>
      <c r="E103" s="365"/>
      <c r="F103" s="280"/>
      <c r="G103" s="280"/>
      <c r="H103" s="166"/>
      <c r="I103" s="365"/>
      <c r="J103" s="289"/>
      <c r="K103" s="289"/>
      <c r="L103" s="166"/>
      <c r="M103" s="23"/>
    </row>
    <row r="104" spans="1:13" ht="15.75" x14ac:dyDescent="0.2">
      <c r="A104" s="295" t="s">
        <v>467</v>
      </c>
      <c r="B104" s="280"/>
      <c r="C104" s="280"/>
      <c r="D104" s="166"/>
      <c r="E104" s="365"/>
      <c r="F104" s="280"/>
      <c r="G104" s="280"/>
      <c r="H104" s="166"/>
      <c r="I104" s="365"/>
      <c r="J104" s="289"/>
      <c r="K104" s="289"/>
      <c r="L104" s="166"/>
      <c r="M104" s="23"/>
    </row>
    <row r="105" spans="1:13" x14ac:dyDescent="0.2">
      <c r="A105" s="295" t="s">
        <v>12</v>
      </c>
      <c r="B105" s="235"/>
      <c r="C105" s="288"/>
      <c r="D105" s="166"/>
      <c r="E105" s="365"/>
      <c r="F105" s="280"/>
      <c r="G105" s="280"/>
      <c r="H105" s="166"/>
      <c r="I105" s="365"/>
      <c r="J105" s="289"/>
      <c r="K105" s="289"/>
      <c r="L105" s="166"/>
      <c r="M105" s="23"/>
    </row>
    <row r="106" spans="1:13" x14ac:dyDescent="0.2">
      <c r="A106" s="295" t="s">
        <v>13</v>
      </c>
      <c r="B106" s="235"/>
      <c r="C106" s="288"/>
      <c r="D106" s="166"/>
      <c r="E106" s="365"/>
      <c r="F106" s="280"/>
      <c r="G106" s="280"/>
      <c r="H106" s="166"/>
      <c r="I106" s="365"/>
      <c r="J106" s="289"/>
      <c r="K106" s="289"/>
      <c r="L106" s="166"/>
      <c r="M106" s="23"/>
    </row>
    <row r="107" spans="1:13" ht="15.75" x14ac:dyDescent="0.2">
      <c r="A107" s="21" t="s">
        <v>469</v>
      </c>
      <c r="B107" s="234"/>
      <c r="C107" s="145"/>
      <c r="D107" s="166"/>
      <c r="E107" s="27"/>
      <c r="F107" s="234"/>
      <c r="G107" s="145"/>
      <c r="H107" s="166"/>
      <c r="I107" s="27"/>
      <c r="J107" s="286"/>
      <c r="K107" s="44"/>
      <c r="L107" s="254"/>
      <c r="M107" s="27"/>
    </row>
    <row r="108" spans="1:13" ht="15.75" x14ac:dyDescent="0.2">
      <c r="A108" s="21" t="s">
        <v>470</v>
      </c>
      <c r="B108" s="234"/>
      <c r="C108" s="234"/>
      <c r="D108" s="166"/>
      <c r="E108" s="27"/>
      <c r="F108" s="234"/>
      <c r="G108" s="234"/>
      <c r="H108" s="166"/>
      <c r="I108" s="27"/>
      <c r="J108" s="286"/>
      <c r="K108" s="44"/>
      <c r="L108" s="254"/>
      <c r="M108" s="27"/>
    </row>
    <row r="109" spans="1:13" ht="15.75" x14ac:dyDescent="0.2">
      <c r="A109" s="21" t="s">
        <v>471</v>
      </c>
      <c r="B109" s="234"/>
      <c r="C109" s="234"/>
      <c r="D109" s="166"/>
      <c r="E109" s="27"/>
      <c r="F109" s="234"/>
      <c r="G109" s="234"/>
      <c r="H109" s="166"/>
      <c r="I109" s="27"/>
      <c r="J109" s="286"/>
      <c r="K109" s="44"/>
      <c r="L109" s="254"/>
      <c r="M109" s="27"/>
    </row>
    <row r="110" spans="1:13" ht="15.75" x14ac:dyDescent="0.2">
      <c r="A110" s="21" t="s">
        <v>472</v>
      </c>
      <c r="B110" s="234"/>
      <c r="C110" s="234"/>
      <c r="D110" s="166"/>
      <c r="E110" s="27"/>
      <c r="F110" s="234"/>
      <c r="G110" s="234"/>
      <c r="H110" s="166"/>
      <c r="I110" s="27"/>
      <c r="J110" s="286"/>
      <c r="K110" s="44"/>
      <c r="L110" s="254"/>
      <c r="M110" s="27"/>
    </row>
    <row r="111" spans="1:13" ht="15.75" x14ac:dyDescent="0.2">
      <c r="A111" s="13" t="s">
        <v>452</v>
      </c>
      <c r="B111" s="307"/>
      <c r="C111" s="159"/>
      <c r="D111" s="171"/>
      <c r="E111" s="11"/>
      <c r="F111" s="307"/>
      <c r="G111" s="159"/>
      <c r="H111" s="171"/>
      <c r="I111" s="11"/>
      <c r="J111" s="308"/>
      <c r="K111" s="236"/>
      <c r="L111" s="373"/>
      <c r="M111" s="11"/>
    </row>
    <row r="112" spans="1:13" x14ac:dyDescent="0.2">
      <c r="A112" s="21" t="s">
        <v>9</v>
      </c>
      <c r="B112" s="234"/>
      <c r="C112" s="145"/>
      <c r="D112" s="166"/>
      <c r="E112" s="27"/>
      <c r="F112" s="234"/>
      <c r="G112" s="145"/>
      <c r="H112" s="166"/>
      <c r="I112" s="27"/>
      <c r="J112" s="286"/>
      <c r="K112" s="44"/>
      <c r="L112" s="254"/>
      <c r="M112" s="27"/>
    </row>
    <row r="113" spans="1:14" x14ac:dyDescent="0.2">
      <c r="A113" s="21" t="s">
        <v>10</v>
      </c>
      <c r="B113" s="234"/>
      <c r="C113" s="145"/>
      <c r="D113" s="166"/>
      <c r="E113" s="27"/>
      <c r="F113" s="234"/>
      <c r="G113" s="145"/>
      <c r="H113" s="166"/>
      <c r="I113" s="27"/>
      <c r="J113" s="286"/>
      <c r="K113" s="44"/>
      <c r="L113" s="254"/>
      <c r="M113" s="27"/>
    </row>
    <row r="114" spans="1:14" x14ac:dyDescent="0.2">
      <c r="A114" s="21" t="s">
        <v>26</v>
      </c>
      <c r="B114" s="234"/>
      <c r="C114" s="145"/>
      <c r="D114" s="166"/>
      <c r="E114" s="27"/>
      <c r="F114" s="234"/>
      <c r="G114" s="145"/>
      <c r="H114" s="166"/>
      <c r="I114" s="27"/>
      <c r="J114" s="286"/>
      <c r="K114" s="44"/>
      <c r="L114" s="254"/>
      <c r="M114" s="27"/>
    </row>
    <row r="115" spans="1:14" x14ac:dyDescent="0.2">
      <c r="A115" s="295" t="s">
        <v>15</v>
      </c>
      <c r="B115" s="280"/>
      <c r="C115" s="280"/>
      <c r="D115" s="166"/>
      <c r="E115" s="365"/>
      <c r="F115" s="280"/>
      <c r="G115" s="280"/>
      <c r="H115" s="166"/>
      <c r="I115" s="365"/>
      <c r="J115" s="289"/>
      <c r="K115" s="289"/>
      <c r="L115" s="166"/>
      <c r="M115" s="23"/>
    </row>
    <row r="116" spans="1:14" ht="15.75" x14ac:dyDescent="0.2">
      <c r="A116" s="21" t="s">
        <v>473</v>
      </c>
      <c r="B116" s="234"/>
      <c r="C116" s="234"/>
      <c r="D116" s="166"/>
      <c r="E116" s="27"/>
      <c r="F116" s="234"/>
      <c r="G116" s="234"/>
      <c r="H116" s="166"/>
      <c r="I116" s="27"/>
      <c r="J116" s="286"/>
      <c r="K116" s="44"/>
      <c r="L116" s="254"/>
      <c r="M116" s="27"/>
    </row>
    <row r="117" spans="1:14" ht="15.75" x14ac:dyDescent="0.2">
      <c r="A117" s="21" t="s">
        <v>474</v>
      </c>
      <c r="B117" s="234"/>
      <c r="C117" s="234"/>
      <c r="D117" s="166"/>
      <c r="E117" s="27"/>
      <c r="F117" s="234"/>
      <c r="G117" s="234"/>
      <c r="H117" s="166"/>
      <c r="I117" s="27"/>
      <c r="J117" s="286"/>
      <c r="K117" s="44"/>
      <c r="L117" s="254"/>
      <c r="M117" s="27"/>
    </row>
    <row r="118" spans="1:14" ht="15.75" x14ac:dyDescent="0.2">
      <c r="A118" s="21" t="s">
        <v>472</v>
      </c>
      <c r="B118" s="234"/>
      <c r="C118" s="234"/>
      <c r="D118" s="166"/>
      <c r="E118" s="27"/>
      <c r="F118" s="234"/>
      <c r="G118" s="234"/>
      <c r="H118" s="166"/>
      <c r="I118" s="27"/>
      <c r="J118" s="286"/>
      <c r="K118" s="44"/>
      <c r="L118" s="254"/>
      <c r="M118" s="27"/>
    </row>
    <row r="119" spans="1:14" ht="15.75" x14ac:dyDescent="0.2">
      <c r="A119" s="13" t="s">
        <v>453</v>
      </c>
      <c r="B119" s="307"/>
      <c r="C119" s="159"/>
      <c r="D119" s="171"/>
      <c r="E119" s="11"/>
      <c r="F119" s="307"/>
      <c r="G119" s="159"/>
      <c r="H119" s="171"/>
      <c r="I119" s="11"/>
      <c r="J119" s="308"/>
      <c r="K119" s="236"/>
      <c r="L119" s="373"/>
      <c r="M119" s="11"/>
    </row>
    <row r="120" spans="1:14" x14ac:dyDescent="0.2">
      <c r="A120" s="21" t="s">
        <v>9</v>
      </c>
      <c r="B120" s="234"/>
      <c r="C120" s="145"/>
      <c r="D120" s="166"/>
      <c r="E120" s="27"/>
      <c r="F120" s="234"/>
      <c r="G120" s="145"/>
      <c r="H120" s="166"/>
      <c r="I120" s="27"/>
      <c r="J120" s="286"/>
      <c r="K120" s="44"/>
      <c r="L120" s="254"/>
      <c r="M120" s="27"/>
    </row>
    <row r="121" spans="1:14" x14ac:dyDescent="0.2">
      <c r="A121" s="21" t="s">
        <v>10</v>
      </c>
      <c r="B121" s="234"/>
      <c r="C121" s="145"/>
      <c r="D121" s="166"/>
      <c r="E121" s="27"/>
      <c r="F121" s="234"/>
      <c r="G121" s="145"/>
      <c r="H121" s="166"/>
      <c r="I121" s="27"/>
      <c r="J121" s="286"/>
      <c r="K121" s="44"/>
      <c r="L121" s="254"/>
      <c r="M121" s="27"/>
    </row>
    <row r="122" spans="1:14" x14ac:dyDescent="0.2">
      <c r="A122" s="21" t="s">
        <v>26</v>
      </c>
      <c r="B122" s="234"/>
      <c r="C122" s="145"/>
      <c r="D122" s="166"/>
      <c r="E122" s="27"/>
      <c r="F122" s="234"/>
      <c r="G122" s="145"/>
      <c r="H122" s="166"/>
      <c r="I122" s="27"/>
      <c r="J122" s="286"/>
      <c r="K122" s="44"/>
      <c r="L122" s="254"/>
      <c r="M122" s="27"/>
    </row>
    <row r="123" spans="1:14" x14ac:dyDescent="0.2">
      <c r="A123" s="295" t="s">
        <v>14</v>
      </c>
      <c r="B123" s="280"/>
      <c r="C123" s="280"/>
      <c r="D123" s="166"/>
      <c r="E123" s="365"/>
      <c r="F123" s="280"/>
      <c r="G123" s="280"/>
      <c r="H123" s="166"/>
      <c r="I123" s="365"/>
      <c r="J123" s="289"/>
      <c r="K123" s="289"/>
      <c r="L123" s="166"/>
      <c r="M123" s="23"/>
    </row>
    <row r="124" spans="1:14" ht="15.75" x14ac:dyDescent="0.2">
      <c r="A124" s="21" t="s">
        <v>479</v>
      </c>
      <c r="B124" s="234"/>
      <c r="C124" s="234"/>
      <c r="D124" s="166"/>
      <c r="E124" s="27"/>
      <c r="F124" s="234"/>
      <c r="G124" s="234"/>
      <c r="H124" s="166"/>
      <c r="I124" s="27"/>
      <c r="J124" s="286"/>
      <c r="K124" s="44"/>
      <c r="L124" s="254"/>
      <c r="M124" s="27"/>
    </row>
    <row r="125" spans="1:14" ht="15.75" x14ac:dyDescent="0.2">
      <c r="A125" s="21" t="s">
        <v>471</v>
      </c>
      <c r="B125" s="234"/>
      <c r="C125" s="234"/>
      <c r="D125" s="166"/>
      <c r="E125" s="27"/>
      <c r="F125" s="234"/>
      <c r="G125" s="234"/>
      <c r="H125" s="166"/>
      <c r="I125" s="27"/>
      <c r="J125" s="286"/>
      <c r="K125" s="44"/>
      <c r="L125" s="254"/>
      <c r="M125" s="27"/>
    </row>
    <row r="126" spans="1:14" ht="15.75" x14ac:dyDescent="0.2">
      <c r="A126" s="10" t="s">
        <v>472</v>
      </c>
      <c r="B126" s="45"/>
      <c r="C126" s="45"/>
      <c r="D126" s="167"/>
      <c r="E126" s="366"/>
      <c r="F126" s="45"/>
      <c r="G126" s="45"/>
      <c r="H126" s="167"/>
      <c r="I126" s="22"/>
      <c r="J126" s="287"/>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975"/>
      <c r="C130" s="975"/>
      <c r="D130" s="975"/>
      <c r="E130" s="298"/>
      <c r="F130" s="975"/>
      <c r="G130" s="975"/>
      <c r="H130" s="975"/>
      <c r="I130" s="298"/>
      <c r="J130" s="975"/>
      <c r="K130" s="975"/>
      <c r="L130" s="975"/>
      <c r="M130" s="298"/>
    </row>
    <row r="131" spans="1:14" s="3" customFormat="1" x14ac:dyDescent="0.2">
      <c r="A131" s="144"/>
      <c r="B131" s="973" t="s">
        <v>0</v>
      </c>
      <c r="C131" s="974"/>
      <c r="D131" s="974"/>
      <c r="E131" s="300"/>
      <c r="F131" s="973" t="s">
        <v>1</v>
      </c>
      <c r="G131" s="974"/>
      <c r="H131" s="974"/>
      <c r="I131" s="303"/>
      <c r="J131" s="973" t="s">
        <v>2</v>
      </c>
      <c r="K131" s="974"/>
      <c r="L131" s="974"/>
      <c r="M131" s="303"/>
      <c r="N131" s="148"/>
    </row>
    <row r="132" spans="1:14" s="3" customFormat="1" x14ac:dyDescent="0.2">
      <c r="A132" s="140"/>
      <c r="B132" s="152" t="s">
        <v>492</v>
      </c>
      <c r="C132" s="152" t="s">
        <v>493</v>
      </c>
      <c r="D132" s="245" t="s">
        <v>3</v>
      </c>
      <c r="E132" s="304" t="s">
        <v>29</v>
      </c>
      <c r="F132" s="152" t="s">
        <v>492</v>
      </c>
      <c r="G132" s="152" t="s">
        <v>493</v>
      </c>
      <c r="H132" s="206" t="s">
        <v>3</v>
      </c>
      <c r="I132" s="162" t="s">
        <v>29</v>
      </c>
      <c r="J132" s="152" t="s">
        <v>492</v>
      </c>
      <c r="K132" s="152" t="s">
        <v>493</v>
      </c>
      <c r="L132" s="246" t="s">
        <v>3</v>
      </c>
      <c r="M132" s="162" t="s">
        <v>29</v>
      </c>
      <c r="N132" s="148"/>
    </row>
    <row r="133" spans="1:14" s="3" customFormat="1" x14ac:dyDescent="0.2">
      <c r="A133" s="947"/>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475</v>
      </c>
      <c r="B134" s="236"/>
      <c r="C134" s="308"/>
      <c r="D134" s="349"/>
      <c r="E134" s="11"/>
      <c r="F134" s="315"/>
      <c r="G134" s="316"/>
      <c r="H134" s="376"/>
      <c r="I134" s="24"/>
      <c r="J134" s="317"/>
      <c r="K134" s="317"/>
      <c r="L134" s="372"/>
      <c r="M134" s="11"/>
      <c r="N134" s="148"/>
    </row>
    <row r="135" spans="1:14" s="3" customFormat="1" ht="15.75" x14ac:dyDescent="0.2">
      <c r="A135" s="13" t="s">
        <v>480</v>
      </c>
      <c r="B135" s="236"/>
      <c r="C135" s="308"/>
      <c r="D135" s="171"/>
      <c r="E135" s="11"/>
      <c r="F135" s="236"/>
      <c r="G135" s="308"/>
      <c r="H135" s="377"/>
      <c r="I135" s="24"/>
      <c r="J135" s="307"/>
      <c r="K135" s="307"/>
      <c r="L135" s="373"/>
      <c r="M135" s="11"/>
      <c r="N135" s="148"/>
    </row>
    <row r="136" spans="1:14" s="3" customFormat="1" ht="15.75" x14ac:dyDescent="0.2">
      <c r="A136" s="13" t="s">
        <v>477</v>
      </c>
      <c r="B136" s="236"/>
      <c r="C136" s="308"/>
      <c r="D136" s="171"/>
      <c r="E136" s="11"/>
      <c r="F136" s="236"/>
      <c r="G136" s="308"/>
      <c r="H136" s="377"/>
      <c r="I136" s="24"/>
      <c r="J136" s="307"/>
      <c r="K136" s="307"/>
      <c r="L136" s="373"/>
      <c r="M136" s="11"/>
      <c r="N136" s="148"/>
    </row>
    <row r="137" spans="1:14" s="3" customFormat="1" ht="15.75" x14ac:dyDescent="0.2">
      <c r="A137" s="41" t="s">
        <v>478</v>
      </c>
      <c r="B137" s="275"/>
      <c r="C137" s="314"/>
      <c r="D137" s="169"/>
      <c r="E137" s="9"/>
      <c r="F137" s="275"/>
      <c r="G137" s="314"/>
      <c r="H137" s="378"/>
      <c r="I137" s="36"/>
      <c r="J137" s="313"/>
      <c r="K137" s="313"/>
      <c r="L137" s="374"/>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919" priority="132">
      <formula>kvartal &lt; 4</formula>
    </cfRule>
  </conditionalFormatting>
  <conditionalFormatting sqref="B69">
    <cfRule type="expression" dxfId="918" priority="100">
      <formula>kvartal &lt; 4</formula>
    </cfRule>
  </conditionalFormatting>
  <conditionalFormatting sqref="C69">
    <cfRule type="expression" dxfId="917" priority="99">
      <formula>kvartal &lt; 4</formula>
    </cfRule>
  </conditionalFormatting>
  <conditionalFormatting sqref="B72">
    <cfRule type="expression" dxfId="916" priority="98">
      <formula>kvartal &lt; 4</formula>
    </cfRule>
  </conditionalFormatting>
  <conditionalFormatting sqref="C72">
    <cfRule type="expression" dxfId="915" priority="97">
      <formula>kvartal &lt; 4</formula>
    </cfRule>
  </conditionalFormatting>
  <conditionalFormatting sqref="B80">
    <cfRule type="expression" dxfId="914" priority="96">
      <formula>kvartal &lt; 4</formula>
    </cfRule>
  </conditionalFormatting>
  <conditionalFormatting sqref="C80">
    <cfRule type="expression" dxfId="913" priority="95">
      <formula>kvartal &lt; 4</formula>
    </cfRule>
  </conditionalFormatting>
  <conditionalFormatting sqref="B83">
    <cfRule type="expression" dxfId="912" priority="94">
      <formula>kvartal &lt; 4</formula>
    </cfRule>
  </conditionalFormatting>
  <conditionalFormatting sqref="C83">
    <cfRule type="expression" dxfId="911" priority="93">
      <formula>kvartal &lt; 4</formula>
    </cfRule>
  </conditionalFormatting>
  <conditionalFormatting sqref="B90">
    <cfRule type="expression" dxfId="910" priority="84">
      <formula>kvartal &lt; 4</formula>
    </cfRule>
  </conditionalFormatting>
  <conditionalFormatting sqref="C90">
    <cfRule type="expression" dxfId="909" priority="83">
      <formula>kvartal &lt; 4</formula>
    </cfRule>
  </conditionalFormatting>
  <conditionalFormatting sqref="B93">
    <cfRule type="expression" dxfId="908" priority="82">
      <formula>kvartal &lt; 4</formula>
    </cfRule>
  </conditionalFormatting>
  <conditionalFormatting sqref="C93">
    <cfRule type="expression" dxfId="907" priority="81">
      <formula>kvartal &lt; 4</formula>
    </cfRule>
  </conditionalFormatting>
  <conditionalFormatting sqref="B101">
    <cfRule type="expression" dxfId="906" priority="80">
      <formula>kvartal &lt; 4</formula>
    </cfRule>
  </conditionalFormatting>
  <conditionalFormatting sqref="C101">
    <cfRule type="expression" dxfId="905" priority="79">
      <formula>kvartal &lt; 4</formula>
    </cfRule>
  </conditionalFormatting>
  <conditionalFormatting sqref="B104">
    <cfRule type="expression" dxfId="904" priority="78">
      <formula>kvartal &lt; 4</formula>
    </cfRule>
  </conditionalFormatting>
  <conditionalFormatting sqref="C104">
    <cfRule type="expression" dxfId="903" priority="77">
      <formula>kvartal &lt; 4</formula>
    </cfRule>
  </conditionalFormatting>
  <conditionalFormatting sqref="B115">
    <cfRule type="expression" dxfId="902" priority="76">
      <formula>kvartal &lt; 4</formula>
    </cfRule>
  </conditionalFormatting>
  <conditionalFormatting sqref="C115">
    <cfRule type="expression" dxfId="901" priority="75">
      <formula>kvartal &lt; 4</formula>
    </cfRule>
  </conditionalFormatting>
  <conditionalFormatting sqref="B123">
    <cfRule type="expression" dxfId="900" priority="74">
      <formula>kvartal &lt; 4</formula>
    </cfRule>
  </conditionalFormatting>
  <conditionalFormatting sqref="C123">
    <cfRule type="expression" dxfId="899" priority="73">
      <formula>kvartal &lt; 4</formula>
    </cfRule>
  </conditionalFormatting>
  <conditionalFormatting sqref="F70">
    <cfRule type="expression" dxfId="898" priority="72">
      <formula>kvartal &lt; 4</formula>
    </cfRule>
  </conditionalFormatting>
  <conditionalFormatting sqref="G70">
    <cfRule type="expression" dxfId="897" priority="71">
      <formula>kvartal &lt; 4</formula>
    </cfRule>
  </conditionalFormatting>
  <conditionalFormatting sqref="F71:G71">
    <cfRule type="expression" dxfId="896" priority="70">
      <formula>kvartal &lt; 4</formula>
    </cfRule>
  </conditionalFormatting>
  <conditionalFormatting sqref="F73:G74">
    <cfRule type="expression" dxfId="895" priority="69">
      <formula>kvartal &lt; 4</formula>
    </cfRule>
  </conditionalFormatting>
  <conditionalFormatting sqref="F81:G82">
    <cfRule type="expression" dxfId="894" priority="68">
      <formula>kvartal &lt; 4</formula>
    </cfRule>
  </conditionalFormatting>
  <conditionalFormatting sqref="F84:G85">
    <cfRule type="expression" dxfId="893" priority="67">
      <formula>kvartal &lt; 4</formula>
    </cfRule>
  </conditionalFormatting>
  <conditionalFormatting sqref="F91:G92">
    <cfRule type="expression" dxfId="892" priority="62">
      <formula>kvartal &lt; 4</formula>
    </cfRule>
  </conditionalFormatting>
  <conditionalFormatting sqref="F94:G95">
    <cfRule type="expression" dxfId="891" priority="61">
      <formula>kvartal &lt; 4</formula>
    </cfRule>
  </conditionalFormatting>
  <conditionalFormatting sqref="F102:G103">
    <cfRule type="expression" dxfId="890" priority="60">
      <formula>kvartal &lt; 4</formula>
    </cfRule>
  </conditionalFormatting>
  <conditionalFormatting sqref="F105:G106">
    <cfRule type="expression" dxfId="889" priority="59">
      <formula>kvartal &lt; 4</formula>
    </cfRule>
  </conditionalFormatting>
  <conditionalFormatting sqref="F115">
    <cfRule type="expression" dxfId="888" priority="58">
      <formula>kvartal &lt; 4</formula>
    </cfRule>
  </conditionalFormatting>
  <conditionalFormatting sqref="G115">
    <cfRule type="expression" dxfId="887" priority="57">
      <formula>kvartal &lt; 4</formula>
    </cfRule>
  </conditionalFormatting>
  <conditionalFormatting sqref="F123:G123">
    <cfRule type="expression" dxfId="886" priority="56">
      <formula>kvartal &lt; 4</formula>
    </cfRule>
  </conditionalFormatting>
  <conditionalFormatting sqref="F69:G69">
    <cfRule type="expression" dxfId="885" priority="55">
      <formula>kvartal &lt; 4</formula>
    </cfRule>
  </conditionalFormatting>
  <conditionalFormatting sqref="F72:G72">
    <cfRule type="expression" dxfId="884" priority="54">
      <formula>kvartal &lt; 4</formula>
    </cfRule>
  </conditionalFormatting>
  <conditionalFormatting sqref="F80:G80">
    <cfRule type="expression" dxfId="883" priority="53">
      <formula>kvartal &lt; 4</formula>
    </cfRule>
  </conditionalFormatting>
  <conditionalFormatting sqref="F83:G83">
    <cfRule type="expression" dxfId="882" priority="52">
      <formula>kvartal &lt; 4</formula>
    </cfRule>
  </conditionalFormatting>
  <conditionalFormatting sqref="F90:G90">
    <cfRule type="expression" dxfId="881" priority="46">
      <formula>kvartal &lt; 4</formula>
    </cfRule>
  </conditionalFormatting>
  <conditionalFormatting sqref="F93">
    <cfRule type="expression" dxfId="880" priority="45">
      <formula>kvartal &lt; 4</formula>
    </cfRule>
  </conditionalFormatting>
  <conditionalFormatting sqref="G93">
    <cfRule type="expression" dxfId="879" priority="44">
      <formula>kvartal &lt; 4</formula>
    </cfRule>
  </conditionalFormatting>
  <conditionalFormatting sqref="F101">
    <cfRule type="expression" dxfId="878" priority="43">
      <formula>kvartal &lt; 4</formula>
    </cfRule>
  </conditionalFormatting>
  <conditionalFormatting sqref="G101">
    <cfRule type="expression" dxfId="877" priority="42">
      <formula>kvartal &lt; 4</formula>
    </cfRule>
  </conditionalFormatting>
  <conditionalFormatting sqref="G104">
    <cfRule type="expression" dxfId="876" priority="41">
      <formula>kvartal &lt; 4</formula>
    </cfRule>
  </conditionalFormatting>
  <conditionalFormatting sqref="F104">
    <cfRule type="expression" dxfId="875" priority="40">
      <formula>kvartal &lt; 4</formula>
    </cfRule>
  </conditionalFormatting>
  <conditionalFormatting sqref="J69:K73">
    <cfRule type="expression" dxfId="874" priority="39">
      <formula>kvartal &lt; 4</formula>
    </cfRule>
  </conditionalFormatting>
  <conditionalFormatting sqref="J74:K74">
    <cfRule type="expression" dxfId="873" priority="38">
      <formula>kvartal &lt; 4</formula>
    </cfRule>
  </conditionalFormatting>
  <conditionalFormatting sqref="J80:K85">
    <cfRule type="expression" dxfId="872" priority="37">
      <formula>kvartal &lt; 4</formula>
    </cfRule>
  </conditionalFormatting>
  <conditionalFormatting sqref="J90:K95">
    <cfRule type="expression" dxfId="871" priority="34">
      <formula>kvartal &lt; 4</formula>
    </cfRule>
  </conditionalFormatting>
  <conditionalFormatting sqref="J101:K106">
    <cfRule type="expression" dxfId="870" priority="33">
      <formula>kvartal &lt; 4</formula>
    </cfRule>
  </conditionalFormatting>
  <conditionalFormatting sqref="J115:K115">
    <cfRule type="expression" dxfId="869" priority="32">
      <formula>kvartal &lt; 4</formula>
    </cfRule>
  </conditionalFormatting>
  <conditionalFormatting sqref="J123:K123">
    <cfRule type="expression" dxfId="868" priority="31">
      <formula>kvartal &lt; 4</formula>
    </cfRule>
  </conditionalFormatting>
  <conditionalFormatting sqref="A50:A52">
    <cfRule type="expression" dxfId="867" priority="12">
      <formula>kvartal &lt; 4</formula>
    </cfRule>
  </conditionalFormatting>
  <conditionalFormatting sqref="A69:A74">
    <cfRule type="expression" dxfId="866" priority="10">
      <formula>kvartal &lt; 4</formula>
    </cfRule>
  </conditionalFormatting>
  <conditionalFormatting sqref="A80:A85">
    <cfRule type="expression" dxfId="865" priority="9">
      <formula>kvartal &lt; 4</formula>
    </cfRule>
  </conditionalFormatting>
  <conditionalFormatting sqref="A90:A95">
    <cfRule type="expression" dxfId="864" priority="6">
      <formula>kvartal &lt; 4</formula>
    </cfRule>
  </conditionalFormatting>
  <conditionalFormatting sqref="A101:A106">
    <cfRule type="expression" dxfId="863" priority="5">
      <formula>kvartal &lt; 4</formula>
    </cfRule>
  </conditionalFormatting>
  <conditionalFormatting sqref="A115">
    <cfRule type="expression" dxfId="862" priority="4">
      <formula>kvartal &lt; 4</formula>
    </cfRule>
  </conditionalFormatting>
  <conditionalFormatting sqref="A123">
    <cfRule type="expression" dxfId="861" priority="3">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139</v>
      </c>
      <c r="B1" s="945"/>
      <c r="C1" s="248" t="s">
        <v>63</v>
      </c>
      <c r="D1" s="26"/>
      <c r="E1" s="26"/>
      <c r="F1" s="26"/>
      <c r="G1" s="26"/>
      <c r="H1" s="26"/>
      <c r="I1" s="26"/>
      <c r="J1" s="26"/>
      <c r="K1" s="26"/>
      <c r="L1" s="26"/>
      <c r="M1" s="26"/>
    </row>
    <row r="2" spans="1:14" ht="15.75" x14ac:dyDescent="0.25">
      <c r="A2" s="165" t="s">
        <v>28</v>
      </c>
      <c r="B2" s="972"/>
      <c r="C2" s="972"/>
      <c r="D2" s="972"/>
      <c r="E2" s="298"/>
      <c r="F2" s="972"/>
      <c r="G2" s="972"/>
      <c r="H2" s="972"/>
      <c r="I2" s="298"/>
      <c r="J2" s="972"/>
      <c r="K2" s="972"/>
      <c r="L2" s="972"/>
      <c r="M2" s="298"/>
    </row>
    <row r="3" spans="1:14" ht="15.75" x14ac:dyDescent="0.25">
      <c r="A3" s="163"/>
      <c r="B3" s="298"/>
      <c r="C3" s="298"/>
      <c r="D3" s="298"/>
      <c r="E3" s="298"/>
      <c r="F3" s="298"/>
      <c r="G3" s="298"/>
      <c r="H3" s="298"/>
      <c r="I3" s="298"/>
      <c r="J3" s="298"/>
      <c r="K3" s="298"/>
      <c r="L3" s="298"/>
      <c r="M3" s="298"/>
    </row>
    <row r="4" spans="1:14" x14ac:dyDescent="0.2">
      <c r="A4" s="144"/>
      <c r="B4" s="973" t="s">
        <v>0</v>
      </c>
      <c r="C4" s="974"/>
      <c r="D4" s="974"/>
      <c r="E4" s="300"/>
      <c r="F4" s="973" t="s">
        <v>1</v>
      </c>
      <c r="G4" s="974"/>
      <c r="H4" s="974"/>
      <c r="I4" s="303"/>
      <c r="J4" s="973" t="s">
        <v>2</v>
      </c>
      <c r="K4" s="974"/>
      <c r="L4" s="974"/>
      <c r="M4" s="303"/>
    </row>
    <row r="5" spans="1:14" x14ac:dyDescent="0.2">
      <c r="A5" s="158"/>
      <c r="B5" s="152" t="s">
        <v>492</v>
      </c>
      <c r="C5" s="152" t="s">
        <v>493</v>
      </c>
      <c r="D5" s="245" t="s">
        <v>3</v>
      </c>
      <c r="E5" s="304" t="s">
        <v>29</v>
      </c>
      <c r="F5" s="152" t="s">
        <v>492</v>
      </c>
      <c r="G5" s="152" t="s">
        <v>493</v>
      </c>
      <c r="H5" s="245" t="s">
        <v>3</v>
      </c>
      <c r="I5" s="162" t="s">
        <v>29</v>
      </c>
      <c r="J5" s="152" t="s">
        <v>492</v>
      </c>
      <c r="K5" s="152" t="s">
        <v>493</v>
      </c>
      <c r="L5" s="245" t="s">
        <v>3</v>
      </c>
      <c r="M5" s="162" t="s">
        <v>29</v>
      </c>
    </row>
    <row r="6" spans="1:14" x14ac:dyDescent="0.2">
      <c r="A6" s="946"/>
      <c r="B6" s="156"/>
      <c r="C6" s="156"/>
      <c r="D6" s="246" t="s">
        <v>4</v>
      </c>
      <c r="E6" s="156" t="s">
        <v>30</v>
      </c>
      <c r="F6" s="161"/>
      <c r="G6" s="161"/>
      <c r="H6" s="245" t="s">
        <v>4</v>
      </c>
      <c r="I6" s="156" t="s">
        <v>30</v>
      </c>
      <c r="J6" s="161"/>
      <c r="K6" s="161"/>
      <c r="L6" s="245" t="s">
        <v>4</v>
      </c>
      <c r="M6" s="156" t="s">
        <v>30</v>
      </c>
    </row>
    <row r="7" spans="1:14" ht="15.75" x14ac:dyDescent="0.2">
      <c r="A7" s="14" t="s">
        <v>23</v>
      </c>
      <c r="B7" s="305"/>
      <c r="C7" s="306"/>
      <c r="D7" s="349"/>
      <c r="E7" s="11"/>
      <c r="F7" s="305"/>
      <c r="G7" s="306"/>
      <c r="H7" s="349"/>
      <c r="I7" s="160"/>
      <c r="J7" s="307"/>
      <c r="K7" s="308"/>
      <c r="L7" s="372"/>
      <c r="M7" s="11"/>
    </row>
    <row r="8" spans="1:14" ht="15.75" x14ac:dyDescent="0.2">
      <c r="A8" s="21" t="s">
        <v>25</v>
      </c>
      <c r="B8" s="280"/>
      <c r="C8" s="281"/>
      <c r="D8" s="166"/>
      <c r="E8" s="27"/>
      <c r="F8" s="284"/>
      <c r="G8" s="285"/>
      <c r="H8" s="166"/>
      <c r="I8" s="175"/>
      <c r="J8" s="234"/>
      <c r="K8" s="286"/>
      <c r="L8" s="254"/>
      <c r="M8" s="27"/>
    </row>
    <row r="9" spans="1:14" ht="15.75" x14ac:dyDescent="0.2">
      <c r="A9" s="21" t="s">
        <v>24</v>
      </c>
      <c r="B9" s="280"/>
      <c r="C9" s="281"/>
      <c r="D9" s="166"/>
      <c r="E9" s="27"/>
      <c r="F9" s="284"/>
      <c r="G9" s="285"/>
      <c r="H9" s="166"/>
      <c r="I9" s="175"/>
      <c r="J9" s="234"/>
      <c r="K9" s="286"/>
      <c r="L9" s="254"/>
      <c r="M9" s="27"/>
    </row>
    <row r="10" spans="1:14" ht="15.75" x14ac:dyDescent="0.2">
      <c r="A10" s="13" t="s">
        <v>451</v>
      </c>
      <c r="B10" s="309"/>
      <c r="C10" s="310"/>
      <c r="D10" s="171"/>
      <c r="E10" s="11"/>
      <c r="F10" s="309"/>
      <c r="G10" s="310"/>
      <c r="H10" s="171"/>
      <c r="I10" s="160"/>
      <c r="J10" s="307"/>
      <c r="K10" s="308"/>
      <c r="L10" s="373"/>
      <c r="M10" s="11"/>
    </row>
    <row r="11" spans="1:14" s="43" customFormat="1" ht="15.75" x14ac:dyDescent="0.2">
      <c r="A11" s="13" t="s">
        <v>452</v>
      </c>
      <c r="B11" s="309"/>
      <c r="C11" s="310"/>
      <c r="D11" s="171"/>
      <c r="E11" s="11"/>
      <c r="F11" s="309"/>
      <c r="G11" s="310"/>
      <c r="H11" s="171"/>
      <c r="I11" s="160"/>
      <c r="J11" s="307"/>
      <c r="K11" s="308"/>
      <c r="L11" s="373"/>
      <c r="M11" s="11"/>
      <c r="N11" s="143"/>
    </row>
    <row r="12" spans="1:14" s="43" customFormat="1" ht="15.75" x14ac:dyDescent="0.2">
      <c r="A12" s="41" t="s">
        <v>453</v>
      </c>
      <c r="B12" s="311"/>
      <c r="C12" s="312"/>
      <c r="D12" s="169"/>
      <c r="E12" s="36"/>
      <c r="F12" s="311"/>
      <c r="G12" s="312"/>
      <c r="H12" s="169"/>
      <c r="I12" s="169"/>
      <c r="J12" s="313"/>
      <c r="K12" s="314"/>
      <c r="L12" s="374"/>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975"/>
      <c r="C18" s="975"/>
      <c r="D18" s="975"/>
      <c r="E18" s="298"/>
      <c r="F18" s="975"/>
      <c r="G18" s="975"/>
      <c r="H18" s="975"/>
      <c r="I18" s="298"/>
      <c r="J18" s="975"/>
      <c r="K18" s="975"/>
      <c r="L18" s="975"/>
      <c r="M18" s="298"/>
    </row>
    <row r="19" spans="1:14" x14ac:dyDescent="0.2">
      <c r="A19" s="144"/>
      <c r="B19" s="973" t="s">
        <v>0</v>
      </c>
      <c r="C19" s="974"/>
      <c r="D19" s="974"/>
      <c r="E19" s="300"/>
      <c r="F19" s="973" t="s">
        <v>1</v>
      </c>
      <c r="G19" s="974"/>
      <c r="H19" s="974"/>
      <c r="I19" s="303"/>
      <c r="J19" s="973" t="s">
        <v>2</v>
      </c>
      <c r="K19" s="974"/>
      <c r="L19" s="974"/>
      <c r="M19" s="303"/>
    </row>
    <row r="20" spans="1:14" x14ac:dyDescent="0.2">
      <c r="A20" s="140" t="s">
        <v>5</v>
      </c>
      <c r="B20" s="152" t="s">
        <v>492</v>
      </c>
      <c r="C20" s="152" t="s">
        <v>493</v>
      </c>
      <c r="D20" s="162" t="s">
        <v>3</v>
      </c>
      <c r="E20" s="304" t="s">
        <v>29</v>
      </c>
      <c r="F20" s="152" t="s">
        <v>492</v>
      </c>
      <c r="G20" s="152" t="s">
        <v>493</v>
      </c>
      <c r="H20" s="162" t="s">
        <v>3</v>
      </c>
      <c r="I20" s="162" t="s">
        <v>29</v>
      </c>
      <c r="J20" s="152" t="s">
        <v>492</v>
      </c>
      <c r="K20" s="152" t="s">
        <v>493</v>
      </c>
      <c r="L20" s="162" t="s">
        <v>3</v>
      </c>
      <c r="M20" s="162" t="s">
        <v>29</v>
      </c>
    </row>
    <row r="21" spans="1:14" x14ac:dyDescent="0.2">
      <c r="A21" s="947"/>
      <c r="B21" s="156"/>
      <c r="C21" s="156"/>
      <c r="D21" s="246" t="s">
        <v>4</v>
      </c>
      <c r="E21" s="156" t="s">
        <v>30</v>
      </c>
      <c r="F21" s="161"/>
      <c r="G21" s="161"/>
      <c r="H21" s="245"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372"/>
      <c r="M22" s="24"/>
    </row>
    <row r="23" spans="1:14" ht="15.75" x14ac:dyDescent="0.2">
      <c r="A23" s="753" t="s">
        <v>454</v>
      </c>
      <c r="B23" s="280"/>
      <c r="C23" s="280"/>
      <c r="D23" s="166"/>
      <c r="E23" s="11"/>
      <c r="F23" s="289"/>
      <c r="G23" s="289"/>
      <c r="H23" s="166"/>
      <c r="I23" s="365"/>
      <c r="J23" s="289"/>
      <c r="K23" s="289"/>
      <c r="L23" s="166"/>
      <c r="M23" s="23"/>
    </row>
    <row r="24" spans="1:14" ht="15.75" x14ac:dyDescent="0.2">
      <c r="A24" s="753" t="s">
        <v>455</v>
      </c>
      <c r="B24" s="280"/>
      <c r="C24" s="280"/>
      <c r="D24" s="166"/>
      <c r="E24" s="11"/>
      <c r="F24" s="289"/>
      <c r="G24" s="289"/>
      <c r="H24" s="166"/>
      <c r="I24" s="365"/>
      <c r="J24" s="289"/>
      <c r="K24" s="289"/>
      <c r="L24" s="166"/>
      <c r="M24" s="23"/>
    </row>
    <row r="25" spans="1:14" ht="15.75" x14ac:dyDescent="0.2">
      <c r="A25" s="753" t="s">
        <v>456</v>
      </c>
      <c r="B25" s="280"/>
      <c r="C25" s="280"/>
      <c r="D25" s="166"/>
      <c r="E25" s="11"/>
      <c r="F25" s="289"/>
      <c r="G25" s="289"/>
      <c r="H25" s="166"/>
      <c r="I25" s="365"/>
      <c r="J25" s="289"/>
      <c r="K25" s="289"/>
      <c r="L25" s="166"/>
      <c r="M25" s="23"/>
    </row>
    <row r="26" spans="1:14" ht="15.75" x14ac:dyDescent="0.2">
      <c r="A26" s="753" t="s">
        <v>457</v>
      </c>
      <c r="B26" s="280"/>
      <c r="C26" s="280"/>
      <c r="D26" s="166"/>
      <c r="E26" s="11"/>
      <c r="F26" s="289"/>
      <c r="G26" s="289"/>
      <c r="H26" s="166"/>
      <c r="I26" s="365"/>
      <c r="J26" s="289"/>
      <c r="K26" s="289"/>
      <c r="L26" s="166"/>
      <c r="M26" s="23"/>
    </row>
    <row r="27" spans="1:14" x14ac:dyDescent="0.2">
      <c r="A27" s="753" t="s">
        <v>11</v>
      </c>
      <c r="B27" s="280"/>
      <c r="C27" s="280"/>
      <c r="D27" s="166"/>
      <c r="E27" s="11"/>
      <c r="F27" s="289"/>
      <c r="G27" s="289"/>
      <c r="H27" s="166"/>
      <c r="I27" s="365"/>
      <c r="J27" s="289"/>
      <c r="K27" s="289"/>
      <c r="L27" s="166"/>
      <c r="M27" s="23"/>
    </row>
    <row r="28" spans="1:14" ht="15.75" x14ac:dyDescent="0.2">
      <c r="A28" s="49" t="s">
        <v>279</v>
      </c>
      <c r="B28" s="44"/>
      <c r="C28" s="286"/>
      <c r="D28" s="166"/>
      <c r="E28" s="11"/>
      <c r="F28" s="234"/>
      <c r="G28" s="286"/>
      <c r="H28" s="166"/>
      <c r="I28" s="27"/>
      <c r="J28" s="44"/>
      <c r="K28" s="44"/>
      <c r="L28" s="254"/>
      <c r="M28" s="23"/>
    </row>
    <row r="29" spans="1:14" s="3" customFormat="1" ht="15.75" x14ac:dyDescent="0.2">
      <c r="A29" s="13" t="s">
        <v>451</v>
      </c>
      <c r="B29" s="236"/>
      <c r="C29" s="236"/>
      <c r="D29" s="171"/>
      <c r="E29" s="11"/>
      <c r="F29" s="307"/>
      <c r="G29" s="307"/>
      <c r="H29" s="171"/>
      <c r="I29" s="11"/>
      <c r="J29" s="236"/>
      <c r="K29" s="236"/>
      <c r="L29" s="373"/>
      <c r="M29" s="24"/>
      <c r="N29" s="148"/>
    </row>
    <row r="30" spans="1:14" s="3" customFormat="1" ht="15.75" x14ac:dyDescent="0.2">
      <c r="A30" s="753" t="s">
        <v>454</v>
      </c>
      <c r="B30" s="280"/>
      <c r="C30" s="280"/>
      <c r="D30" s="166"/>
      <c r="E30" s="11"/>
      <c r="F30" s="289"/>
      <c r="G30" s="289"/>
      <c r="H30" s="166"/>
      <c r="I30" s="365"/>
      <c r="J30" s="289"/>
      <c r="K30" s="289"/>
      <c r="L30" s="166"/>
      <c r="M30" s="23"/>
      <c r="N30" s="148"/>
    </row>
    <row r="31" spans="1:14" s="3" customFormat="1" ht="15.75" x14ac:dyDescent="0.2">
      <c r="A31" s="753" t="s">
        <v>455</v>
      </c>
      <c r="B31" s="280"/>
      <c r="C31" s="280"/>
      <c r="D31" s="166"/>
      <c r="E31" s="11"/>
      <c r="F31" s="289"/>
      <c r="G31" s="289"/>
      <c r="H31" s="166"/>
      <c r="I31" s="365"/>
      <c r="J31" s="289"/>
      <c r="K31" s="289"/>
      <c r="L31" s="166"/>
      <c r="M31" s="23"/>
      <c r="N31" s="148"/>
    </row>
    <row r="32" spans="1:14" ht="15.75" x14ac:dyDescent="0.2">
      <c r="A32" s="753" t="s">
        <v>456</v>
      </c>
      <c r="B32" s="280"/>
      <c r="C32" s="280"/>
      <c r="D32" s="166"/>
      <c r="E32" s="11"/>
      <c r="F32" s="289"/>
      <c r="G32" s="289"/>
      <c r="H32" s="166"/>
      <c r="I32" s="365"/>
      <c r="J32" s="289"/>
      <c r="K32" s="289"/>
      <c r="L32" s="166"/>
      <c r="M32" s="23"/>
    </row>
    <row r="33" spans="1:14" ht="15.75" x14ac:dyDescent="0.2">
      <c r="A33" s="753" t="s">
        <v>457</v>
      </c>
      <c r="B33" s="280"/>
      <c r="C33" s="280"/>
      <c r="D33" s="166"/>
      <c r="E33" s="11"/>
      <c r="F33" s="289"/>
      <c r="G33" s="289"/>
      <c r="H33" s="166"/>
      <c r="I33" s="365"/>
      <c r="J33" s="289"/>
      <c r="K33" s="289"/>
      <c r="L33" s="166"/>
      <c r="M33" s="23"/>
    </row>
    <row r="34" spans="1:14" ht="15.75" x14ac:dyDescent="0.2">
      <c r="A34" s="13" t="s">
        <v>452</v>
      </c>
      <c r="B34" s="236"/>
      <c r="C34" s="308"/>
      <c r="D34" s="171"/>
      <c r="E34" s="11"/>
      <c r="F34" s="307"/>
      <c r="G34" s="308"/>
      <c r="H34" s="171"/>
      <c r="I34" s="11"/>
      <c r="J34" s="236"/>
      <c r="K34" s="236"/>
      <c r="L34" s="373"/>
      <c r="M34" s="24"/>
    </row>
    <row r="35" spans="1:14" ht="15.75" x14ac:dyDescent="0.2">
      <c r="A35" s="13" t="s">
        <v>453</v>
      </c>
      <c r="B35" s="236"/>
      <c r="C35" s="308"/>
      <c r="D35" s="171"/>
      <c r="E35" s="11"/>
      <c r="F35" s="307"/>
      <c r="G35" s="308"/>
      <c r="H35" s="171"/>
      <c r="I35" s="11"/>
      <c r="J35" s="236"/>
      <c r="K35" s="236"/>
      <c r="L35" s="373"/>
      <c r="M35" s="24"/>
    </row>
    <row r="36" spans="1:14" ht="15.75" x14ac:dyDescent="0.2">
      <c r="A36" s="12" t="s">
        <v>287</v>
      </c>
      <c r="B36" s="236"/>
      <c r="C36" s="308"/>
      <c r="D36" s="171"/>
      <c r="E36" s="11"/>
      <c r="F36" s="318"/>
      <c r="G36" s="319"/>
      <c r="H36" s="171"/>
      <c r="I36" s="379"/>
      <c r="J36" s="236"/>
      <c r="K36" s="236"/>
      <c r="L36" s="373"/>
      <c r="M36" s="24"/>
    </row>
    <row r="37" spans="1:14" ht="15.75" x14ac:dyDescent="0.2">
      <c r="A37" s="12" t="s">
        <v>459</v>
      </c>
      <c r="B37" s="236"/>
      <c r="C37" s="308"/>
      <c r="D37" s="171"/>
      <c r="E37" s="11"/>
      <c r="F37" s="318"/>
      <c r="G37" s="320"/>
      <c r="H37" s="171"/>
      <c r="I37" s="379"/>
      <c r="J37" s="236"/>
      <c r="K37" s="236"/>
      <c r="L37" s="373"/>
      <c r="M37" s="24"/>
    </row>
    <row r="38" spans="1:14" ht="15.75" x14ac:dyDescent="0.2">
      <c r="A38" s="12" t="s">
        <v>460</v>
      </c>
      <c r="B38" s="236"/>
      <c r="C38" s="308"/>
      <c r="D38" s="171"/>
      <c r="E38" s="24"/>
      <c r="F38" s="318"/>
      <c r="G38" s="319"/>
      <c r="H38" s="171"/>
      <c r="I38" s="379"/>
      <c r="J38" s="236"/>
      <c r="K38" s="236"/>
      <c r="L38" s="373"/>
      <c r="M38" s="24"/>
    </row>
    <row r="39" spans="1:14" ht="15.75" x14ac:dyDescent="0.2">
      <c r="A39" s="18" t="s">
        <v>461</v>
      </c>
      <c r="B39" s="275"/>
      <c r="C39" s="314"/>
      <c r="D39" s="169"/>
      <c r="E39" s="36"/>
      <c r="F39" s="321"/>
      <c r="G39" s="322"/>
      <c r="H39" s="169"/>
      <c r="I39" s="36"/>
      <c r="J39" s="236"/>
      <c r="K39" s="236"/>
      <c r="L39" s="374"/>
      <c r="M39" s="36"/>
    </row>
    <row r="40" spans="1:14" ht="15.75" x14ac:dyDescent="0.25">
      <c r="A40" s="47"/>
      <c r="B40" s="253"/>
      <c r="C40" s="253"/>
      <c r="D40" s="976"/>
      <c r="E40" s="976"/>
      <c r="F40" s="976"/>
      <c r="G40" s="976"/>
      <c r="H40" s="976"/>
      <c r="I40" s="976"/>
      <c r="J40" s="976"/>
      <c r="K40" s="976"/>
      <c r="L40" s="976"/>
      <c r="M40" s="301"/>
    </row>
    <row r="41" spans="1:14" x14ac:dyDescent="0.2">
      <c r="A41" s="155"/>
    </row>
    <row r="42" spans="1:14" ht="15.75" x14ac:dyDescent="0.25">
      <c r="A42" s="147" t="s">
        <v>276</v>
      </c>
      <c r="B42" s="972"/>
      <c r="C42" s="972"/>
      <c r="D42" s="972"/>
      <c r="E42" s="298"/>
      <c r="F42" s="977"/>
      <c r="G42" s="977"/>
      <c r="H42" s="977"/>
      <c r="I42" s="301"/>
      <c r="J42" s="977"/>
      <c r="K42" s="977"/>
      <c r="L42" s="977"/>
      <c r="M42" s="301"/>
    </row>
    <row r="43" spans="1:14" ht="15.75" x14ac:dyDescent="0.25">
      <c r="A43" s="163"/>
      <c r="B43" s="302"/>
      <c r="C43" s="302"/>
      <c r="D43" s="302"/>
      <c r="E43" s="302"/>
      <c r="F43" s="301"/>
      <c r="G43" s="301"/>
      <c r="H43" s="301"/>
      <c r="I43" s="301"/>
      <c r="J43" s="301"/>
      <c r="K43" s="301"/>
      <c r="L43" s="301"/>
      <c r="M43" s="301"/>
    </row>
    <row r="44" spans="1:14" ht="15.75" x14ac:dyDescent="0.25">
      <c r="A44" s="247"/>
      <c r="B44" s="973" t="s">
        <v>0</v>
      </c>
      <c r="C44" s="974"/>
      <c r="D44" s="974"/>
      <c r="E44" s="243"/>
      <c r="F44" s="301"/>
      <c r="G44" s="301"/>
      <c r="H44" s="301"/>
      <c r="I44" s="301"/>
      <c r="J44" s="301"/>
      <c r="K44" s="301"/>
      <c r="L44" s="301"/>
      <c r="M44" s="301"/>
    </row>
    <row r="45" spans="1:14" s="3" customFormat="1" x14ac:dyDescent="0.2">
      <c r="A45" s="140"/>
      <c r="B45" s="152" t="s">
        <v>492</v>
      </c>
      <c r="C45" s="152" t="s">
        <v>493</v>
      </c>
      <c r="D45" s="162" t="s">
        <v>3</v>
      </c>
      <c r="E45" s="162" t="s">
        <v>29</v>
      </c>
      <c r="F45" s="174"/>
      <c r="G45" s="174"/>
      <c r="H45" s="173"/>
      <c r="I45" s="173"/>
      <c r="J45" s="174"/>
      <c r="K45" s="174"/>
      <c r="L45" s="173"/>
      <c r="M45" s="173"/>
      <c r="N45" s="148"/>
    </row>
    <row r="46" spans="1:14" s="3" customFormat="1" x14ac:dyDescent="0.2">
      <c r="A46" s="947"/>
      <c r="B46" s="244"/>
      <c r="C46" s="244"/>
      <c r="D46" s="245" t="s">
        <v>4</v>
      </c>
      <c r="E46" s="156" t="s">
        <v>30</v>
      </c>
      <c r="F46" s="173"/>
      <c r="G46" s="173"/>
      <c r="H46" s="173"/>
      <c r="I46" s="173"/>
      <c r="J46" s="173"/>
      <c r="K46" s="173"/>
      <c r="L46" s="173"/>
      <c r="M46" s="173"/>
      <c r="N46" s="148"/>
    </row>
    <row r="47" spans="1:14" s="3" customFormat="1" ht="15.75" x14ac:dyDescent="0.2">
      <c r="A47" s="14" t="s">
        <v>23</v>
      </c>
      <c r="B47" s="309">
        <v>3152.8185600000002</v>
      </c>
      <c r="C47" s="310">
        <v>2804.9383899999998</v>
      </c>
      <c r="D47" s="372">
        <f t="shared" ref="D47:D48" si="0">IF(B47=0, "    ---- ", IF(ABS(ROUND(100/B47*C47-100,1))&lt;999,ROUND(100/B47*C47-100,1),IF(ROUND(100/B47*C47-100,1)&gt;999,999,-999)))</f>
        <v>-11</v>
      </c>
      <c r="E47" s="11">
        <f>IFERROR(100/'Skjema total MA'!C47*C47,0)</f>
        <v>6.4808465061105394E-2</v>
      </c>
      <c r="F47" s="145"/>
      <c r="G47" s="33"/>
      <c r="H47" s="159"/>
      <c r="I47" s="159"/>
      <c r="J47" s="37"/>
      <c r="K47" s="37"/>
      <c r="L47" s="159"/>
      <c r="M47" s="159"/>
      <c r="N47" s="148"/>
    </row>
    <row r="48" spans="1:14" s="3" customFormat="1" ht="15.75" x14ac:dyDescent="0.2">
      <c r="A48" s="38" t="s">
        <v>462</v>
      </c>
      <c r="B48" s="280">
        <v>944.41548</v>
      </c>
      <c r="C48" s="281">
        <v>908.76266999999996</v>
      </c>
      <c r="D48" s="254">
        <f t="shared" si="0"/>
        <v>-3.8</v>
      </c>
      <c r="E48" s="27">
        <f>IFERROR(100/'Skjema total MA'!C48*C48,0)</f>
        <v>3.7874035637023198E-2</v>
      </c>
      <c r="F48" s="145"/>
      <c r="G48" s="33"/>
      <c r="H48" s="145"/>
      <c r="I48" s="145"/>
      <c r="J48" s="33"/>
      <c r="K48" s="33"/>
      <c r="L48" s="159"/>
      <c r="M48" s="159"/>
      <c r="N48" s="148"/>
    </row>
    <row r="49" spans="1:14" s="3" customFormat="1" ht="15.75" x14ac:dyDescent="0.2">
      <c r="A49" s="38" t="s">
        <v>463</v>
      </c>
      <c r="B49" s="44">
        <v>2208.40308</v>
      </c>
      <c r="C49" s="286">
        <v>1896.17572</v>
      </c>
      <c r="D49" s="254">
        <f>IF(B49=0, "    ---- ", IF(ABS(ROUND(100/B49*C49-100,1))&lt;999,ROUND(100/B49*C49-100,1),IF(ROUND(100/B49*C49-100,1)&gt;999,999,-999)))</f>
        <v>-14.1</v>
      </c>
      <c r="E49" s="27">
        <f>IFERROR(100/'Skjema total MA'!C49*C49,0)</f>
        <v>9.8318319442108074E-2</v>
      </c>
      <c r="F49" s="145"/>
      <c r="G49" s="33"/>
      <c r="H49" s="145"/>
      <c r="I49" s="145"/>
      <c r="J49" s="37"/>
      <c r="K49" s="37"/>
      <c r="L49" s="159"/>
      <c r="M49" s="159"/>
      <c r="N49" s="148"/>
    </row>
    <row r="50" spans="1:14" s="3" customFormat="1" x14ac:dyDescent="0.2">
      <c r="A50" s="295" t="s">
        <v>6</v>
      </c>
      <c r="B50" s="289">
        <v>2208.40308</v>
      </c>
      <c r="C50" s="290">
        <v>1896.17572</v>
      </c>
      <c r="D50" s="254">
        <f>IF(B50=0, "    ---- ", IF(ABS(ROUND(100/B50*C50-100,1))&lt;999,ROUND(100/B50*C50-100,1),IF(ROUND(100/B50*C50-100,1)&gt;999,999,-999)))</f>
        <v>-14.1</v>
      </c>
      <c r="E50" s="27">
        <f>IFERROR(100/'Skjema total MA'!C50*C50,0)</f>
        <v>100</v>
      </c>
      <c r="F50" s="145"/>
      <c r="G50" s="33"/>
      <c r="H50" s="145"/>
      <c r="I50" s="145"/>
      <c r="J50" s="33"/>
      <c r="K50" s="33"/>
      <c r="L50" s="159"/>
      <c r="M50" s="159"/>
      <c r="N50" s="148"/>
    </row>
    <row r="51" spans="1:14" s="3" customFormat="1" x14ac:dyDescent="0.2">
      <c r="A51" s="295" t="s">
        <v>7</v>
      </c>
      <c r="B51" s="289"/>
      <c r="C51" s="290"/>
      <c r="D51" s="254"/>
      <c r="E51" s="23"/>
      <c r="F51" s="145"/>
      <c r="G51" s="33"/>
      <c r="H51" s="145"/>
      <c r="I51" s="145"/>
      <c r="J51" s="33"/>
      <c r="K51" s="33"/>
      <c r="L51" s="159"/>
      <c r="M51" s="159"/>
      <c r="N51" s="148"/>
    </row>
    <row r="52" spans="1:14" s="3" customFormat="1" x14ac:dyDescent="0.2">
      <c r="A52" s="295" t="s">
        <v>8</v>
      </c>
      <c r="B52" s="289"/>
      <c r="C52" s="290"/>
      <c r="D52" s="254"/>
      <c r="E52" s="23"/>
      <c r="F52" s="145"/>
      <c r="G52" s="33"/>
      <c r="H52" s="145"/>
      <c r="I52" s="145"/>
      <c r="J52" s="33"/>
      <c r="K52" s="33"/>
      <c r="L52" s="159"/>
      <c r="M52" s="159"/>
      <c r="N52" s="148"/>
    </row>
    <row r="53" spans="1:14" s="3" customFormat="1" ht="15.75" x14ac:dyDescent="0.2">
      <c r="A53" s="39" t="s">
        <v>464</v>
      </c>
      <c r="B53" s="309"/>
      <c r="C53" s="310"/>
      <c r="D53" s="373"/>
      <c r="E53" s="11"/>
      <c r="F53" s="145"/>
      <c r="G53" s="33"/>
      <c r="H53" s="145"/>
      <c r="I53" s="145"/>
      <c r="J53" s="33"/>
      <c r="K53" s="33"/>
      <c r="L53" s="159"/>
      <c r="M53" s="159"/>
      <c r="N53" s="148"/>
    </row>
    <row r="54" spans="1:14" s="3" customFormat="1" ht="15.75" x14ac:dyDescent="0.2">
      <c r="A54" s="38" t="s">
        <v>462</v>
      </c>
      <c r="B54" s="280"/>
      <c r="C54" s="281"/>
      <c r="D54" s="254"/>
      <c r="E54" s="27"/>
      <c r="F54" s="145"/>
      <c r="G54" s="33"/>
      <c r="H54" s="145"/>
      <c r="I54" s="145"/>
      <c r="J54" s="33"/>
      <c r="K54" s="33"/>
      <c r="L54" s="159"/>
      <c r="M54" s="159"/>
      <c r="N54" s="148"/>
    </row>
    <row r="55" spans="1:14" s="3" customFormat="1" ht="15.75" x14ac:dyDescent="0.2">
      <c r="A55" s="38" t="s">
        <v>463</v>
      </c>
      <c r="B55" s="280"/>
      <c r="C55" s="281"/>
      <c r="D55" s="254"/>
      <c r="E55" s="27"/>
      <c r="F55" s="145"/>
      <c r="G55" s="33"/>
      <c r="H55" s="145"/>
      <c r="I55" s="145"/>
      <c r="J55" s="33"/>
      <c r="K55" s="33"/>
      <c r="L55" s="159"/>
      <c r="M55" s="159"/>
      <c r="N55" s="148"/>
    </row>
    <row r="56" spans="1:14" s="3" customFormat="1" ht="15.75" x14ac:dyDescent="0.2">
      <c r="A56" s="39" t="s">
        <v>465</v>
      </c>
      <c r="B56" s="309"/>
      <c r="C56" s="310"/>
      <c r="D56" s="373"/>
      <c r="E56" s="11"/>
      <c r="F56" s="145"/>
      <c r="G56" s="33"/>
      <c r="H56" s="145"/>
      <c r="I56" s="145"/>
      <c r="J56" s="33"/>
      <c r="K56" s="33"/>
      <c r="L56" s="159"/>
      <c r="M56" s="159"/>
      <c r="N56" s="148"/>
    </row>
    <row r="57" spans="1:14" s="3" customFormat="1" ht="15.75" x14ac:dyDescent="0.2">
      <c r="A57" s="38" t="s">
        <v>462</v>
      </c>
      <c r="B57" s="280"/>
      <c r="C57" s="281"/>
      <c r="D57" s="254"/>
      <c r="E57" s="27"/>
      <c r="F57" s="145"/>
      <c r="G57" s="33"/>
      <c r="H57" s="145"/>
      <c r="I57" s="145"/>
      <c r="J57" s="33"/>
      <c r="K57" s="33"/>
      <c r="L57" s="159"/>
      <c r="M57" s="159"/>
      <c r="N57" s="148"/>
    </row>
    <row r="58" spans="1:14" s="3" customFormat="1" ht="15.75" x14ac:dyDescent="0.2">
      <c r="A58" s="46" t="s">
        <v>463</v>
      </c>
      <c r="B58" s="282"/>
      <c r="C58" s="283"/>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975"/>
      <c r="C62" s="975"/>
      <c r="D62" s="975"/>
      <c r="E62" s="298"/>
      <c r="F62" s="975"/>
      <c r="G62" s="975"/>
      <c r="H62" s="975"/>
      <c r="I62" s="298"/>
      <c r="J62" s="975"/>
      <c r="K62" s="975"/>
      <c r="L62" s="975"/>
      <c r="M62" s="298"/>
    </row>
    <row r="63" spans="1:14" x14ac:dyDescent="0.2">
      <c r="A63" s="144"/>
      <c r="B63" s="973" t="s">
        <v>0</v>
      </c>
      <c r="C63" s="974"/>
      <c r="D63" s="978"/>
      <c r="E63" s="299"/>
      <c r="F63" s="974" t="s">
        <v>1</v>
      </c>
      <c r="G63" s="974"/>
      <c r="H63" s="974"/>
      <c r="I63" s="303"/>
      <c r="J63" s="973" t="s">
        <v>2</v>
      </c>
      <c r="K63" s="974"/>
      <c r="L63" s="974"/>
      <c r="M63" s="303"/>
    </row>
    <row r="64" spans="1:14" x14ac:dyDescent="0.2">
      <c r="A64" s="140"/>
      <c r="B64" s="152" t="s">
        <v>492</v>
      </c>
      <c r="C64" s="152" t="s">
        <v>493</v>
      </c>
      <c r="D64" s="245" t="s">
        <v>3</v>
      </c>
      <c r="E64" s="304" t="s">
        <v>29</v>
      </c>
      <c r="F64" s="152" t="s">
        <v>492</v>
      </c>
      <c r="G64" s="152" t="s">
        <v>493</v>
      </c>
      <c r="H64" s="245" t="s">
        <v>3</v>
      </c>
      <c r="I64" s="304" t="s">
        <v>29</v>
      </c>
      <c r="J64" s="152" t="s">
        <v>492</v>
      </c>
      <c r="K64" s="152" t="s">
        <v>493</v>
      </c>
      <c r="L64" s="245" t="s">
        <v>3</v>
      </c>
      <c r="M64" s="162" t="s">
        <v>29</v>
      </c>
    </row>
    <row r="65" spans="1:14" x14ac:dyDescent="0.2">
      <c r="A65" s="947"/>
      <c r="B65" s="156"/>
      <c r="C65" s="156"/>
      <c r="D65" s="246" t="s">
        <v>4</v>
      </c>
      <c r="E65" s="156" t="s">
        <v>30</v>
      </c>
      <c r="F65" s="161"/>
      <c r="G65" s="161"/>
      <c r="H65" s="245" t="s">
        <v>4</v>
      </c>
      <c r="I65" s="156" t="s">
        <v>30</v>
      </c>
      <c r="J65" s="161"/>
      <c r="K65" s="206"/>
      <c r="L65" s="156" t="s">
        <v>4</v>
      </c>
      <c r="M65" s="156" t="s">
        <v>30</v>
      </c>
    </row>
    <row r="66" spans="1:14" ht="15.75" x14ac:dyDescent="0.2">
      <c r="A66" s="14" t="s">
        <v>23</v>
      </c>
      <c r="B66" s="352"/>
      <c r="C66" s="352"/>
      <c r="D66" s="349"/>
      <c r="E66" s="11"/>
      <c r="F66" s="351"/>
      <c r="G66" s="351"/>
      <c r="H66" s="349"/>
      <c r="I66" s="11"/>
      <c r="J66" s="308"/>
      <c r="K66" s="315"/>
      <c r="L66" s="373"/>
      <c r="M66" s="11"/>
    </row>
    <row r="67" spans="1:14" x14ac:dyDescent="0.2">
      <c r="A67" s="367" t="s">
        <v>9</v>
      </c>
      <c r="B67" s="44"/>
      <c r="C67" s="145"/>
      <c r="D67" s="166"/>
      <c r="E67" s="27"/>
      <c r="F67" s="234"/>
      <c r="G67" s="145"/>
      <c r="H67" s="166"/>
      <c r="I67" s="27"/>
      <c r="J67" s="286"/>
      <c r="K67" s="44"/>
      <c r="L67" s="254"/>
      <c r="M67" s="27"/>
    </row>
    <row r="68" spans="1:14" x14ac:dyDescent="0.2">
      <c r="A68" s="21" t="s">
        <v>10</v>
      </c>
      <c r="B68" s="291"/>
      <c r="C68" s="292"/>
      <c r="D68" s="166"/>
      <c r="E68" s="27"/>
      <c r="F68" s="291"/>
      <c r="G68" s="292"/>
      <c r="H68" s="166"/>
      <c r="I68" s="27"/>
      <c r="J68" s="286"/>
      <c r="K68" s="44"/>
      <c r="L68" s="254"/>
      <c r="M68" s="27"/>
    </row>
    <row r="69" spans="1:14" ht="15.75" x14ac:dyDescent="0.2">
      <c r="A69" s="295" t="s">
        <v>466</v>
      </c>
      <c r="B69" s="280"/>
      <c r="C69" s="280"/>
      <c r="D69" s="166"/>
      <c r="E69" s="365"/>
      <c r="F69" s="280"/>
      <c r="G69" s="280"/>
      <c r="H69" s="166"/>
      <c r="I69" s="365"/>
      <c r="J69" s="289"/>
      <c r="K69" s="289"/>
      <c r="L69" s="166"/>
      <c r="M69" s="23"/>
    </row>
    <row r="70" spans="1:14" x14ac:dyDescent="0.2">
      <c r="A70" s="295" t="s">
        <v>12</v>
      </c>
      <c r="B70" s="293"/>
      <c r="C70" s="294"/>
      <c r="D70" s="166"/>
      <c r="E70" s="365"/>
      <c r="F70" s="280"/>
      <c r="G70" s="280"/>
      <c r="H70" s="166"/>
      <c r="I70" s="365"/>
      <c r="J70" s="289"/>
      <c r="K70" s="289"/>
      <c r="L70" s="166"/>
      <c r="M70" s="23"/>
    </row>
    <row r="71" spans="1:14" x14ac:dyDescent="0.2">
      <c r="A71" s="295" t="s">
        <v>13</v>
      </c>
      <c r="B71" s="235"/>
      <c r="C71" s="288"/>
      <c r="D71" s="166"/>
      <c r="E71" s="365"/>
      <c r="F71" s="280"/>
      <c r="G71" s="280"/>
      <c r="H71" s="166"/>
      <c r="I71" s="365"/>
      <c r="J71" s="289"/>
      <c r="K71" s="289"/>
      <c r="L71" s="166"/>
      <c r="M71" s="23"/>
    </row>
    <row r="72" spans="1:14" ht="15.75" x14ac:dyDescent="0.2">
      <c r="A72" s="295" t="s">
        <v>467</v>
      </c>
      <c r="B72" s="280"/>
      <c r="C72" s="280"/>
      <c r="D72" s="166"/>
      <c r="E72" s="365"/>
      <c r="F72" s="280"/>
      <c r="G72" s="280"/>
      <c r="H72" s="166"/>
      <c r="I72" s="365"/>
      <c r="J72" s="289"/>
      <c r="K72" s="289"/>
      <c r="L72" s="166"/>
      <c r="M72" s="23"/>
    </row>
    <row r="73" spans="1:14" x14ac:dyDescent="0.2">
      <c r="A73" s="295" t="s">
        <v>12</v>
      </c>
      <c r="B73" s="235"/>
      <c r="C73" s="288"/>
      <c r="D73" s="166"/>
      <c r="E73" s="365"/>
      <c r="F73" s="280"/>
      <c r="G73" s="280"/>
      <c r="H73" s="166"/>
      <c r="I73" s="365"/>
      <c r="J73" s="289"/>
      <c r="K73" s="289"/>
      <c r="L73" s="166"/>
      <c r="M73" s="23"/>
    </row>
    <row r="74" spans="1:14" s="3" customFormat="1" x14ac:dyDescent="0.2">
      <c r="A74" s="295" t="s">
        <v>13</v>
      </c>
      <c r="B74" s="235"/>
      <c r="C74" s="288"/>
      <c r="D74" s="166"/>
      <c r="E74" s="365"/>
      <c r="F74" s="280"/>
      <c r="G74" s="280"/>
      <c r="H74" s="166"/>
      <c r="I74" s="365"/>
      <c r="J74" s="289"/>
      <c r="K74" s="289"/>
      <c r="L74" s="166"/>
      <c r="M74" s="23"/>
      <c r="N74" s="148"/>
    </row>
    <row r="75" spans="1:14" s="3" customFormat="1" x14ac:dyDescent="0.2">
      <c r="A75" s="21" t="s">
        <v>353</v>
      </c>
      <c r="B75" s="234"/>
      <c r="C75" s="145"/>
      <c r="D75" s="166"/>
      <c r="E75" s="27"/>
      <c r="F75" s="234"/>
      <c r="G75" s="145"/>
      <c r="H75" s="166"/>
      <c r="I75" s="27"/>
      <c r="J75" s="286"/>
      <c r="K75" s="44"/>
      <c r="L75" s="254"/>
      <c r="M75" s="27"/>
      <c r="N75" s="148"/>
    </row>
    <row r="76" spans="1:14" s="3" customFormat="1" x14ac:dyDescent="0.2">
      <c r="A76" s="21" t="s">
        <v>352</v>
      </c>
      <c r="B76" s="234"/>
      <c r="C76" s="145"/>
      <c r="D76" s="166"/>
      <c r="E76" s="27"/>
      <c r="F76" s="234"/>
      <c r="G76" s="145"/>
      <c r="H76" s="166"/>
      <c r="I76" s="27"/>
      <c r="J76" s="286"/>
      <c r="K76" s="44"/>
      <c r="L76" s="254"/>
      <c r="M76" s="27"/>
      <c r="N76" s="148"/>
    </row>
    <row r="77" spans="1:14" ht="15.75" x14ac:dyDescent="0.2">
      <c r="A77" s="21" t="s">
        <v>468</v>
      </c>
      <c r="B77" s="234"/>
      <c r="C77" s="234"/>
      <c r="D77" s="166"/>
      <c r="E77" s="27"/>
      <c r="F77" s="234"/>
      <c r="G77" s="145"/>
      <c r="H77" s="166"/>
      <c r="I77" s="27"/>
      <c r="J77" s="286"/>
      <c r="K77" s="44"/>
      <c r="L77" s="254"/>
      <c r="M77" s="27"/>
    </row>
    <row r="78" spans="1:14" x14ac:dyDescent="0.2">
      <c r="A78" s="21" t="s">
        <v>9</v>
      </c>
      <c r="B78" s="234"/>
      <c r="C78" s="145"/>
      <c r="D78" s="166"/>
      <c r="E78" s="27"/>
      <c r="F78" s="234"/>
      <c r="G78" s="145"/>
      <c r="H78" s="166"/>
      <c r="I78" s="27"/>
      <c r="J78" s="286"/>
      <c r="K78" s="44"/>
      <c r="L78" s="254"/>
      <c r="M78" s="27"/>
    </row>
    <row r="79" spans="1:14" x14ac:dyDescent="0.2">
      <c r="A79" s="21" t="s">
        <v>10</v>
      </c>
      <c r="B79" s="291"/>
      <c r="C79" s="292"/>
      <c r="D79" s="166"/>
      <c r="E79" s="27"/>
      <c r="F79" s="291"/>
      <c r="G79" s="292"/>
      <c r="H79" s="166"/>
      <c r="I79" s="27"/>
      <c r="J79" s="286"/>
      <c r="K79" s="44"/>
      <c r="L79" s="254"/>
      <c r="M79" s="27"/>
    </row>
    <row r="80" spans="1:14" ht="15.75" x14ac:dyDescent="0.2">
      <c r="A80" s="295" t="s">
        <v>466</v>
      </c>
      <c r="B80" s="280"/>
      <c r="C80" s="280"/>
      <c r="D80" s="166"/>
      <c r="E80" s="365"/>
      <c r="F80" s="280"/>
      <c r="G80" s="280"/>
      <c r="H80" s="166"/>
      <c r="I80" s="365"/>
      <c r="J80" s="289"/>
      <c r="K80" s="289"/>
      <c r="L80" s="166"/>
      <c r="M80" s="23"/>
    </row>
    <row r="81" spans="1:13" x14ac:dyDescent="0.2">
      <c r="A81" s="295" t="s">
        <v>12</v>
      </c>
      <c r="B81" s="235"/>
      <c r="C81" s="288"/>
      <c r="D81" s="166"/>
      <c r="E81" s="365"/>
      <c r="F81" s="280"/>
      <c r="G81" s="280"/>
      <c r="H81" s="166"/>
      <c r="I81" s="365"/>
      <c r="J81" s="289"/>
      <c r="K81" s="289"/>
      <c r="L81" s="166"/>
      <c r="M81" s="23"/>
    </row>
    <row r="82" spans="1:13" x14ac:dyDescent="0.2">
      <c r="A82" s="295" t="s">
        <v>13</v>
      </c>
      <c r="B82" s="235"/>
      <c r="C82" s="288"/>
      <c r="D82" s="166"/>
      <c r="E82" s="365"/>
      <c r="F82" s="280"/>
      <c r="G82" s="280"/>
      <c r="H82" s="166"/>
      <c r="I82" s="365"/>
      <c r="J82" s="289"/>
      <c r="K82" s="289"/>
      <c r="L82" s="166"/>
      <c r="M82" s="23"/>
    </row>
    <row r="83" spans="1:13" ht="15.75" x14ac:dyDescent="0.2">
      <c r="A83" s="295" t="s">
        <v>467</v>
      </c>
      <c r="B83" s="280"/>
      <c r="C83" s="280"/>
      <c r="D83" s="166"/>
      <c r="E83" s="365"/>
      <c r="F83" s="280"/>
      <c r="G83" s="280"/>
      <c r="H83" s="166"/>
      <c r="I83" s="365"/>
      <c r="J83" s="289"/>
      <c r="K83" s="289"/>
      <c r="L83" s="166"/>
      <c r="M83" s="23"/>
    </row>
    <row r="84" spans="1:13" x14ac:dyDescent="0.2">
      <c r="A84" s="295" t="s">
        <v>12</v>
      </c>
      <c r="B84" s="235"/>
      <c r="C84" s="288"/>
      <c r="D84" s="166"/>
      <c r="E84" s="365"/>
      <c r="F84" s="280"/>
      <c r="G84" s="280"/>
      <c r="H84" s="166"/>
      <c r="I84" s="365"/>
      <c r="J84" s="289"/>
      <c r="K84" s="289"/>
      <c r="L84" s="166"/>
      <c r="M84" s="23"/>
    </row>
    <row r="85" spans="1:13" x14ac:dyDescent="0.2">
      <c r="A85" s="295" t="s">
        <v>13</v>
      </c>
      <c r="B85" s="235"/>
      <c r="C85" s="288"/>
      <c r="D85" s="166"/>
      <c r="E85" s="365"/>
      <c r="F85" s="280"/>
      <c r="G85" s="280"/>
      <c r="H85" s="166"/>
      <c r="I85" s="365"/>
      <c r="J85" s="289"/>
      <c r="K85" s="289"/>
      <c r="L85" s="166"/>
      <c r="M85" s="23"/>
    </row>
    <row r="86" spans="1:13" ht="15.75" x14ac:dyDescent="0.2">
      <c r="A86" s="21" t="s">
        <v>469</v>
      </c>
      <c r="B86" s="234"/>
      <c r="C86" s="145"/>
      <c r="D86" s="166"/>
      <c r="E86" s="27"/>
      <c r="F86" s="234"/>
      <c r="G86" s="145"/>
      <c r="H86" s="166"/>
      <c r="I86" s="27"/>
      <c r="J86" s="286"/>
      <c r="K86" s="44"/>
      <c r="L86" s="254"/>
      <c r="M86" s="27"/>
    </row>
    <row r="87" spans="1:13" ht="15.75" x14ac:dyDescent="0.2">
      <c r="A87" s="13" t="s">
        <v>451</v>
      </c>
      <c r="B87" s="352"/>
      <c r="C87" s="352"/>
      <c r="D87" s="171"/>
      <c r="E87" s="11"/>
      <c r="F87" s="351"/>
      <c r="G87" s="351"/>
      <c r="H87" s="171"/>
      <c r="I87" s="11"/>
      <c r="J87" s="308"/>
      <c r="K87" s="236"/>
      <c r="L87" s="373"/>
      <c r="M87" s="11"/>
    </row>
    <row r="88" spans="1:13" x14ac:dyDescent="0.2">
      <c r="A88" s="21" t="s">
        <v>9</v>
      </c>
      <c r="B88" s="234"/>
      <c r="C88" s="145"/>
      <c r="D88" s="166"/>
      <c r="E88" s="27"/>
      <c r="F88" s="234"/>
      <c r="G88" s="145"/>
      <c r="H88" s="166"/>
      <c r="I88" s="27"/>
      <c r="J88" s="286"/>
      <c r="K88" s="44"/>
      <c r="L88" s="254"/>
      <c r="M88" s="27"/>
    </row>
    <row r="89" spans="1:13" x14ac:dyDescent="0.2">
      <c r="A89" s="21" t="s">
        <v>10</v>
      </c>
      <c r="B89" s="234"/>
      <c r="C89" s="145"/>
      <c r="D89" s="166"/>
      <c r="E89" s="27"/>
      <c r="F89" s="234"/>
      <c r="G89" s="145"/>
      <c r="H89" s="166"/>
      <c r="I89" s="27"/>
      <c r="J89" s="286"/>
      <c r="K89" s="44"/>
      <c r="L89" s="254"/>
      <c r="M89" s="27"/>
    </row>
    <row r="90" spans="1:13" ht="15.75" x14ac:dyDescent="0.2">
      <c r="A90" s="295" t="s">
        <v>466</v>
      </c>
      <c r="B90" s="280"/>
      <c r="C90" s="280"/>
      <c r="D90" s="166"/>
      <c r="E90" s="365"/>
      <c r="F90" s="280"/>
      <c r="G90" s="280"/>
      <c r="H90" s="166"/>
      <c r="I90" s="365"/>
      <c r="J90" s="289"/>
      <c r="K90" s="289"/>
      <c r="L90" s="166"/>
      <c r="M90" s="23"/>
    </row>
    <row r="91" spans="1:13" x14ac:dyDescent="0.2">
      <c r="A91" s="295" t="s">
        <v>12</v>
      </c>
      <c r="B91" s="235"/>
      <c r="C91" s="288"/>
      <c r="D91" s="166"/>
      <c r="E91" s="365"/>
      <c r="F91" s="280"/>
      <c r="G91" s="280"/>
      <c r="H91" s="166"/>
      <c r="I91" s="365"/>
      <c r="J91" s="289"/>
      <c r="K91" s="289"/>
      <c r="L91" s="166"/>
      <c r="M91" s="23"/>
    </row>
    <row r="92" spans="1:13" x14ac:dyDescent="0.2">
      <c r="A92" s="295" t="s">
        <v>13</v>
      </c>
      <c r="B92" s="235"/>
      <c r="C92" s="288"/>
      <c r="D92" s="166"/>
      <c r="E92" s="365"/>
      <c r="F92" s="280"/>
      <c r="G92" s="280"/>
      <c r="H92" s="166"/>
      <c r="I92" s="365"/>
      <c r="J92" s="289"/>
      <c r="K92" s="289"/>
      <c r="L92" s="166"/>
      <c r="M92" s="23"/>
    </row>
    <row r="93" spans="1:13" ht="15.75" x14ac:dyDescent="0.2">
      <c r="A93" s="295" t="s">
        <v>467</v>
      </c>
      <c r="B93" s="280"/>
      <c r="C93" s="280"/>
      <c r="D93" s="166"/>
      <c r="E93" s="365"/>
      <c r="F93" s="280"/>
      <c r="G93" s="280"/>
      <c r="H93" s="166"/>
      <c r="I93" s="365"/>
      <c r="J93" s="289"/>
      <c r="K93" s="289"/>
      <c r="L93" s="166"/>
      <c r="M93" s="23"/>
    </row>
    <row r="94" spans="1:13" x14ac:dyDescent="0.2">
      <c r="A94" s="295" t="s">
        <v>12</v>
      </c>
      <c r="B94" s="235"/>
      <c r="C94" s="288"/>
      <c r="D94" s="166"/>
      <c r="E94" s="365"/>
      <c r="F94" s="280"/>
      <c r="G94" s="280"/>
      <c r="H94" s="166"/>
      <c r="I94" s="365"/>
      <c r="J94" s="289"/>
      <c r="K94" s="289"/>
      <c r="L94" s="166"/>
      <c r="M94" s="23"/>
    </row>
    <row r="95" spans="1:13" x14ac:dyDescent="0.2">
      <c r="A95" s="295" t="s">
        <v>13</v>
      </c>
      <c r="B95" s="235"/>
      <c r="C95" s="288"/>
      <c r="D95" s="166"/>
      <c r="E95" s="365"/>
      <c r="F95" s="280"/>
      <c r="G95" s="280"/>
      <c r="H95" s="166"/>
      <c r="I95" s="365"/>
      <c r="J95" s="289"/>
      <c r="K95" s="289"/>
      <c r="L95" s="166"/>
      <c r="M95" s="23"/>
    </row>
    <row r="96" spans="1:13" x14ac:dyDescent="0.2">
      <c r="A96" s="21" t="s">
        <v>351</v>
      </c>
      <c r="B96" s="234"/>
      <c r="C96" s="145"/>
      <c r="D96" s="166"/>
      <c r="E96" s="27"/>
      <c r="F96" s="234"/>
      <c r="G96" s="145"/>
      <c r="H96" s="166"/>
      <c r="I96" s="27"/>
      <c r="J96" s="286"/>
      <c r="K96" s="44"/>
      <c r="L96" s="254"/>
      <c r="M96" s="27"/>
    </row>
    <row r="97" spans="1:13" x14ac:dyDescent="0.2">
      <c r="A97" s="21" t="s">
        <v>350</v>
      </c>
      <c r="B97" s="234"/>
      <c r="C97" s="145"/>
      <c r="D97" s="166"/>
      <c r="E97" s="27"/>
      <c r="F97" s="234"/>
      <c r="G97" s="145"/>
      <c r="H97" s="166"/>
      <c r="I97" s="27"/>
      <c r="J97" s="286"/>
      <c r="K97" s="44"/>
      <c r="L97" s="254"/>
      <c r="M97" s="27"/>
    </row>
    <row r="98" spans="1:13" ht="15.75" x14ac:dyDescent="0.2">
      <c r="A98" s="21" t="s">
        <v>468</v>
      </c>
      <c r="B98" s="234"/>
      <c r="C98" s="234"/>
      <c r="D98" s="166"/>
      <c r="E98" s="27"/>
      <c r="F98" s="291"/>
      <c r="G98" s="291"/>
      <c r="H98" s="166"/>
      <c r="I98" s="27"/>
      <c r="J98" s="286"/>
      <c r="K98" s="44"/>
      <c r="L98" s="254"/>
      <c r="M98" s="27"/>
    </row>
    <row r="99" spans="1:13" x14ac:dyDescent="0.2">
      <c r="A99" s="21" t="s">
        <v>9</v>
      </c>
      <c r="B99" s="291"/>
      <c r="C99" s="292"/>
      <c r="D99" s="166"/>
      <c r="E99" s="27"/>
      <c r="F99" s="234"/>
      <c r="G99" s="145"/>
      <c r="H99" s="166"/>
      <c r="I99" s="27"/>
      <c r="J99" s="286"/>
      <c r="K99" s="44"/>
      <c r="L99" s="254"/>
      <c r="M99" s="27"/>
    </row>
    <row r="100" spans="1:13" x14ac:dyDescent="0.2">
      <c r="A100" s="21" t="s">
        <v>10</v>
      </c>
      <c r="B100" s="291"/>
      <c r="C100" s="292"/>
      <c r="D100" s="166"/>
      <c r="E100" s="27"/>
      <c r="F100" s="234"/>
      <c r="G100" s="234"/>
      <c r="H100" s="166"/>
      <c r="I100" s="27"/>
      <c r="J100" s="286"/>
      <c r="K100" s="44"/>
      <c r="L100" s="254"/>
      <c r="M100" s="27"/>
    </row>
    <row r="101" spans="1:13" ht="15.75" x14ac:dyDescent="0.2">
      <c r="A101" s="295" t="s">
        <v>466</v>
      </c>
      <c r="B101" s="280"/>
      <c r="C101" s="280"/>
      <c r="D101" s="166"/>
      <c r="E101" s="365"/>
      <c r="F101" s="280"/>
      <c r="G101" s="280"/>
      <c r="H101" s="166"/>
      <c r="I101" s="365"/>
      <c r="J101" s="289"/>
      <c r="K101" s="289"/>
      <c r="L101" s="166"/>
      <c r="M101" s="23"/>
    </row>
    <row r="102" spans="1:13" x14ac:dyDescent="0.2">
      <c r="A102" s="295" t="s">
        <v>12</v>
      </c>
      <c r="B102" s="235"/>
      <c r="C102" s="288"/>
      <c r="D102" s="166"/>
      <c r="E102" s="365"/>
      <c r="F102" s="280"/>
      <c r="G102" s="280"/>
      <c r="H102" s="166"/>
      <c r="I102" s="365"/>
      <c r="J102" s="289"/>
      <c r="K102" s="289"/>
      <c r="L102" s="166"/>
      <c r="M102" s="23"/>
    </row>
    <row r="103" spans="1:13" x14ac:dyDescent="0.2">
      <c r="A103" s="295" t="s">
        <v>13</v>
      </c>
      <c r="B103" s="235"/>
      <c r="C103" s="288"/>
      <c r="D103" s="166"/>
      <c r="E103" s="365"/>
      <c r="F103" s="280"/>
      <c r="G103" s="280"/>
      <c r="H103" s="166"/>
      <c r="I103" s="365"/>
      <c r="J103" s="289"/>
      <c r="K103" s="289"/>
      <c r="L103" s="166"/>
      <c r="M103" s="23"/>
    </row>
    <row r="104" spans="1:13" ht="15.75" x14ac:dyDescent="0.2">
      <c r="A104" s="295" t="s">
        <v>467</v>
      </c>
      <c r="B104" s="280"/>
      <c r="C104" s="280"/>
      <c r="D104" s="166"/>
      <c r="E104" s="365"/>
      <c r="F104" s="280"/>
      <c r="G104" s="280"/>
      <c r="H104" s="166"/>
      <c r="I104" s="365"/>
      <c r="J104" s="289"/>
      <c r="K104" s="289"/>
      <c r="L104" s="166"/>
      <c r="M104" s="23"/>
    </row>
    <row r="105" spans="1:13" x14ac:dyDescent="0.2">
      <c r="A105" s="295" t="s">
        <v>12</v>
      </c>
      <c r="B105" s="235"/>
      <c r="C105" s="288"/>
      <c r="D105" s="166"/>
      <c r="E105" s="365"/>
      <c r="F105" s="280"/>
      <c r="G105" s="280"/>
      <c r="H105" s="166"/>
      <c r="I105" s="365"/>
      <c r="J105" s="289"/>
      <c r="K105" s="289"/>
      <c r="L105" s="166"/>
      <c r="M105" s="23"/>
    </row>
    <row r="106" spans="1:13" x14ac:dyDescent="0.2">
      <c r="A106" s="295" t="s">
        <v>13</v>
      </c>
      <c r="B106" s="235"/>
      <c r="C106" s="288"/>
      <c r="D106" s="166"/>
      <c r="E106" s="365"/>
      <c r="F106" s="280"/>
      <c r="G106" s="280"/>
      <c r="H106" s="166"/>
      <c r="I106" s="365"/>
      <c r="J106" s="289"/>
      <c r="K106" s="289"/>
      <c r="L106" s="166"/>
      <c r="M106" s="23"/>
    </row>
    <row r="107" spans="1:13" ht="15.75" x14ac:dyDescent="0.2">
      <c r="A107" s="21" t="s">
        <v>469</v>
      </c>
      <c r="B107" s="234"/>
      <c r="C107" s="145"/>
      <c r="D107" s="166"/>
      <c r="E107" s="27"/>
      <c r="F107" s="234"/>
      <c r="G107" s="145"/>
      <c r="H107" s="166"/>
      <c r="I107" s="27"/>
      <c r="J107" s="286"/>
      <c r="K107" s="44"/>
      <c r="L107" s="254"/>
      <c r="M107" s="27"/>
    </row>
    <row r="108" spans="1:13" ht="15.75" x14ac:dyDescent="0.2">
      <c r="A108" s="21" t="s">
        <v>470</v>
      </c>
      <c r="B108" s="234"/>
      <c r="C108" s="234"/>
      <c r="D108" s="166"/>
      <c r="E108" s="27"/>
      <c r="F108" s="234"/>
      <c r="G108" s="234"/>
      <c r="H108" s="166"/>
      <c r="I108" s="27"/>
      <c r="J108" s="286"/>
      <c r="K108" s="44"/>
      <c r="L108" s="254"/>
      <c r="M108" s="27"/>
    </row>
    <row r="109" spans="1:13" ht="15.75" x14ac:dyDescent="0.2">
      <c r="A109" s="21" t="s">
        <v>471</v>
      </c>
      <c r="B109" s="234"/>
      <c r="C109" s="234"/>
      <c r="D109" s="166"/>
      <c r="E109" s="27"/>
      <c r="F109" s="234"/>
      <c r="G109" s="234"/>
      <c r="H109" s="166"/>
      <c r="I109" s="27"/>
      <c r="J109" s="286"/>
      <c r="K109" s="44"/>
      <c r="L109" s="254"/>
      <c r="M109" s="27"/>
    </row>
    <row r="110" spans="1:13" ht="15.75" x14ac:dyDescent="0.2">
      <c r="A110" s="21" t="s">
        <v>472</v>
      </c>
      <c r="B110" s="234"/>
      <c r="C110" s="234"/>
      <c r="D110" s="166"/>
      <c r="E110" s="27"/>
      <c r="F110" s="234"/>
      <c r="G110" s="234"/>
      <c r="H110" s="166"/>
      <c r="I110" s="27"/>
      <c r="J110" s="286"/>
      <c r="K110" s="44"/>
      <c r="L110" s="254"/>
      <c r="M110" s="27"/>
    </row>
    <row r="111" spans="1:13" ht="15.75" x14ac:dyDescent="0.2">
      <c r="A111" s="13" t="s">
        <v>452</v>
      </c>
      <c r="B111" s="307"/>
      <c r="C111" s="159"/>
      <c r="D111" s="171"/>
      <c r="E111" s="11"/>
      <c r="F111" s="307"/>
      <c r="G111" s="159"/>
      <c r="H111" s="171"/>
      <c r="I111" s="11"/>
      <c r="J111" s="308"/>
      <c r="K111" s="236"/>
      <c r="L111" s="373"/>
      <c r="M111" s="11"/>
    </row>
    <row r="112" spans="1:13" x14ac:dyDescent="0.2">
      <c r="A112" s="21" t="s">
        <v>9</v>
      </c>
      <c r="B112" s="234"/>
      <c r="C112" s="145"/>
      <c r="D112" s="166"/>
      <c r="E112" s="27"/>
      <c r="F112" s="234"/>
      <c r="G112" s="145"/>
      <c r="H112" s="166"/>
      <c r="I112" s="27"/>
      <c r="J112" s="286"/>
      <c r="K112" s="44"/>
      <c r="L112" s="254"/>
      <c r="M112" s="27"/>
    </row>
    <row r="113" spans="1:14" x14ac:dyDescent="0.2">
      <c r="A113" s="21" t="s">
        <v>10</v>
      </c>
      <c r="B113" s="234"/>
      <c r="C113" s="145"/>
      <c r="D113" s="166"/>
      <c r="E113" s="27"/>
      <c r="F113" s="234"/>
      <c r="G113" s="145"/>
      <c r="H113" s="166"/>
      <c r="I113" s="27"/>
      <c r="J113" s="286"/>
      <c r="K113" s="44"/>
      <c r="L113" s="254"/>
      <c r="M113" s="27"/>
    </row>
    <row r="114" spans="1:14" x14ac:dyDescent="0.2">
      <c r="A114" s="21" t="s">
        <v>26</v>
      </c>
      <c r="B114" s="234"/>
      <c r="C114" s="145"/>
      <c r="D114" s="166"/>
      <c r="E114" s="27"/>
      <c r="F114" s="234"/>
      <c r="G114" s="145"/>
      <c r="H114" s="166"/>
      <c r="I114" s="27"/>
      <c r="J114" s="286"/>
      <c r="K114" s="44"/>
      <c r="L114" s="254"/>
      <c r="M114" s="27"/>
    </row>
    <row r="115" spans="1:14" x14ac:dyDescent="0.2">
      <c r="A115" s="295" t="s">
        <v>15</v>
      </c>
      <c r="B115" s="280"/>
      <c r="C115" s="280"/>
      <c r="D115" s="166"/>
      <c r="E115" s="365"/>
      <c r="F115" s="280"/>
      <c r="G115" s="280"/>
      <c r="H115" s="166"/>
      <c r="I115" s="365"/>
      <c r="J115" s="289"/>
      <c r="K115" s="289"/>
      <c r="L115" s="166"/>
      <c r="M115" s="23"/>
    </row>
    <row r="116" spans="1:14" ht="15.75" x14ac:dyDescent="0.2">
      <c r="A116" s="21" t="s">
        <v>473</v>
      </c>
      <c r="B116" s="234"/>
      <c r="C116" s="234"/>
      <c r="D116" s="166"/>
      <c r="E116" s="27"/>
      <c r="F116" s="234"/>
      <c r="G116" s="234"/>
      <c r="H116" s="166"/>
      <c r="I116" s="27"/>
      <c r="J116" s="286"/>
      <c r="K116" s="44"/>
      <c r="L116" s="254"/>
      <c r="M116" s="27"/>
    </row>
    <row r="117" spans="1:14" ht="15.75" x14ac:dyDescent="0.2">
      <c r="A117" s="21" t="s">
        <v>474</v>
      </c>
      <c r="B117" s="234"/>
      <c r="C117" s="234"/>
      <c r="D117" s="166"/>
      <c r="E117" s="27"/>
      <c r="F117" s="234"/>
      <c r="G117" s="234"/>
      <c r="H117" s="166"/>
      <c r="I117" s="27"/>
      <c r="J117" s="286"/>
      <c r="K117" s="44"/>
      <c r="L117" s="254"/>
      <c r="M117" s="27"/>
    </row>
    <row r="118" spans="1:14" ht="15.75" x14ac:dyDescent="0.2">
      <c r="A118" s="21" t="s">
        <v>472</v>
      </c>
      <c r="B118" s="234"/>
      <c r="C118" s="234"/>
      <c r="D118" s="166"/>
      <c r="E118" s="27"/>
      <c r="F118" s="234"/>
      <c r="G118" s="234"/>
      <c r="H118" s="166"/>
      <c r="I118" s="27"/>
      <c r="J118" s="286"/>
      <c r="K118" s="44"/>
      <c r="L118" s="254"/>
      <c r="M118" s="27"/>
    </row>
    <row r="119" spans="1:14" ht="15.75" x14ac:dyDescent="0.2">
      <c r="A119" s="13" t="s">
        <v>453</v>
      </c>
      <c r="B119" s="307"/>
      <c r="C119" s="159"/>
      <c r="D119" s="171"/>
      <c r="E119" s="11"/>
      <c r="F119" s="307"/>
      <c r="G119" s="159"/>
      <c r="H119" s="171"/>
      <c r="I119" s="11"/>
      <c r="J119" s="308"/>
      <c r="K119" s="236"/>
      <c r="L119" s="373"/>
      <c r="M119" s="11"/>
    </row>
    <row r="120" spans="1:14" x14ac:dyDescent="0.2">
      <c r="A120" s="21" t="s">
        <v>9</v>
      </c>
      <c r="B120" s="234"/>
      <c r="C120" s="145"/>
      <c r="D120" s="166"/>
      <c r="E120" s="27"/>
      <c r="F120" s="234"/>
      <c r="G120" s="145"/>
      <c r="H120" s="166"/>
      <c r="I120" s="27"/>
      <c r="J120" s="286"/>
      <c r="K120" s="44"/>
      <c r="L120" s="254"/>
      <c r="M120" s="27"/>
    </row>
    <row r="121" spans="1:14" x14ac:dyDescent="0.2">
      <c r="A121" s="21" t="s">
        <v>10</v>
      </c>
      <c r="B121" s="234"/>
      <c r="C121" s="145"/>
      <c r="D121" s="166"/>
      <c r="E121" s="27"/>
      <c r="F121" s="234"/>
      <c r="G121" s="145"/>
      <c r="H121" s="166"/>
      <c r="I121" s="27"/>
      <c r="J121" s="286"/>
      <c r="K121" s="44"/>
      <c r="L121" s="254"/>
      <c r="M121" s="27"/>
    </row>
    <row r="122" spans="1:14" x14ac:dyDescent="0.2">
      <c r="A122" s="21" t="s">
        <v>26</v>
      </c>
      <c r="B122" s="234"/>
      <c r="C122" s="145"/>
      <c r="D122" s="166"/>
      <c r="E122" s="27"/>
      <c r="F122" s="234"/>
      <c r="G122" s="145"/>
      <c r="H122" s="166"/>
      <c r="I122" s="27"/>
      <c r="J122" s="286"/>
      <c r="K122" s="44"/>
      <c r="L122" s="254"/>
      <c r="M122" s="27"/>
    </row>
    <row r="123" spans="1:14" x14ac:dyDescent="0.2">
      <c r="A123" s="295" t="s">
        <v>14</v>
      </c>
      <c r="B123" s="280"/>
      <c r="C123" s="280"/>
      <c r="D123" s="166"/>
      <c r="E123" s="365"/>
      <c r="F123" s="280"/>
      <c r="G123" s="280"/>
      <c r="H123" s="166"/>
      <c r="I123" s="365"/>
      <c r="J123" s="289"/>
      <c r="K123" s="289"/>
      <c r="L123" s="166"/>
      <c r="M123" s="23"/>
    </row>
    <row r="124" spans="1:14" ht="15.75" x14ac:dyDescent="0.2">
      <c r="A124" s="21" t="s">
        <v>479</v>
      </c>
      <c r="B124" s="234"/>
      <c r="C124" s="234"/>
      <c r="D124" s="166"/>
      <c r="E124" s="27"/>
      <c r="F124" s="234"/>
      <c r="G124" s="234"/>
      <c r="H124" s="166"/>
      <c r="I124" s="27"/>
      <c r="J124" s="286"/>
      <c r="K124" s="44"/>
      <c r="L124" s="254"/>
      <c r="M124" s="27"/>
    </row>
    <row r="125" spans="1:14" ht="15.75" x14ac:dyDescent="0.2">
      <c r="A125" s="21" t="s">
        <v>471</v>
      </c>
      <c r="B125" s="234"/>
      <c r="C125" s="234"/>
      <c r="D125" s="166"/>
      <c r="E125" s="27"/>
      <c r="F125" s="234"/>
      <c r="G125" s="234"/>
      <c r="H125" s="166"/>
      <c r="I125" s="27"/>
      <c r="J125" s="286"/>
      <c r="K125" s="44"/>
      <c r="L125" s="254"/>
      <c r="M125" s="27"/>
    </row>
    <row r="126" spans="1:14" ht="15.75" x14ac:dyDescent="0.2">
      <c r="A126" s="10" t="s">
        <v>472</v>
      </c>
      <c r="B126" s="45"/>
      <c r="C126" s="45"/>
      <c r="D126" s="167"/>
      <c r="E126" s="366"/>
      <c r="F126" s="45"/>
      <c r="G126" s="45"/>
      <c r="H126" s="167"/>
      <c r="I126" s="22"/>
      <c r="J126" s="287"/>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975"/>
      <c r="C130" s="975"/>
      <c r="D130" s="975"/>
      <c r="E130" s="298"/>
      <c r="F130" s="975"/>
      <c r="G130" s="975"/>
      <c r="H130" s="975"/>
      <c r="I130" s="298"/>
      <c r="J130" s="975"/>
      <c r="K130" s="975"/>
      <c r="L130" s="975"/>
      <c r="M130" s="298"/>
    </row>
    <row r="131" spans="1:14" s="3" customFormat="1" x14ac:dyDescent="0.2">
      <c r="A131" s="144"/>
      <c r="B131" s="973" t="s">
        <v>0</v>
      </c>
      <c r="C131" s="974"/>
      <c r="D131" s="974"/>
      <c r="E131" s="300"/>
      <c r="F131" s="973" t="s">
        <v>1</v>
      </c>
      <c r="G131" s="974"/>
      <c r="H131" s="974"/>
      <c r="I131" s="303"/>
      <c r="J131" s="973" t="s">
        <v>2</v>
      </c>
      <c r="K131" s="974"/>
      <c r="L131" s="974"/>
      <c r="M131" s="303"/>
      <c r="N131" s="148"/>
    </row>
    <row r="132" spans="1:14" s="3" customFormat="1" x14ac:dyDescent="0.2">
      <c r="A132" s="140"/>
      <c r="B132" s="152" t="s">
        <v>492</v>
      </c>
      <c r="C132" s="152" t="s">
        <v>493</v>
      </c>
      <c r="D132" s="245" t="s">
        <v>3</v>
      </c>
      <c r="E132" s="304" t="s">
        <v>29</v>
      </c>
      <c r="F132" s="152" t="s">
        <v>492</v>
      </c>
      <c r="G132" s="152" t="s">
        <v>493</v>
      </c>
      <c r="H132" s="206" t="s">
        <v>3</v>
      </c>
      <c r="I132" s="162" t="s">
        <v>29</v>
      </c>
      <c r="J132" s="152" t="s">
        <v>492</v>
      </c>
      <c r="K132" s="152" t="s">
        <v>493</v>
      </c>
      <c r="L132" s="246" t="s">
        <v>3</v>
      </c>
      <c r="M132" s="162" t="s">
        <v>29</v>
      </c>
      <c r="N132" s="148"/>
    </row>
    <row r="133" spans="1:14" s="3" customFormat="1" x14ac:dyDescent="0.2">
      <c r="A133" s="947"/>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475</v>
      </c>
      <c r="B134" s="236">
        <v>38572354.59426</v>
      </c>
      <c r="C134" s="308">
        <v>40068430.182120003</v>
      </c>
      <c r="D134" s="349">
        <f t="shared" ref="D134:D137" si="1">IF(B134=0, "    ---- ", IF(ABS(ROUND(100/B134*C134-100,1))&lt;999,ROUND(100/B134*C134-100,1),IF(ROUND(100/B134*C134-100,1)&gt;999,999,-999)))</f>
        <v>3.9</v>
      </c>
      <c r="E134" s="11">
        <f>IFERROR(100/'Skjema total MA'!C134*C134,0)</f>
        <v>88.138280852515251</v>
      </c>
      <c r="F134" s="315">
        <v>148957.79199999999</v>
      </c>
      <c r="G134" s="316">
        <v>152808.77100000001</v>
      </c>
      <c r="H134" s="376">
        <f t="shared" ref="H134:H136" si="2">IF(F134=0, "    ---- ", IF(ABS(ROUND(100/F134*G134-100,1))&lt;999,ROUND(100/F134*G134-100,1),IF(ROUND(100/F134*G134-100,1)&gt;999,999,-999)))</f>
        <v>2.6</v>
      </c>
      <c r="I134" s="24">
        <f>IFERROR(100/'Skjema total MA'!F134*G134,0)</f>
        <v>100</v>
      </c>
      <c r="J134" s="317">
        <f t="shared" ref="J134:K137" si="3">SUM(B134,F134)</f>
        <v>38721312.386260003</v>
      </c>
      <c r="K134" s="317">
        <f t="shared" si="3"/>
        <v>40221238.953120001</v>
      </c>
      <c r="L134" s="372">
        <f t="shared" ref="L134:L137" si="4">IF(J134=0, "    ---- ", IF(ABS(ROUND(100/J134*K134-100,1))&lt;999,ROUND(100/J134*K134-100,1),IF(ROUND(100/J134*K134-100,1)&gt;999,999,-999)))</f>
        <v>3.9</v>
      </c>
      <c r="M134" s="11">
        <f>IFERROR(100/'Skjema total MA'!I134*K134,0)</f>
        <v>88.178018377156462</v>
      </c>
      <c r="N134" s="148"/>
    </row>
    <row r="135" spans="1:14" s="3" customFormat="1" ht="15.75" x14ac:dyDescent="0.2">
      <c r="A135" s="13" t="s">
        <v>480</v>
      </c>
      <c r="B135" s="236">
        <v>471726467.24905998</v>
      </c>
      <c r="C135" s="308">
        <v>507748922.5025</v>
      </c>
      <c r="D135" s="171">
        <f t="shared" si="1"/>
        <v>7.6</v>
      </c>
      <c r="E135" s="11">
        <f>IFERROR(100/'Skjema total MA'!C135*C135,0)</f>
        <v>86.543792839606112</v>
      </c>
      <c r="F135" s="236">
        <v>2418695.24015</v>
      </c>
      <c r="G135" s="308">
        <v>2703759.0266499999</v>
      </c>
      <c r="H135" s="377">
        <f t="shared" si="2"/>
        <v>11.8</v>
      </c>
      <c r="I135" s="24">
        <f>IFERROR(100/'Skjema total MA'!F135*G135,0)</f>
        <v>100</v>
      </c>
      <c r="J135" s="307">
        <f t="shared" si="3"/>
        <v>474145162.48920995</v>
      </c>
      <c r="K135" s="307">
        <f t="shared" si="3"/>
        <v>510452681.52915001</v>
      </c>
      <c r="L135" s="373">
        <f t="shared" si="4"/>
        <v>7.7</v>
      </c>
      <c r="M135" s="11">
        <f>IFERROR(100/'Skjema total MA'!I135*K135,0)</f>
        <v>86.605520630404754</v>
      </c>
      <c r="N135" s="148"/>
    </row>
    <row r="136" spans="1:14" s="3" customFormat="1" ht="15.75" x14ac:dyDescent="0.2">
      <c r="A136" s="13" t="s">
        <v>477</v>
      </c>
      <c r="B136" s="236">
        <v>4522.9160000000002</v>
      </c>
      <c r="C136" s="308">
        <v>-19888.667000000001</v>
      </c>
      <c r="D136" s="171">
        <f t="shared" si="1"/>
        <v>-539.70000000000005</v>
      </c>
      <c r="E136" s="11">
        <f>IFERROR(100/'Skjema total MA'!C136*C136,0)</f>
        <v>-23.121974824794542</v>
      </c>
      <c r="F136" s="236">
        <v>-10.804</v>
      </c>
      <c r="G136" s="308">
        <v>31148.103999999999</v>
      </c>
      <c r="H136" s="377">
        <f t="shared" si="2"/>
        <v>-999</v>
      </c>
      <c r="I136" s="24">
        <f>IFERROR(100/'Skjema total MA'!F136*G136,0)</f>
        <v>100</v>
      </c>
      <c r="J136" s="307">
        <f t="shared" si="3"/>
        <v>4512.1120000000001</v>
      </c>
      <c r="K136" s="307">
        <f t="shared" si="3"/>
        <v>11259.436999999998</v>
      </c>
      <c r="L136" s="373">
        <f t="shared" si="4"/>
        <v>149.5</v>
      </c>
      <c r="M136" s="11">
        <f>IFERROR(100/'Skjema total MA'!I136*K136,0)</f>
        <v>9.6099469733994187</v>
      </c>
      <c r="N136" s="148"/>
    </row>
    <row r="137" spans="1:14" s="3" customFormat="1" ht="15.75" x14ac:dyDescent="0.2">
      <c r="A137" s="41" t="s">
        <v>478</v>
      </c>
      <c r="B137" s="275">
        <v>496739.50099999999</v>
      </c>
      <c r="C137" s="314">
        <v>291578.90500000003</v>
      </c>
      <c r="D137" s="169">
        <f t="shared" si="1"/>
        <v>-41.3</v>
      </c>
      <c r="E137" s="9">
        <f>IFERROR(100/'Skjema total MA'!C137*C137,0)</f>
        <v>100.00000000000001</v>
      </c>
      <c r="F137" s="275"/>
      <c r="G137" s="314"/>
      <c r="H137" s="378"/>
      <c r="I137" s="36"/>
      <c r="J137" s="313">
        <f t="shared" si="3"/>
        <v>496739.50099999999</v>
      </c>
      <c r="K137" s="313">
        <f t="shared" si="3"/>
        <v>291578.90500000003</v>
      </c>
      <c r="L137" s="374">
        <f t="shared" si="4"/>
        <v>-41.3</v>
      </c>
      <c r="M137" s="36">
        <f>IFERROR(100/'Skjema total MA'!I137*K137,0)</f>
        <v>100.00000000000001</v>
      </c>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860" priority="132">
      <formula>kvartal &lt; 4</formula>
    </cfRule>
  </conditionalFormatting>
  <conditionalFormatting sqref="B69">
    <cfRule type="expression" dxfId="859" priority="100">
      <formula>kvartal &lt; 4</formula>
    </cfRule>
  </conditionalFormatting>
  <conditionalFormatting sqref="C69">
    <cfRule type="expression" dxfId="858" priority="99">
      <formula>kvartal &lt; 4</formula>
    </cfRule>
  </conditionalFormatting>
  <conditionalFormatting sqref="B72">
    <cfRule type="expression" dxfId="857" priority="98">
      <formula>kvartal &lt; 4</formula>
    </cfRule>
  </conditionalFormatting>
  <conditionalFormatting sqref="C72">
    <cfRule type="expression" dxfId="856" priority="97">
      <formula>kvartal &lt; 4</formula>
    </cfRule>
  </conditionalFormatting>
  <conditionalFormatting sqref="B80">
    <cfRule type="expression" dxfId="855" priority="96">
      <formula>kvartal &lt; 4</formula>
    </cfRule>
  </conditionalFormatting>
  <conditionalFormatting sqref="C80">
    <cfRule type="expression" dxfId="854" priority="95">
      <formula>kvartal &lt; 4</formula>
    </cfRule>
  </conditionalFormatting>
  <conditionalFormatting sqref="B83">
    <cfRule type="expression" dxfId="853" priority="94">
      <formula>kvartal &lt; 4</formula>
    </cfRule>
  </conditionalFormatting>
  <conditionalFormatting sqref="C83">
    <cfRule type="expression" dxfId="852" priority="93">
      <formula>kvartal &lt; 4</formula>
    </cfRule>
  </conditionalFormatting>
  <conditionalFormatting sqref="B90">
    <cfRule type="expression" dxfId="851" priority="84">
      <formula>kvartal &lt; 4</formula>
    </cfRule>
  </conditionalFormatting>
  <conditionalFormatting sqref="C90">
    <cfRule type="expression" dxfId="850" priority="83">
      <formula>kvartal &lt; 4</formula>
    </cfRule>
  </conditionalFormatting>
  <conditionalFormatting sqref="B93">
    <cfRule type="expression" dxfId="849" priority="82">
      <formula>kvartal &lt; 4</formula>
    </cfRule>
  </conditionalFormatting>
  <conditionalFormatting sqref="C93">
    <cfRule type="expression" dxfId="848" priority="81">
      <formula>kvartal &lt; 4</formula>
    </cfRule>
  </conditionalFormatting>
  <conditionalFormatting sqref="B101">
    <cfRule type="expression" dxfId="847" priority="80">
      <formula>kvartal &lt; 4</formula>
    </cfRule>
  </conditionalFormatting>
  <conditionalFormatting sqref="C101">
    <cfRule type="expression" dxfId="846" priority="79">
      <formula>kvartal &lt; 4</formula>
    </cfRule>
  </conditionalFormatting>
  <conditionalFormatting sqref="B104">
    <cfRule type="expression" dxfId="845" priority="78">
      <formula>kvartal &lt; 4</formula>
    </cfRule>
  </conditionalFormatting>
  <conditionalFormatting sqref="C104">
    <cfRule type="expression" dxfId="844" priority="77">
      <formula>kvartal &lt; 4</formula>
    </cfRule>
  </conditionalFormatting>
  <conditionalFormatting sqref="B115">
    <cfRule type="expression" dxfId="843" priority="76">
      <formula>kvartal &lt; 4</formula>
    </cfRule>
  </conditionalFormatting>
  <conditionalFormatting sqref="C115">
    <cfRule type="expression" dxfId="842" priority="75">
      <formula>kvartal &lt; 4</formula>
    </cfRule>
  </conditionalFormatting>
  <conditionalFormatting sqref="B123">
    <cfRule type="expression" dxfId="841" priority="74">
      <formula>kvartal &lt; 4</formula>
    </cfRule>
  </conditionalFormatting>
  <conditionalFormatting sqref="C123">
    <cfRule type="expression" dxfId="840" priority="73">
      <formula>kvartal &lt; 4</formula>
    </cfRule>
  </conditionalFormatting>
  <conditionalFormatting sqref="F70">
    <cfRule type="expression" dxfId="839" priority="72">
      <formula>kvartal &lt; 4</formula>
    </cfRule>
  </conditionalFormatting>
  <conditionalFormatting sqref="G70">
    <cfRule type="expression" dxfId="838" priority="71">
      <formula>kvartal &lt; 4</formula>
    </cfRule>
  </conditionalFormatting>
  <conditionalFormatting sqref="F71:G71">
    <cfRule type="expression" dxfId="837" priority="70">
      <formula>kvartal &lt; 4</formula>
    </cfRule>
  </conditionalFormatting>
  <conditionalFormatting sqref="F73:G74">
    <cfRule type="expression" dxfId="836" priority="69">
      <formula>kvartal &lt; 4</formula>
    </cfRule>
  </conditionalFormatting>
  <conditionalFormatting sqref="F81:G82">
    <cfRule type="expression" dxfId="835" priority="68">
      <formula>kvartal &lt; 4</formula>
    </cfRule>
  </conditionalFormatting>
  <conditionalFormatting sqref="F84:G85">
    <cfRule type="expression" dxfId="834" priority="67">
      <formula>kvartal &lt; 4</formula>
    </cfRule>
  </conditionalFormatting>
  <conditionalFormatting sqref="F91:G92">
    <cfRule type="expression" dxfId="833" priority="62">
      <formula>kvartal &lt; 4</formula>
    </cfRule>
  </conditionalFormatting>
  <conditionalFormatting sqref="F94:G95">
    <cfRule type="expression" dxfId="832" priority="61">
      <formula>kvartal &lt; 4</formula>
    </cfRule>
  </conditionalFormatting>
  <conditionalFormatting sqref="F102:G103">
    <cfRule type="expression" dxfId="831" priority="60">
      <formula>kvartal &lt; 4</formula>
    </cfRule>
  </conditionalFormatting>
  <conditionalFormatting sqref="F105:G106">
    <cfRule type="expression" dxfId="830" priority="59">
      <formula>kvartal &lt; 4</formula>
    </cfRule>
  </conditionalFormatting>
  <conditionalFormatting sqref="F115">
    <cfRule type="expression" dxfId="829" priority="58">
      <formula>kvartal &lt; 4</formula>
    </cfRule>
  </conditionalFormatting>
  <conditionalFormatting sqref="G115">
    <cfRule type="expression" dxfId="828" priority="57">
      <formula>kvartal &lt; 4</formula>
    </cfRule>
  </conditionalFormatting>
  <conditionalFormatting sqref="F123:G123">
    <cfRule type="expression" dxfId="827" priority="56">
      <formula>kvartal &lt; 4</formula>
    </cfRule>
  </conditionalFormatting>
  <conditionalFormatting sqref="F69:G69">
    <cfRule type="expression" dxfId="826" priority="55">
      <formula>kvartal &lt; 4</formula>
    </cfRule>
  </conditionalFormatting>
  <conditionalFormatting sqref="F72:G72">
    <cfRule type="expression" dxfId="825" priority="54">
      <formula>kvartal &lt; 4</formula>
    </cfRule>
  </conditionalFormatting>
  <conditionalFormatting sqref="F80:G80">
    <cfRule type="expression" dxfId="824" priority="53">
      <formula>kvartal &lt; 4</formula>
    </cfRule>
  </conditionalFormatting>
  <conditionalFormatting sqref="F83:G83">
    <cfRule type="expression" dxfId="823" priority="52">
      <formula>kvartal &lt; 4</formula>
    </cfRule>
  </conditionalFormatting>
  <conditionalFormatting sqref="F90:G90">
    <cfRule type="expression" dxfId="822" priority="46">
      <formula>kvartal &lt; 4</formula>
    </cfRule>
  </conditionalFormatting>
  <conditionalFormatting sqref="F93">
    <cfRule type="expression" dxfId="821" priority="45">
      <formula>kvartal &lt; 4</formula>
    </cfRule>
  </conditionalFormatting>
  <conditionalFormatting sqref="G93">
    <cfRule type="expression" dxfId="820" priority="44">
      <formula>kvartal &lt; 4</formula>
    </cfRule>
  </conditionalFormatting>
  <conditionalFormatting sqref="F101">
    <cfRule type="expression" dxfId="819" priority="43">
      <formula>kvartal &lt; 4</formula>
    </cfRule>
  </conditionalFormatting>
  <conditionalFormatting sqref="G101">
    <cfRule type="expression" dxfId="818" priority="42">
      <formula>kvartal &lt; 4</formula>
    </cfRule>
  </conditionalFormatting>
  <conditionalFormatting sqref="G104">
    <cfRule type="expression" dxfId="817" priority="41">
      <formula>kvartal &lt; 4</formula>
    </cfRule>
  </conditionalFormatting>
  <conditionalFormatting sqref="F104">
    <cfRule type="expression" dxfId="816" priority="40">
      <formula>kvartal &lt; 4</formula>
    </cfRule>
  </conditionalFormatting>
  <conditionalFormatting sqref="J69:K73">
    <cfRule type="expression" dxfId="815" priority="39">
      <formula>kvartal &lt; 4</formula>
    </cfRule>
  </conditionalFormatting>
  <conditionalFormatting sqref="J74:K74">
    <cfRule type="expression" dxfId="814" priority="38">
      <formula>kvartal &lt; 4</formula>
    </cfRule>
  </conditionalFormatting>
  <conditionalFormatting sqref="J80:K85">
    <cfRule type="expression" dxfId="813" priority="37">
      <formula>kvartal &lt; 4</formula>
    </cfRule>
  </conditionalFormatting>
  <conditionalFormatting sqref="J90:K95">
    <cfRule type="expression" dxfId="812" priority="34">
      <formula>kvartal &lt; 4</formula>
    </cfRule>
  </conditionalFormatting>
  <conditionalFormatting sqref="J101:K106">
    <cfRule type="expression" dxfId="811" priority="33">
      <formula>kvartal &lt; 4</formula>
    </cfRule>
  </conditionalFormatting>
  <conditionalFormatting sqref="J115:K115">
    <cfRule type="expression" dxfId="810" priority="32">
      <formula>kvartal &lt; 4</formula>
    </cfRule>
  </conditionalFormatting>
  <conditionalFormatting sqref="J123:K123">
    <cfRule type="expression" dxfId="809" priority="31">
      <formula>kvartal &lt; 4</formula>
    </cfRule>
  </conditionalFormatting>
  <conditionalFormatting sqref="A50:A52">
    <cfRule type="expression" dxfId="808" priority="12">
      <formula>kvartal &lt; 4</formula>
    </cfRule>
  </conditionalFormatting>
  <conditionalFormatting sqref="A69:A74">
    <cfRule type="expression" dxfId="807" priority="10">
      <formula>kvartal &lt; 4</formula>
    </cfRule>
  </conditionalFormatting>
  <conditionalFormatting sqref="A80:A85">
    <cfRule type="expression" dxfId="806" priority="9">
      <formula>kvartal &lt; 4</formula>
    </cfRule>
  </conditionalFormatting>
  <conditionalFormatting sqref="A90:A95">
    <cfRule type="expression" dxfId="805" priority="6">
      <formula>kvartal &lt; 4</formula>
    </cfRule>
  </conditionalFormatting>
  <conditionalFormatting sqref="A101:A106">
    <cfRule type="expression" dxfId="804" priority="5">
      <formula>kvartal &lt; 4</formula>
    </cfRule>
  </conditionalFormatting>
  <conditionalFormatting sqref="A115">
    <cfRule type="expression" dxfId="803" priority="4">
      <formula>kvartal &lt; 4</formula>
    </cfRule>
  </conditionalFormatting>
  <conditionalFormatting sqref="A123">
    <cfRule type="expression" dxfId="802" priority="3">
      <formula>kvartal &lt; 4</formula>
    </cfRule>
  </conditionalFormatting>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21"/>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139</v>
      </c>
      <c r="B1" s="945"/>
      <c r="C1" s="248" t="s">
        <v>95</v>
      </c>
      <c r="D1" s="26"/>
      <c r="E1" s="26"/>
      <c r="F1" s="26"/>
      <c r="G1" s="26"/>
      <c r="H1" s="26"/>
      <c r="I1" s="26"/>
      <c r="J1" s="26"/>
      <c r="K1" s="26"/>
      <c r="L1" s="26"/>
      <c r="M1" s="26"/>
    </row>
    <row r="2" spans="1:14" ht="15.75" x14ac:dyDescent="0.25">
      <c r="A2" s="165" t="s">
        <v>28</v>
      </c>
      <c r="B2" s="972"/>
      <c r="C2" s="972"/>
      <c r="D2" s="972"/>
      <c r="E2" s="298"/>
      <c r="F2" s="972"/>
      <c r="G2" s="972"/>
      <c r="H2" s="972"/>
      <c r="I2" s="298"/>
      <c r="J2" s="972"/>
      <c r="K2" s="972"/>
      <c r="L2" s="972"/>
      <c r="M2" s="298"/>
    </row>
    <row r="3" spans="1:14" ht="15.75" x14ac:dyDescent="0.25">
      <c r="A3" s="163"/>
      <c r="B3" s="298"/>
      <c r="C3" s="298"/>
      <c r="D3" s="298"/>
      <c r="E3" s="298"/>
      <c r="F3" s="298"/>
      <c r="G3" s="298"/>
      <c r="H3" s="298"/>
      <c r="I3" s="298"/>
      <c r="J3" s="298"/>
      <c r="K3" s="298"/>
      <c r="L3" s="298"/>
      <c r="M3" s="298"/>
    </row>
    <row r="4" spans="1:14" x14ac:dyDescent="0.2">
      <c r="A4" s="144"/>
      <c r="B4" s="973" t="s">
        <v>0</v>
      </c>
      <c r="C4" s="974"/>
      <c r="D4" s="974"/>
      <c r="E4" s="300"/>
      <c r="F4" s="973" t="s">
        <v>1</v>
      </c>
      <c r="G4" s="974"/>
      <c r="H4" s="974"/>
      <c r="I4" s="303"/>
      <c r="J4" s="973" t="s">
        <v>2</v>
      </c>
      <c r="K4" s="974"/>
      <c r="L4" s="974"/>
      <c r="M4" s="303"/>
    </row>
    <row r="5" spans="1:14" x14ac:dyDescent="0.2">
      <c r="A5" s="158"/>
      <c r="B5" s="152" t="s">
        <v>492</v>
      </c>
      <c r="C5" s="152" t="s">
        <v>493</v>
      </c>
      <c r="D5" s="245" t="s">
        <v>3</v>
      </c>
      <c r="E5" s="304" t="s">
        <v>29</v>
      </c>
      <c r="F5" s="152" t="s">
        <v>492</v>
      </c>
      <c r="G5" s="152" t="s">
        <v>493</v>
      </c>
      <c r="H5" s="245" t="s">
        <v>3</v>
      </c>
      <c r="I5" s="162" t="s">
        <v>29</v>
      </c>
      <c r="J5" s="152" t="s">
        <v>492</v>
      </c>
      <c r="K5" s="152" t="s">
        <v>493</v>
      </c>
      <c r="L5" s="245" t="s">
        <v>3</v>
      </c>
      <c r="M5" s="162" t="s">
        <v>29</v>
      </c>
    </row>
    <row r="6" spans="1:14" x14ac:dyDescent="0.2">
      <c r="A6" s="946"/>
      <c r="B6" s="156"/>
      <c r="C6" s="156"/>
      <c r="D6" s="246" t="s">
        <v>4</v>
      </c>
      <c r="E6" s="156" t="s">
        <v>30</v>
      </c>
      <c r="F6" s="161"/>
      <c r="G6" s="161"/>
      <c r="H6" s="245" t="s">
        <v>4</v>
      </c>
      <c r="I6" s="156" t="s">
        <v>30</v>
      </c>
      <c r="J6" s="161"/>
      <c r="K6" s="161"/>
      <c r="L6" s="245" t="s">
        <v>4</v>
      </c>
      <c r="M6" s="156" t="s">
        <v>30</v>
      </c>
    </row>
    <row r="7" spans="1:14" ht="15.75" x14ac:dyDescent="0.2">
      <c r="A7" s="14" t="s">
        <v>23</v>
      </c>
      <c r="B7" s="305"/>
      <c r="C7" s="306"/>
      <c r="D7" s="349"/>
      <c r="E7" s="11"/>
      <c r="F7" s="305"/>
      <c r="G7" s="306"/>
      <c r="H7" s="349"/>
      <c r="I7" s="160"/>
      <c r="J7" s="307"/>
      <c r="K7" s="308"/>
      <c r="L7" s="372"/>
      <c r="M7" s="11"/>
    </row>
    <row r="8" spans="1:14" ht="15.75" x14ac:dyDescent="0.2">
      <c r="A8" s="21" t="s">
        <v>25</v>
      </c>
      <c r="B8" s="280"/>
      <c r="C8" s="281"/>
      <c r="D8" s="166"/>
      <c r="E8" s="27"/>
      <c r="F8" s="284"/>
      <c r="G8" s="285"/>
      <c r="H8" s="166"/>
      <c r="I8" s="175"/>
      <c r="J8" s="234"/>
      <c r="K8" s="286"/>
      <c r="L8" s="254"/>
      <c r="M8" s="27"/>
    </row>
    <row r="9" spans="1:14" ht="15.75" x14ac:dyDescent="0.2">
      <c r="A9" s="21" t="s">
        <v>24</v>
      </c>
      <c r="B9" s="280"/>
      <c r="C9" s="281"/>
      <c r="D9" s="166"/>
      <c r="E9" s="27"/>
      <c r="F9" s="284"/>
      <c r="G9" s="285"/>
      <c r="H9" s="166"/>
      <c r="I9" s="175"/>
      <c r="J9" s="234"/>
      <c r="K9" s="286"/>
      <c r="L9" s="254"/>
      <c r="M9" s="27"/>
    </row>
    <row r="10" spans="1:14" ht="15.75" x14ac:dyDescent="0.2">
      <c r="A10" s="13" t="s">
        <v>451</v>
      </c>
      <c r="B10" s="309"/>
      <c r="C10" s="310"/>
      <c r="D10" s="171"/>
      <c r="E10" s="11"/>
      <c r="F10" s="309"/>
      <c r="G10" s="310"/>
      <c r="H10" s="171"/>
      <c r="I10" s="160"/>
      <c r="J10" s="307"/>
      <c r="K10" s="308"/>
      <c r="L10" s="373"/>
      <c r="M10" s="11"/>
    </row>
    <row r="11" spans="1:14" s="43" customFormat="1" ht="15.75" x14ac:dyDescent="0.2">
      <c r="A11" s="13" t="s">
        <v>452</v>
      </c>
      <c r="B11" s="309"/>
      <c r="C11" s="310"/>
      <c r="D11" s="171"/>
      <c r="E11" s="11"/>
      <c r="F11" s="309"/>
      <c r="G11" s="310"/>
      <c r="H11" s="171"/>
      <c r="I11" s="160"/>
      <c r="J11" s="307"/>
      <c r="K11" s="308"/>
      <c r="L11" s="373"/>
      <c r="M11" s="11"/>
      <c r="N11" s="143"/>
    </row>
    <row r="12" spans="1:14" s="43" customFormat="1" ht="15.75" x14ac:dyDescent="0.2">
      <c r="A12" s="41" t="s">
        <v>453</v>
      </c>
      <c r="B12" s="311"/>
      <c r="C12" s="312"/>
      <c r="D12" s="169"/>
      <c r="E12" s="36"/>
      <c r="F12" s="311"/>
      <c r="G12" s="312"/>
      <c r="H12" s="169"/>
      <c r="I12" s="169"/>
      <c r="J12" s="313"/>
      <c r="K12" s="314"/>
      <c r="L12" s="374"/>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975"/>
      <c r="C18" s="975"/>
      <c r="D18" s="975"/>
      <c r="E18" s="298"/>
      <c r="F18" s="975"/>
      <c r="G18" s="975"/>
      <c r="H18" s="975"/>
      <c r="I18" s="298"/>
      <c r="J18" s="975"/>
      <c r="K18" s="975"/>
      <c r="L18" s="975"/>
      <c r="M18" s="298"/>
    </row>
    <row r="19" spans="1:14" x14ac:dyDescent="0.2">
      <c r="A19" s="144"/>
      <c r="B19" s="973" t="s">
        <v>0</v>
      </c>
      <c r="C19" s="974"/>
      <c r="D19" s="974"/>
      <c r="E19" s="300"/>
      <c r="F19" s="973" t="s">
        <v>1</v>
      </c>
      <c r="G19" s="974"/>
      <c r="H19" s="974"/>
      <c r="I19" s="303"/>
      <c r="J19" s="973" t="s">
        <v>2</v>
      </c>
      <c r="K19" s="974"/>
      <c r="L19" s="974"/>
      <c r="M19" s="303"/>
    </row>
    <row r="20" spans="1:14" x14ac:dyDescent="0.2">
      <c r="A20" s="140" t="s">
        <v>5</v>
      </c>
      <c r="B20" s="152" t="s">
        <v>492</v>
      </c>
      <c r="C20" s="152" t="s">
        <v>493</v>
      </c>
      <c r="D20" s="162" t="s">
        <v>3</v>
      </c>
      <c r="E20" s="304" t="s">
        <v>29</v>
      </c>
      <c r="F20" s="152" t="s">
        <v>492</v>
      </c>
      <c r="G20" s="152" t="s">
        <v>493</v>
      </c>
      <c r="H20" s="162" t="s">
        <v>3</v>
      </c>
      <c r="I20" s="162" t="s">
        <v>29</v>
      </c>
      <c r="J20" s="152" t="s">
        <v>492</v>
      </c>
      <c r="K20" s="152" t="s">
        <v>493</v>
      </c>
      <c r="L20" s="162" t="s">
        <v>3</v>
      </c>
      <c r="M20" s="162" t="s">
        <v>29</v>
      </c>
    </row>
    <row r="21" spans="1:14" x14ac:dyDescent="0.2">
      <c r="A21" s="947"/>
      <c r="B21" s="156"/>
      <c r="C21" s="156"/>
      <c r="D21" s="246" t="s">
        <v>4</v>
      </c>
      <c r="E21" s="156" t="s">
        <v>30</v>
      </c>
      <c r="F21" s="161"/>
      <c r="G21" s="161"/>
      <c r="H21" s="245"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372"/>
      <c r="M22" s="24"/>
    </row>
    <row r="23" spans="1:14" ht="15.75" x14ac:dyDescent="0.2">
      <c r="A23" s="753" t="s">
        <v>454</v>
      </c>
      <c r="B23" s="280"/>
      <c r="C23" s="280"/>
      <c r="D23" s="166"/>
      <c r="E23" s="11"/>
      <c r="F23" s="289"/>
      <c r="G23" s="289"/>
      <c r="H23" s="166"/>
      <c r="I23" s="365"/>
      <c r="J23" s="289"/>
      <c r="K23" s="289"/>
      <c r="L23" s="166"/>
      <c r="M23" s="23"/>
    </row>
    <row r="24" spans="1:14" ht="15.75" x14ac:dyDescent="0.2">
      <c r="A24" s="753" t="s">
        <v>455</v>
      </c>
      <c r="B24" s="280"/>
      <c r="C24" s="280"/>
      <c r="D24" s="166"/>
      <c r="E24" s="11"/>
      <c r="F24" s="289"/>
      <c r="G24" s="289"/>
      <c r="H24" s="166"/>
      <c r="I24" s="365"/>
      <c r="J24" s="289"/>
      <c r="K24" s="289"/>
      <c r="L24" s="166"/>
      <c r="M24" s="23"/>
    </row>
    <row r="25" spans="1:14" ht="15.75" x14ac:dyDescent="0.2">
      <c r="A25" s="753" t="s">
        <v>456</v>
      </c>
      <c r="B25" s="280"/>
      <c r="C25" s="280"/>
      <c r="D25" s="166"/>
      <c r="E25" s="11"/>
      <c r="F25" s="289"/>
      <c r="G25" s="289"/>
      <c r="H25" s="166"/>
      <c r="I25" s="365"/>
      <c r="J25" s="289"/>
      <c r="K25" s="289"/>
      <c r="L25" s="166"/>
      <c r="M25" s="23"/>
    </row>
    <row r="26" spans="1:14" ht="15.75" x14ac:dyDescent="0.2">
      <c r="A26" s="753" t="s">
        <v>457</v>
      </c>
      <c r="B26" s="280"/>
      <c r="C26" s="280"/>
      <c r="D26" s="166"/>
      <c r="E26" s="11"/>
      <c r="F26" s="289"/>
      <c r="G26" s="289"/>
      <c r="H26" s="166"/>
      <c r="I26" s="365"/>
      <c r="J26" s="289"/>
      <c r="K26" s="289"/>
      <c r="L26" s="166"/>
      <c r="M26" s="23"/>
    </row>
    <row r="27" spans="1:14" x14ac:dyDescent="0.2">
      <c r="A27" s="753" t="s">
        <v>11</v>
      </c>
      <c r="B27" s="280"/>
      <c r="C27" s="280"/>
      <c r="D27" s="166"/>
      <c r="E27" s="11"/>
      <c r="F27" s="289"/>
      <c r="G27" s="289"/>
      <c r="H27" s="166"/>
      <c r="I27" s="365"/>
      <c r="J27" s="289"/>
      <c r="K27" s="289"/>
      <c r="L27" s="166"/>
      <c r="M27" s="23"/>
    </row>
    <row r="28" spans="1:14" ht="15.75" x14ac:dyDescent="0.2">
      <c r="A28" s="49" t="s">
        <v>279</v>
      </c>
      <c r="B28" s="44"/>
      <c r="C28" s="286"/>
      <c r="D28" s="166"/>
      <c r="E28" s="11"/>
      <c r="F28" s="234"/>
      <c r="G28" s="286"/>
      <c r="H28" s="166"/>
      <c r="I28" s="27"/>
      <c r="J28" s="44"/>
      <c r="K28" s="44"/>
      <c r="L28" s="254"/>
      <c r="M28" s="23"/>
    </row>
    <row r="29" spans="1:14" s="3" customFormat="1" ht="15.75" x14ac:dyDescent="0.2">
      <c r="A29" s="13" t="s">
        <v>451</v>
      </c>
      <c r="B29" s="236"/>
      <c r="C29" s="236"/>
      <c r="D29" s="171"/>
      <c r="E29" s="11"/>
      <c r="F29" s="307"/>
      <c r="G29" s="307"/>
      <c r="H29" s="171"/>
      <c r="I29" s="11"/>
      <c r="J29" s="236"/>
      <c r="K29" s="236"/>
      <c r="L29" s="373"/>
      <c r="M29" s="24"/>
      <c r="N29" s="148"/>
    </row>
    <row r="30" spans="1:14" s="3" customFormat="1" ht="15.75" x14ac:dyDescent="0.2">
      <c r="A30" s="753" t="s">
        <v>454</v>
      </c>
      <c r="B30" s="280"/>
      <c r="C30" s="280"/>
      <c r="D30" s="166"/>
      <c r="E30" s="11"/>
      <c r="F30" s="289"/>
      <c r="G30" s="289"/>
      <c r="H30" s="166"/>
      <c r="I30" s="365"/>
      <c r="J30" s="289"/>
      <c r="K30" s="289"/>
      <c r="L30" s="166"/>
      <c r="M30" s="23"/>
      <c r="N30" s="148"/>
    </row>
    <row r="31" spans="1:14" s="3" customFormat="1" ht="15.75" x14ac:dyDescent="0.2">
      <c r="A31" s="753" t="s">
        <v>455</v>
      </c>
      <c r="B31" s="280"/>
      <c r="C31" s="280"/>
      <c r="D31" s="166"/>
      <c r="E31" s="11"/>
      <c r="F31" s="289"/>
      <c r="G31" s="289"/>
      <c r="H31" s="166"/>
      <c r="I31" s="365"/>
      <c r="J31" s="289"/>
      <c r="K31" s="289"/>
      <c r="L31" s="166"/>
      <c r="M31" s="23"/>
      <c r="N31" s="148"/>
    </row>
    <row r="32" spans="1:14" ht="15.75" x14ac:dyDescent="0.2">
      <c r="A32" s="753" t="s">
        <v>456</v>
      </c>
      <c r="B32" s="280"/>
      <c r="C32" s="280"/>
      <c r="D32" s="166"/>
      <c r="E32" s="11"/>
      <c r="F32" s="289"/>
      <c r="G32" s="289"/>
      <c r="H32" s="166"/>
      <c r="I32" s="365"/>
      <c r="J32" s="289"/>
      <c r="K32" s="289"/>
      <c r="L32" s="166"/>
      <c r="M32" s="23"/>
    </row>
    <row r="33" spans="1:14" ht="15.75" x14ac:dyDescent="0.2">
      <c r="A33" s="753" t="s">
        <v>457</v>
      </c>
      <c r="B33" s="280"/>
      <c r="C33" s="280"/>
      <c r="D33" s="166"/>
      <c r="E33" s="11"/>
      <c r="F33" s="289"/>
      <c r="G33" s="289"/>
      <c r="H33" s="166"/>
      <c r="I33" s="365"/>
      <c r="J33" s="289"/>
      <c r="K33" s="289"/>
      <c r="L33" s="166"/>
      <c r="M33" s="23"/>
    </row>
    <row r="34" spans="1:14" ht="15.75" x14ac:dyDescent="0.2">
      <c r="A34" s="13" t="s">
        <v>452</v>
      </c>
      <c r="B34" s="236"/>
      <c r="C34" s="308"/>
      <c r="D34" s="171"/>
      <c r="E34" s="11"/>
      <c r="F34" s="307"/>
      <c r="G34" s="308"/>
      <c r="H34" s="171"/>
      <c r="I34" s="11"/>
      <c r="J34" s="236"/>
      <c r="K34" s="236"/>
      <c r="L34" s="373"/>
      <c r="M34" s="24"/>
    </row>
    <row r="35" spans="1:14" ht="15.75" x14ac:dyDescent="0.2">
      <c r="A35" s="13" t="s">
        <v>453</v>
      </c>
      <c r="B35" s="236"/>
      <c r="C35" s="308"/>
      <c r="D35" s="171"/>
      <c r="E35" s="11"/>
      <c r="F35" s="307"/>
      <c r="G35" s="308"/>
      <c r="H35" s="171"/>
      <c r="I35" s="11"/>
      <c r="J35" s="236"/>
      <c r="K35" s="236"/>
      <c r="L35" s="373"/>
      <c r="M35" s="24"/>
    </row>
    <row r="36" spans="1:14" ht="15.75" x14ac:dyDescent="0.2">
      <c r="A36" s="12" t="s">
        <v>287</v>
      </c>
      <c r="B36" s="236"/>
      <c r="C36" s="308"/>
      <c r="D36" s="171"/>
      <c r="E36" s="11"/>
      <c r="F36" s="318"/>
      <c r="G36" s="319"/>
      <c r="H36" s="171"/>
      <c r="I36" s="379"/>
      <c r="J36" s="236"/>
      <c r="K36" s="236"/>
      <c r="L36" s="373"/>
      <c r="M36" s="24"/>
    </row>
    <row r="37" spans="1:14" ht="15.75" x14ac:dyDescent="0.2">
      <c r="A37" s="12" t="s">
        <v>459</v>
      </c>
      <c r="B37" s="236"/>
      <c r="C37" s="308"/>
      <c r="D37" s="171"/>
      <c r="E37" s="11"/>
      <c r="F37" s="318"/>
      <c r="G37" s="320"/>
      <c r="H37" s="171"/>
      <c r="I37" s="379"/>
      <c r="J37" s="236"/>
      <c r="K37" s="236"/>
      <c r="L37" s="373"/>
      <c r="M37" s="24"/>
    </row>
    <row r="38" spans="1:14" ht="15.75" x14ac:dyDescent="0.2">
      <c r="A38" s="12" t="s">
        <v>460</v>
      </c>
      <c r="B38" s="236"/>
      <c r="C38" s="308"/>
      <c r="D38" s="171"/>
      <c r="E38" s="24"/>
      <c r="F38" s="318"/>
      <c r="G38" s="319"/>
      <c r="H38" s="171"/>
      <c r="I38" s="379"/>
      <c r="J38" s="236"/>
      <c r="K38" s="236"/>
      <c r="L38" s="373"/>
      <c r="M38" s="24"/>
    </row>
    <row r="39" spans="1:14" ht="15.75" x14ac:dyDescent="0.2">
      <c r="A39" s="18" t="s">
        <v>461</v>
      </c>
      <c r="B39" s="275"/>
      <c r="C39" s="314"/>
      <c r="D39" s="169"/>
      <c r="E39" s="36"/>
      <c r="F39" s="321"/>
      <c r="G39" s="322"/>
      <c r="H39" s="169"/>
      <c r="I39" s="36"/>
      <c r="J39" s="236"/>
      <c r="K39" s="236"/>
      <c r="L39" s="374"/>
      <c r="M39" s="36"/>
    </row>
    <row r="40" spans="1:14" ht="15.75" x14ac:dyDescent="0.25">
      <c r="A40" s="47"/>
      <c r="B40" s="253"/>
      <c r="C40" s="253"/>
      <c r="D40" s="976"/>
      <c r="E40" s="976"/>
      <c r="F40" s="976"/>
      <c r="G40" s="976"/>
      <c r="H40" s="976"/>
      <c r="I40" s="976"/>
      <c r="J40" s="976"/>
      <c r="K40" s="976"/>
      <c r="L40" s="976"/>
      <c r="M40" s="301"/>
    </row>
    <row r="41" spans="1:14" x14ac:dyDescent="0.2">
      <c r="A41" s="155"/>
    </row>
    <row r="42" spans="1:14" ht="15.75" x14ac:dyDescent="0.25">
      <c r="A42" s="147" t="s">
        <v>276</v>
      </c>
      <c r="B42" s="972"/>
      <c r="C42" s="972"/>
      <c r="D42" s="972"/>
      <c r="E42" s="298"/>
      <c r="F42" s="977"/>
      <c r="G42" s="977"/>
      <c r="H42" s="977"/>
      <c r="I42" s="301"/>
      <c r="J42" s="977"/>
      <c r="K42" s="977"/>
      <c r="L42" s="977"/>
      <c r="M42" s="301"/>
    </row>
    <row r="43" spans="1:14" ht="15.75" x14ac:dyDescent="0.25">
      <c r="A43" s="163"/>
      <c r="B43" s="302"/>
      <c r="C43" s="302"/>
      <c r="D43" s="302"/>
      <c r="E43" s="302"/>
      <c r="F43" s="301"/>
      <c r="G43" s="301"/>
      <c r="H43" s="301"/>
      <c r="I43" s="301"/>
      <c r="J43" s="301"/>
      <c r="K43" s="301"/>
      <c r="L43" s="301"/>
      <c r="M43" s="301"/>
    </row>
    <row r="44" spans="1:14" ht="15.75" x14ac:dyDescent="0.25">
      <c r="A44" s="247"/>
      <c r="B44" s="973" t="s">
        <v>0</v>
      </c>
      <c r="C44" s="974"/>
      <c r="D44" s="974"/>
      <c r="E44" s="243"/>
      <c r="F44" s="301"/>
      <c r="G44" s="301"/>
      <c r="H44" s="301"/>
      <c r="I44" s="301"/>
      <c r="J44" s="301"/>
      <c r="K44" s="301"/>
      <c r="L44" s="301"/>
      <c r="M44" s="301"/>
    </row>
    <row r="45" spans="1:14" s="3" customFormat="1" x14ac:dyDescent="0.2">
      <c r="A45" s="140"/>
      <c r="B45" s="152" t="s">
        <v>492</v>
      </c>
      <c r="C45" s="152" t="s">
        <v>493</v>
      </c>
      <c r="D45" s="162" t="s">
        <v>3</v>
      </c>
      <c r="E45" s="162" t="s">
        <v>29</v>
      </c>
      <c r="F45" s="174"/>
      <c r="G45" s="174"/>
      <c r="H45" s="173"/>
      <c r="I45" s="173"/>
      <c r="J45" s="174"/>
      <c r="K45" s="174"/>
      <c r="L45" s="173"/>
      <c r="M45" s="173"/>
      <c r="N45" s="148"/>
    </row>
    <row r="46" spans="1:14" s="3" customFormat="1" x14ac:dyDescent="0.2">
      <c r="A46" s="947"/>
      <c r="B46" s="244"/>
      <c r="C46" s="244"/>
      <c r="D46" s="245" t="s">
        <v>4</v>
      </c>
      <c r="E46" s="156" t="s">
        <v>30</v>
      </c>
      <c r="F46" s="173"/>
      <c r="G46" s="173"/>
      <c r="H46" s="173"/>
      <c r="I46" s="173"/>
      <c r="J46" s="173"/>
      <c r="K46" s="173"/>
      <c r="L46" s="173"/>
      <c r="M46" s="173"/>
      <c r="N46" s="148"/>
    </row>
    <row r="47" spans="1:14" s="3" customFormat="1" ht="15.75" x14ac:dyDescent="0.2">
      <c r="A47" s="14" t="s">
        <v>23</v>
      </c>
      <c r="B47" s="309"/>
      <c r="C47" s="310"/>
      <c r="D47" s="372"/>
      <c r="E47" s="11"/>
      <c r="F47" s="145"/>
      <c r="G47" s="33"/>
      <c r="H47" s="159"/>
      <c r="I47" s="159"/>
      <c r="J47" s="37"/>
      <c r="K47" s="37"/>
      <c r="L47" s="159"/>
      <c r="M47" s="159"/>
      <c r="N47" s="148"/>
    </row>
    <row r="48" spans="1:14" s="3" customFormat="1" ht="15.75" x14ac:dyDescent="0.2">
      <c r="A48" s="38" t="s">
        <v>462</v>
      </c>
      <c r="B48" s="280"/>
      <c r="C48" s="281"/>
      <c r="D48" s="254"/>
      <c r="E48" s="27"/>
      <c r="F48" s="145"/>
      <c r="G48" s="33"/>
      <c r="H48" s="145"/>
      <c r="I48" s="145"/>
      <c r="J48" s="33"/>
      <c r="K48" s="33"/>
      <c r="L48" s="159"/>
      <c r="M48" s="159"/>
      <c r="N48" s="148"/>
    </row>
    <row r="49" spans="1:14" s="3" customFormat="1" ht="15.75" x14ac:dyDescent="0.2">
      <c r="A49" s="38" t="s">
        <v>463</v>
      </c>
      <c r="B49" s="44"/>
      <c r="C49" s="286"/>
      <c r="D49" s="254"/>
      <c r="E49" s="27"/>
      <c r="F49" s="145"/>
      <c r="G49" s="33"/>
      <c r="H49" s="145"/>
      <c r="I49" s="145"/>
      <c r="J49" s="37"/>
      <c r="K49" s="37"/>
      <c r="L49" s="159"/>
      <c r="M49" s="159"/>
      <c r="N49" s="148"/>
    </row>
    <row r="50" spans="1:14" s="3" customFormat="1" x14ac:dyDescent="0.2">
      <c r="A50" s="295" t="s">
        <v>6</v>
      </c>
      <c r="B50" s="289"/>
      <c r="C50" s="290"/>
      <c r="D50" s="254"/>
      <c r="E50" s="23"/>
      <c r="F50" s="145"/>
      <c r="G50" s="33"/>
      <c r="H50" s="145"/>
      <c r="I50" s="145"/>
      <c r="J50" s="33"/>
      <c r="K50" s="33"/>
      <c r="L50" s="159"/>
      <c r="M50" s="159"/>
      <c r="N50" s="148"/>
    </row>
    <row r="51" spans="1:14" s="3" customFormat="1" x14ac:dyDescent="0.2">
      <c r="A51" s="295" t="s">
        <v>7</v>
      </c>
      <c r="B51" s="289"/>
      <c r="C51" s="290"/>
      <c r="D51" s="254"/>
      <c r="E51" s="23"/>
      <c r="F51" s="145"/>
      <c r="G51" s="33"/>
      <c r="H51" s="145"/>
      <c r="I51" s="145"/>
      <c r="J51" s="33"/>
      <c r="K51" s="33"/>
      <c r="L51" s="159"/>
      <c r="M51" s="159"/>
      <c r="N51" s="148"/>
    </row>
    <row r="52" spans="1:14" s="3" customFormat="1" x14ac:dyDescent="0.2">
      <c r="A52" s="295" t="s">
        <v>8</v>
      </c>
      <c r="B52" s="289"/>
      <c r="C52" s="290"/>
      <c r="D52" s="254"/>
      <c r="E52" s="23"/>
      <c r="F52" s="145"/>
      <c r="G52" s="33"/>
      <c r="H52" s="145"/>
      <c r="I52" s="145"/>
      <c r="J52" s="33"/>
      <c r="K52" s="33"/>
      <c r="L52" s="159"/>
      <c r="M52" s="159"/>
      <c r="N52" s="148"/>
    </row>
    <row r="53" spans="1:14" s="3" customFormat="1" ht="15.75" x14ac:dyDescent="0.2">
      <c r="A53" s="39" t="s">
        <v>464</v>
      </c>
      <c r="B53" s="309"/>
      <c r="C53" s="310"/>
      <c r="D53" s="373"/>
      <c r="E53" s="11"/>
      <c r="F53" s="145"/>
      <c r="G53" s="33"/>
      <c r="H53" s="145"/>
      <c r="I53" s="145"/>
      <c r="J53" s="33"/>
      <c r="K53" s="33"/>
      <c r="L53" s="159"/>
      <c r="M53" s="159"/>
      <c r="N53" s="148"/>
    </row>
    <row r="54" spans="1:14" s="3" customFormat="1" ht="15.75" x14ac:dyDescent="0.2">
      <c r="A54" s="38" t="s">
        <v>462</v>
      </c>
      <c r="B54" s="280"/>
      <c r="C54" s="281"/>
      <c r="D54" s="254"/>
      <c r="E54" s="27"/>
      <c r="F54" s="145"/>
      <c r="G54" s="33"/>
      <c r="H54" s="145"/>
      <c r="I54" s="145"/>
      <c r="J54" s="33"/>
      <c r="K54" s="33"/>
      <c r="L54" s="159"/>
      <c r="M54" s="159"/>
      <c r="N54" s="148"/>
    </row>
    <row r="55" spans="1:14" s="3" customFormat="1" ht="15.75" x14ac:dyDescent="0.2">
      <c r="A55" s="38" t="s">
        <v>463</v>
      </c>
      <c r="B55" s="280"/>
      <c r="C55" s="281"/>
      <c r="D55" s="254"/>
      <c r="E55" s="27"/>
      <c r="F55" s="145"/>
      <c r="G55" s="33"/>
      <c r="H55" s="145"/>
      <c r="I55" s="145"/>
      <c r="J55" s="33"/>
      <c r="K55" s="33"/>
      <c r="L55" s="159"/>
      <c r="M55" s="159"/>
      <c r="N55" s="148"/>
    </row>
    <row r="56" spans="1:14" s="3" customFormat="1" ht="15.75" x14ac:dyDescent="0.2">
      <c r="A56" s="39" t="s">
        <v>465</v>
      </c>
      <c r="B56" s="309"/>
      <c r="C56" s="310"/>
      <c r="D56" s="373"/>
      <c r="E56" s="11"/>
      <c r="F56" s="145"/>
      <c r="G56" s="33"/>
      <c r="H56" s="145"/>
      <c r="I56" s="145"/>
      <c r="J56" s="33"/>
      <c r="K56" s="33"/>
      <c r="L56" s="159"/>
      <c r="M56" s="159"/>
      <c r="N56" s="148"/>
    </row>
    <row r="57" spans="1:14" s="3" customFormat="1" ht="15.75" x14ac:dyDescent="0.2">
      <c r="A57" s="38" t="s">
        <v>462</v>
      </c>
      <c r="B57" s="280"/>
      <c r="C57" s="281"/>
      <c r="D57" s="254"/>
      <c r="E57" s="27"/>
      <c r="F57" s="145"/>
      <c r="G57" s="33"/>
      <c r="H57" s="145"/>
      <c r="I57" s="145"/>
      <c r="J57" s="33"/>
      <c r="K57" s="33"/>
      <c r="L57" s="159"/>
      <c r="M57" s="159"/>
      <c r="N57" s="148"/>
    </row>
    <row r="58" spans="1:14" s="3" customFormat="1" ht="15.75" x14ac:dyDescent="0.2">
      <c r="A58" s="46" t="s">
        <v>463</v>
      </c>
      <c r="B58" s="282"/>
      <c r="C58" s="283"/>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975"/>
      <c r="C62" s="975"/>
      <c r="D62" s="975"/>
      <c r="E62" s="298"/>
      <c r="F62" s="975"/>
      <c r="G62" s="975"/>
      <c r="H62" s="975"/>
      <c r="I62" s="298"/>
      <c r="J62" s="975"/>
      <c r="K62" s="975"/>
      <c r="L62" s="975"/>
      <c r="M62" s="298"/>
    </row>
    <row r="63" spans="1:14" x14ac:dyDescent="0.2">
      <c r="A63" s="144"/>
      <c r="B63" s="973" t="s">
        <v>0</v>
      </c>
      <c r="C63" s="974"/>
      <c r="D63" s="978"/>
      <c r="E63" s="299"/>
      <c r="F63" s="974" t="s">
        <v>1</v>
      </c>
      <c r="G63" s="974"/>
      <c r="H63" s="974"/>
      <c r="I63" s="303"/>
      <c r="J63" s="973" t="s">
        <v>2</v>
      </c>
      <c r="K63" s="974"/>
      <c r="L63" s="974"/>
      <c r="M63" s="303"/>
    </row>
    <row r="64" spans="1:14" x14ac:dyDescent="0.2">
      <c r="A64" s="140"/>
      <c r="B64" s="152" t="s">
        <v>492</v>
      </c>
      <c r="C64" s="152" t="s">
        <v>493</v>
      </c>
      <c r="D64" s="245" t="s">
        <v>3</v>
      </c>
      <c r="E64" s="304" t="s">
        <v>29</v>
      </c>
      <c r="F64" s="152" t="s">
        <v>492</v>
      </c>
      <c r="G64" s="152" t="s">
        <v>493</v>
      </c>
      <c r="H64" s="245" t="s">
        <v>3</v>
      </c>
      <c r="I64" s="304" t="s">
        <v>29</v>
      </c>
      <c r="J64" s="152" t="s">
        <v>492</v>
      </c>
      <c r="K64" s="152" t="s">
        <v>493</v>
      </c>
      <c r="L64" s="245" t="s">
        <v>3</v>
      </c>
      <c r="M64" s="162" t="s">
        <v>29</v>
      </c>
    </row>
    <row r="65" spans="1:14" x14ac:dyDescent="0.2">
      <c r="A65" s="947"/>
      <c r="B65" s="156"/>
      <c r="C65" s="156"/>
      <c r="D65" s="246" t="s">
        <v>4</v>
      </c>
      <c r="E65" s="156" t="s">
        <v>30</v>
      </c>
      <c r="F65" s="161"/>
      <c r="G65" s="161"/>
      <c r="H65" s="245" t="s">
        <v>4</v>
      </c>
      <c r="I65" s="156" t="s">
        <v>30</v>
      </c>
      <c r="J65" s="161"/>
      <c r="K65" s="206"/>
      <c r="L65" s="156" t="s">
        <v>4</v>
      </c>
      <c r="M65" s="156" t="s">
        <v>30</v>
      </c>
    </row>
    <row r="66" spans="1:14" ht="15.75" x14ac:dyDescent="0.2">
      <c r="A66" s="14" t="s">
        <v>23</v>
      </c>
      <c r="B66" s="352">
        <v>89195</v>
      </c>
      <c r="C66" s="352">
        <v>96824</v>
      </c>
      <c r="D66" s="349">
        <f t="shared" ref="D66:D111" si="0">IF(B66=0, "    ---- ", IF(ABS(ROUND(100/B66*C66-100,1))&lt;999,ROUND(100/B66*C66-100,1),IF(ROUND(100/B66*C66-100,1)&gt;999,999,-999)))</f>
        <v>8.6</v>
      </c>
      <c r="E66" s="11">
        <f>IFERROR(100/'Skjema total MA'!C66*C66,0)</f>
        <v>1.0991527422485856</v>
      </c>
      <c r="F66" s="351">
        <v>432767</v>
      </c>
      <c r="G66" s="351">
        <v>542528</v>
      </c>
      <c r="H66" s="349">
        <f t="shared" ref="H66:H111" si="1">IF(F66=0, "    ---- ", IF(ABS(ROUND(100/F66*G66-100,1))&lt;999,ROUND(100/F66*G66-100,1),IF(ROUND(100/F66*G66-100,1)&gt;999,999,-999)))</f>
        <v>25.4</v>
      </c>
      <c r="I66" s="11">
        <f>IFERROR(100/'Skjema total MA'!F66*G66,0)</f>
        <v>1.6801936664874149</v>
      </c>
      <c r="J66" s="308">
        <f t="shared" ref="J66:K79" si="2">SUM(B66,F66)</f>
        <v>521962</v>
      </c>
      <c r="K66" s="315">
        <f t="shared" si="2"/>
        <v>639352</v>
      </c>
      <c r="L66" s="373">
        <f t="shared" ref="L66:L111" si="3">IF(J66=0, "    ---- ", IF(ABS(ROUND(100/J66*K66-100,1))&lt;999,ROUND(100/J66*K66-100,1),IF(ROUND(100/J66*K66-100,1)&gt;999,999,-999)))</f>
        <v>22.5</v>
      </c>
      <c r="M66" s="11">
        <f>IFERROR(100/'Skjema total MA'!I66*K66,0)</f>
        <v>1.5556548023407282</v>
      </c>
    </row>
    <row r="67" spans="1:14" x14ac:dyDescent="0.2">
      <c r="A67" s="367" t="s">
        <v>9</v>
      </c>
      <c r="B67" s="44">
        <v>89195</v>
      </c>
      <c r="C67" s="145">
        <v>96824</v>
      </c>
      <c r="D67" s="166">
        <f t="shared" si="0"/>
        <v>8.6</v>
      </c>
      <c r="E67" s="27">
        <f>IFERROR(100/'Skjema total MA'!C67*C67,0)</f>
        <v>1.4593754495565876</v>
      </c>
      <c r="F67" s="234"/>
      <c r="G67" s="145"/>
      <c r="H67" s="166"/>
      <c r="I67" s="27"/>
      <c r="J67" s="286">
        <f t="shared" si="2"/>
        <v>89195</v>
      </c>
      <c r="K67" s="44">
        <f t="shared" si="2"/>
        <v>96824</v>
      </c>
      <c r="L67" s="254">
        <f t="shared" si="3"/>
        <v>8.6</v>
      </c>
      <c r="M67" s="27">
        <f>IFERROR(100/'Skjema total MA'!I67*K67,0)</f>
        <v>1.4593754495565876</v>
      </c>
    </row>
    <row r="68" spans="1:14" x14ac:dyDescent="0.2">
      <c r="A68" s="21" t="s">
        <v>10</v>
      </c>
      <c r="B68" s="291"/>
      <c r="C68" s="292"/>
      <c r="D68" s="166"/>
      <c r="E68" s="27"/>
      <c r="F68" s="291">
        <v>432767</v>
      </c>
      <c r="G68" s="292">
        <v>542528</v>
      </c>
      <c r="H68" s="166">
        <f t="shared" si="1"/>
        <v>25.4</v>
      </c>
      <c r="I68" s="27">
        <f>IFERROR(100/'Skjema total MA'!F68*G68,0)</f>
        <v>1.7032787016313655</v>
      </c>
      <c r="J68" s="286">
        <f t="shared" si="2"/>
        <v>432767</v>
      </c>
      <c r="K68" s="44">
        <f t="shared" si="2"/>
        <v>542528</v>
      </c>
      <c r="L68" s="254">
        <f t="shared" si="3"/>
        <v>25.4</v>
      </c>
      <c r="M68" s="27">
        <f>IFERROR(100/'Skjema total MA'!I68*K68,0)</f>
        <v>1.6955068240669402</v>
      </c>
    </row>
    <row r="69" spans="1:14" ht="15.75" x14ac:dyDescent="0.2">
      <c r="A69" s="295" t="s">
        <v>466</v>
      </c>
      <c r="B69" s="280"/>
      <c r="C69" s="280"/>
      <c r="D69" s="166"/>
      <c r="E69" s="365"/>
      <c r="F69" s="280"/>
      <c r="G69" s="280"/>
      <c r="H69" s="166"/>
      <c r="I69" s="365"/>
      <c r="J69" s="289"/>
      <c r="K69" s="289"/>
      <c r="L69" s="166"/>
      <c r="M69" s="23"/>
    </row>
    <row r="70" spans="1:14" x14ac:dyDescent="0.2">
      <c r="A70" s="295" t="s">
        <v>12</v>
      </c>
      <c r="B70" s="293"/>
      <c r="C70" s="294"/>
      <c r="D70" s="166"/>
      <c r="E70" s="365"/>
      <c r="F70" s="280"/>
      <c r="G70" s="280"/>
      <c r="H70" s="166"/>
      <c r="I70" s="365"/>
      <c r="J70" s="289"/>
      <c r="K70" s="289"/>
      <c r="L70" s="166"/>
      <c r="M70" s="23"/>
    </row>
    <row r="71" spans="1:14" x14ac:dyDescent="0.2">
      <c r="A71" s="295" t="s">
        <v>13</v>
      </c>
      <c r="B71" s="235"/>
      <c r="C71" s="288"/>
      <c r="D71" s="166"/>
      <c r="E71" s="365"/>
      <c r="F71" s="280"/>
      <c r="G71" s="280"/>
      <c r="H71" s="166"/>
      <c r="I71" s="365"/>
      <c r="J71" s="289"/>
      <c r="K71" s="289"/>
      <c r="L71" s="166"/>
      <c r="M71" s="23"/>
    </row>
    <row r="72" spans="1:14" ht="15.75" x14ac:dyDescent="0.2">
      <c r="A72" s="295" t="s">
        <v>467</v>
      </c>
      <c r="B72" s="280"/>
      <c r="C72" s="280"/>
      <c r="D72" s="166"/>
      <c r="E72" s="365"/>
      <c r="F72" s="280">
        <v>432767</v>
      </c>
      <c r="G72" s="280">
        <v>542528</v>
      </c>
      <c r="H72" s="166">
        <f t="shared" si="1"/>
        <v>25.4</v>
      </c>
      <c r="I72" s="365">
        <f>IFERROR(100/'Skjema total MA'!F72*G72,0)</f>
        <v>1.7034893593019373</v>
      </c>
      <c r="J72" s="286">
        <f t="shared" ref="J72" si="4">SUM(B72,F72)</f>
        <v>432767</v>
      </c>
      <c r="K72" s="44">
        <f t="shared" ref="K72" si="5">SUM(C72,G72)</f>
        <v>542528</v>
      </c>
      <c r="L72" s="166">
        <f t="shared" ref="L72" si="6">IF(J72=0, "    ---- ", IF(ABS(ROUND(100/J72*K72-100,1))&lt;999,ROUND(100/J72*K72-100,1),IF(ROUND(100/J72*K72-100,1)&gt;999,999,-999)))</f>
        <v>25.4</v>
      </c>
      <c r="M72" s="23">
        <f>IFERROR(100/'Skjema total MA'!I72*K72,0)</f>
        <v>1.6963710148926761</v>
      </c>
    </row>
    <row r="73" spans="1:14" x14ac:dyDescent="0.2">
      <c r="A73" s="295" t="s">
        <v>12</v>
      </c>
      <c r="B73" s="235"/>
      <c r="C73" s="288"/>
      <c r="D73" s="166"/>
      <c r="E73" s="365"/>
      <c r="F73" s="280"/>
      <c r="G73" s="280"/>
      <c r="H73" s="166"/>
      <c r="I73" s="365"/>
      <c r="J73" s="289"/>
      <c r="K73" s="289"/>
      <c r="L73" s="166"/>
      <c r="M73" s="23"/>
    </row>
    <row r="74" spans="1:14" s="3" customFormat="1" x14ac:dyDescent="0.2">
      <c r="A74" s="295" t="s">
        <v>13</v>
      </c>
      <c r="B74" s="235"/>
      <c r="C74" s="288"/>
      <c r="D74" s="166"/>
      <c r="E74" s="365"/>
      <c r="F74" s="280">
        <v>432767</v>
      </c>
      <c r="G74" s="280">
        <v>542528</v>
      </c>
      <c r="H74" s="166">
        <f t="shared" si="1"/>
        <v>25.4</v>
      </c>
      <c r="I74" s="365">
        <f>IFERROR(100/'Skjema total MA'!F74*G74,0)</f>
        <v>1.70407071820655</v>
      </c>
      <c r="J74" s="286">
        <f t="shared" ref="J74" si="7">SUM(B74,F74)</f>
        <v>432767</v>
      </c>
      <c r="K74" s="44">
        <f t="shared" ref="K74" si="8">SUM(C74,G74)</f>
        <v>542528</v>
      </c>
      <c r="L74" s="166">
        <f t="shared" ref="L74" si="9">IF(J74=0, "    ---- ", IF(ABS(ROUND(100/J74*K74-100,1))&lt;999,ROUND(100/J74*K74-100,1),IF(ROUND(100/J74*K74-100,1)&gt;999,999,-999)))</f>
        <v>25.4</v>
      </c>
      <c r="M74" s="23">
        <f>IFERROR(100/'Skjema total MA'!I74*K74,0)</f>
        <v>1.70407071820655</v>
      </c>
      <c r="N74" s="148"/>
    </row>
    <row r="75" spans="1:14" s="3" customFormat="1" x14ac:dyDescent="0.2">
      <c r="A75" s="21" t="s">
        <v>353</v>
      </c>
      <c r="B75" s="234"/>
      <c r="C75" s="145"/>
      <c r="D75" s="166"/>
      <c r="E75" s="27"/>
      <c r="F75" s="234"/>
      <c r="G75" s="145"/>
      <c r="H75" s="166"/>
      <c r="I75" s="27"/>
      <c r="J75" s="286"/>
      <c r="K75" s="44"/>
      <c r="L75" s="254"/>
      <c r="M75" s="27"/>
      <c r="N75" s="148"/>
    </row>
    <row r="76" spans="1:14" s="3" customFormat="1" x14ac:dyDescent="0.2">
      <c r="A76" s="21" t="s">
        <v>352</v>
      </c>
      <c r="B76" s="234"/>
      <c r="C76" s="145"/>
      <c r="D76" s="166"/>
      <c r="E76" s="27"/>
      <c r="F76" s="234"/>
      <c r="G76" s="145"/>
      <c r="H76" s="166"/>
      <c r="I76" s="27"/>
      <c r="J76" s="286"/>
      <c r="K76" s="44"/>
      <c r="L76" s="254"/>
      <c r="M76" s="27"/>
      <c r="N76" s="148"/>
    </row>
    <row r="77" spans="1:14" ht="15.75" x14ac:dyDescent="0.2">
      <c r="A77" s="21" t="s">
        <v>468</v>
      </c>
      <c r="B77" s="234">
        <v>89195</v>
      </c>
      <c r="C77" s="234">
        <v>96824</v>
      </c>
      <c r="D77" s="166">
        <f t="shared" si="0"/>
        <v>8.6</v>
      </c>
      <c r="E77" s="27">
        <f>IFERROR(100/'Skjema total MA'!C77*C77,0)</f>
        <v>1.4573020228953431</v>
      </c>
      <c r="F77" s="234">
        <v>432767</v>
      </c>
      <c r="G77" s="145">
        <v>542528</v>
      </c>
      <c r="H77" s="166">
        <f t="shared" si="1"/>
        <v>25.4</v>
      </c>
      <c r="I77" s="27">
        <f>IFERROR(100/'Skjema total MA'!F77*G77,0)</f>
        <v>1.7040034370949459</v>
      </c>
      <c r="J77" s="286">
        <f t="shared" si="2"/>
        <v>521962</v>
      </c>
      <c r="K77" s="44">
        <f t="shared" si="2"/>
        <v>639352</v>
      </c>
      <c r="L77" s="254">
        <f t="shared" si="3"/>
        <v>22.5</v>
      </c>
      <c r="M77" s="27">
        <f>IFERROR(100/'Skjema total MA'!I77*K77,0)</f>
        <v>1.6614100768220759</v>
      </c>
    </row>
    <row r="78" spans="1:14" x14ac:dyDescent="0.2">
      <c r="A78" s="21" t="s">
        <v>9</v>
      </c>
      <c r="B78" s="234">
        <v>89195</v>
      </c>
      <c r="C78" s="145">
        <v>96824</v>
      </c>
      <c r="D78" s="166">
        <f t="shared" si="0"/>
        <v>8.6</v>
      </c>
      <c r="E78" s="27">
        <f>IFERROR(100/'Skjema total MA'!C78*C78,0)</f>
        <v>1.489141782543252</v>
      </c>
      <c r="F78" s="234"/>
      <c r="G78" s="145"/>
      <c r="H78" s="166"/>
      <c r="I78" s="27"/>
      <c r="J78" s="286">
        <f t="shared" si="2"/>
        <v>89195</v>
      </c>
      <c r="K78" s="44">
        <f t="shared" si="2"/>
        <v>96824</v>
      </c>
      <c r="L78" s="254">
        <f t="shared" si="3"/>
        <v>8.6</v>
      </c>
      <c r="M78" s="27">
        <f>IFERROR(100/'Skjema total MA'!I78*K78,0)</f>
        <v>1.489141782543252</v>
      </c>
    </row>
    <row r="79" spans="1:14" x14ac:dyDescent="0.2">
      <c r="A79" s="21" t="s">
        <v>10</v>
      </c>
      <c r="B79" s="291"/>
      <c r="C79" s="292"/>
      <c r="D79" s="166"/>
      <c r="E79" s="27"/>
      <c r="F79" s="291">
        <v>432767</v>
      </c>
      <c r="G79" s="292">
        <v>542528</v>
      </c>
      <c r="H79" s="166">
        <f t="shared" si="1"/>
        <v>25.4</v>
      </c>
      <c r="I79" s="27">
        <f>IFERROR(100/'Skjema total MA'!F79*G79,0)</f>
        <v>1.7040034370949459</v>
      </c>
      <c r="J79" s="286">
        <f t="shared" si="2"/>
        <v>432767</v>
      </c>
      <c r="K79" s="44">
        <f t="shared" si="2"/>
        <v>542528</v>
      </c>
      <c r="L79" s="254">
        <f t="shared" si="3"/>
        <v>25.4</v>
      </c>
      <c r="M79" s="27">
        <f>IFERROR(100/'Skjema total MA'!I79*K79,0)</f>
        <v>1.6964341930012006</v>
      </c>
    </row>
    <row r="80" spans="1:14" ht="15.75" x14ac:dyDescent="0.2">
      <c r="A80" s="295" t="s">
        <v>466</v>
      </c>
      <c r="B80" s="280"/>
      <c r="C80" s="280"/>
      <c r="D80" s="166"/>
      <c r="E80" s="365"/>
      <c r="F80" s="280"/>
      <c r="G80" s="280"/>
      <c r="H80" s="166"/>
      <c r="I80" s="365"/>
      <c r="J80" s="289"/>
      <c r="K80" s="289"/>
      <c r="L80" s="166"/>
      <c r="M80" s="23"/>
    </row>
    <row r="81" spans="1:13" x14ac:dyDescent="0.2">
      <c r="A81" s="295" t="s">
        <v>12</v>
      </c>
      <c r="B81" s="235"/>
      <c r="C81" s="288"/>
      <c r="D81" s="166"/>
      <c r="E81" s="365"/>
      <c r="F81" s="280"/>
      <c r="G81" s="280"/>
      <c r="H81" s="166"/>
      <c r="I81" s="365"/>
      <c r="J81" s="289"/>
      <c r="K81" s="289"/>
      <c r="L81" s="166"/>
      <c r="M81" s="23"/>
    </row>
    <row r="82" spans="1:13" x14ac:dyDescent="0.2">
      <c r="A82" s="295" t="s">
        <v>13</v>
      </c>
      <c r="B82" s="235"/>
      <c r="C82" s="288"/>
      <c r="D82" s="166"/>
      <c r="E82" s="365"/>
      <c r="F82" s="280"/>
      <c r="G82" s="280"/>
      <c r="H82" s="166"/>
      <c r="I82" s="365"/>
      <c r="J82" s="289"/>
      <c r="K82" s="289"/>
      <c r="L82" s="166"/>
      <c r="M82" s="23"/>
    </row>
    <row r="83" spans="1:13" ht="15.75" x14ac:dyDescent="0.2">
      <c r="A83" s="295" t="s">
        <v>467</v>
      </c>
      <c r="B83" s="280"/>
      <c r="C83" s="280"/>
      <c r="D83" s="166"/>
      <c r="E83" s="365"/>
      <c r="F83" s="280">
        <v>432767</v>
      </c>
      <c r="G83" s="280">
        <v>542528</v>
      </c>
      <c r="H83" s="166">
        <f t="shared" ref="H83" si="10">IF(F83=0, "    ---- ", IF(ABS(ROUND(100/F83*G83-100,1))&lt;999,ROUND(100/F83*G83-100,1),IF(ROUND(100/F83*G83-100,1)&gt;999,999,-999)))</f>
        <v>25.4</v>
      </c>
      <c r="I83" s="365">
        <f>IFERROR(100/'Skjema total MA'!F83*G83,0)</f>
        <v>1.7040034370949459</v>
      </c>
      <c r="J83" s="286">
        <f t="shared" ref="J83" si="11">SUM(B83,F83)</f>
        <v>432767</v>
      </c>
      <c r="K83" s="44">
        <f t="shared" ref="K83" si="12">SUM(C83,G83)</f>
        <v>542528</v>
      </c>
      <c r="L83" s="166">
        <f t="shared" ref="L83" si="13">IF(J83=0, "    ---- ", IF(ABS(ROUND(100/J83*K83-100,1))&lt;999,ROUND(100/J83*K83-100,1),IF(ROUND(100/J83*K83-100,1)&gt;999,999,-999)))</f>
        <v>25.4</v>
      </c>
      <c r="M83" s="23">
        <f>IFERROR(100/'Skjema total MA'!I83*K83,0)</f>
        <v>1.6964341930012006</v>
      </c>
    </row>
    <row r="84" spans="1:13" x14ac:dyDescent="0.2">
      <c r="A84" s="295" t="s">
        <v>12</v>
      </c>
      <c r="B84" s="235"/>
      <c r="C84" s="288"/>
      <c r="D84" s="166"/>
      <c r="E84" s="365"/>
      <c r="F84" s="280"/>
      <c r="G84" s="280"/>
      <c r="H84" s="166"/>
      <c r="I84" s="365"/>
      <c r="J84" s="289"/>
      <c r="K84" s="289"/>
      <c r="L84" s="166"/>
      <c r="M84" s="23"/>
    </row>
    <row r="85" spans="1:13" x14ac:dyDescent="0.2">
      <c r="A85" s="295" t="s">
        <v>13</v>
      </c>
      <c r="B85" s="235"/>
      <c r="C85" s="288"/>
      <c r="D85" s="166"/>
      <c r="E85" s="365"/>
      <c r="F85" s="280">
        <v>432767</v>
      </c>
      <c r="G85" s="280">
        <v>542528</v>
      </c>
      <c r="H85" s="166">
        <f t="shared" ref="H85" si="14">IF(F85=0, "    ---- ", IF(ABS(ROUND(100/F85*G85-100,1))&lt;999,ROUND(100/F85*G85-100,1),IF(ROUND(100/F85*G85-100,1)&gt;999,999,-999)))</f>
        <v>25.4</v>
      </c>
      <c r="I85" s="365">
        <f>IFERROR(100/'Skjema total MA'!F85*G85,0)</f>
        <v>1.7045851469965574</v>
      </c>
      <c r="J85" s="286">
        <f t="shared" ref="J85" si="15">SUM(B85,F85)</f>
        <v>432767</v>
      </c>
      <c r="K85" s="44">
        <f t="shared" ref="K85" si="16">SUM(C85,G85)</f>
        <v>542528</v>
      </c>
      <c r="L85" s="166">
        <f t="shared" ref="L85" si="17">IF(J85=0, "    ---- ", IF(ABS(ROUND(100/J85*K85-100,1))&lt;999,ROUND(100/J85*K85-100,1),IF(ROUND(100/J85*K85-100,1)&gt;999,999,-999)))</f>
        <v>25.4</v>
      </c>
      <c r="M85" s="23">
        <f>IFERROR(100/'Skjema total MA'!I85*K85,0)</f>
        <v>1.7045851469965574</v>
      </c>
    </row>
    <row r="86" spans="1:13" ht="15.75" x14ac:dyDescent="0.2">
      <c r="A86" s="21" t="s">
        <v>469</v>
      </c>
      <c r="B86" s="234"/>
      <c r="C86" s="145"/>
      <c r="D86" s="166"/>
      <c r="E86" s="27"/>
      <c r="F86" s="234"/>
      <c r="G86" s="145"/>
      <c r="H86" s="166"/>
      <c r="I86" s="27"/>
      <c r="J86" s="286"/>
      <c r="K86" s="44"/>
      <c r="L86" s="254"/>
      <c r="M86" s="27"/>
    </row>
    <row r="87" spans="1:13" ht="15.75" x14ac:dyDescent="0.2">
      <c r="A87" s="13" t="s">
        <v>451</v>
      </c>
      <c r="B87" s="352">
        <v>1675894</v>
      </c>
      <c r="C87" s="352">
        <v>1723587</v>
      </c>
      <c r="D87" s="171">
        <f t="shared" si="0"/>
        <v>2.8</v>
      </c>
      <c r="E87" s="11">
        <f>IFERROR(100/'Skjema total MA'!C87*C87,0)</f>
        <v>0.43966266627550182</v>
      </c>
      <c r="F87" s="351">
        <v>3376787</v>
      </c>
      <c r="G87" s="351">
        <v>4891857</v>
      </c>
      <c r="H87" s="171">
        <f t="shared" si="1"/>
        <v>44.9</v>
      </c>
      <c r="I87" s="11">
        <f>IFERROR(100/'Skjema total MA'!F87*G87,0)</f>
        <v>1.5549971729146732</v>
      </c>
      <c r="J87" s="308">
        <f t="shared" ref="J87:K111" si="18">SUM(B87,F87)</f>
        <v>5052681</v>
      </c>
      <c r="K87" s="236">
        <f t="shared" si="18"/>
        <v>6615444</v>
      </c>
      <c r="L87" s="373">
        <f t="shared" si="3"/>
        <v>30.9</v>
      </c>
      <c r="M87" s="11">
        <f>IFERROR(100/'Skjema total MA'!I87*K87,0)</f>
        <v>0.93621708992032482</v>
      </c>
    </row>
    <row r="88" spans="1:13" x14ac:dyDescent="0.2">
      <c r="A88" s="21" t="s">
        <v>9</v>
      </c>
      <c r="B88" s="234">
        <v>1675894</v>
      </c>
      <c r="C88" s="145">
        <v>1723587</v>
      </c>
      <c r="D88" s="166">
        <f t="shared" si="0"/>
        <v>2.8</v>
      </c>
      <c r="E88" s="27">
        <f>IFERROR(100/'Skjema total MA'!C88*C88,0)</f>
        <v>0.45091122660457539</v>
      </c>
      <c r="F88" s="234"/>
      <c r="G88" s="145"/>
      <c r="H88" s="166"/>
      <c r="I88" s="27"/>
      <c r="J88" s="286">
        <f t="shared" si="18"/>
        <v>1675894</v>
      </c>
      <c r="K88" s="44">
        <f t="shared" si="18"/>
        <v>1723587</v>
      </c>
      <c r="L88" s="254">
        <f t="shared" si="3"/>
        <v>2.8</v>
      </c>
      <c r="M88" s="27">
        <f>IFERROR(100/'Skjema total MA'!I88*K88,0)</f>
        <v>0.45091122660457539</v>
      </c>
    </row>
    <row r="89" spans="1:13" x14ac:dyDescent="0.2">
      <c r="A89" s="21" t="s">
        <v>10</v>
      </c>
      <c r="B89" s="234"/>
      <c r="C89" s="145"/>
      <c r="D89" s="166"/>
      <c r="E89" s="27"/>
      <c r="F89" s="234">
        <v>3376787</v>
      </c>
      <c r="G89" s="145">
        <v>4891857</v>
      </c>
      <c r="H89" s="166">
        <f t="shared" si="1"/>
        <v>44.9</v>
      </c>
      <c r="I89" s="27">
        <f>IFERROR(100/'Skjema total MA'!F89*G89,0)</f>
        <v>1.5628352865688664</v>
      </c>
      <c r="J89" s="286">
        <f t="shared" si="18"/>
        <v>3376787</v>
      </c>
      <c r="K89" s="44">
        <f t="shared" si="18"/>
        <v>4891857</v>
      </c>
      <c r="L89" s="254">
        <f t="shared" si="3"/>
        <v>44.9</v>
      </c>
      <c r="M89" s="27">
        <f>IFERROR(100/'Skjema total MA'!I89*K89,0)</f>
        <v>1.5480795116045354</v>
      </c>
    </row>
    <row r="90" spans="1:13" ht="15.75" x14ac:dyDescent="0.2">
      <c r="A90" s="295" t="s">
        <v>466</v>
      </c>
      <c r="B90" s="280"/>
      <c r="C90" s="280"/>
      <c r="D90" s="166"/>
      <c r="E90" s="365"/>
      <c r="F90" s="280"/>
      <c r="G90" s="280"/>
      <c r="H90" s="166"/>
      <c r="I90" s="365"/>
      <c r="J90" s="289"/>
      <c r="K90" s="289"/>
      <c r="L90" s="166"/>
      <c r="M90" s="23"/>
    </row>
    <row r="91" spans="1:13" x14ac:dyDescent="0.2">
      <c r="A91" s="295" t="s">
        <v>12</v>
      </c>
      <c r="B91" s="235"/>
      <c r="C91" s="288"/>
      <c r="D91" s="166"/>
      <c r="E91" s="365"/>
      <c r="F91" s="280"/>
      <c r="G91" s="280"/>
      <c r="H91" s="166"/>
      <c r="I91" s="365"/>
      <c r="J91" s="289"/>
      <c r="K91" s="289"/>
      <c r="L91" s="166"/>
      <c r="M91" s="23"/>
    </row>
    <row r="92" spans="1:13" x14ac:dyDescent="0.2">
      <c r="A92" s="295" t="s">
        <v>13</v>
      </c>
      <c r="B92" s="235"/>
      <c r="C92" s="288"/>
      <c r="D92" s="166"/>
      <c r="E92" s="365"/>
      <c r="F92" s="280"/>
      <c r="G92" s="280"/>
      <c r="H92" s="166"/>
      <c r="I92" s="365"/>
      <c r="J92" s="289"/>
      <c r="K92" s="289"/>
      <c r="L92" s="166"/>
      <c r="M92" s="23"/>
    </row>
    <row r="93" spans="1:13" ht="15.75" x14ac:dyDescent="0.2">
      <c r="A93" s="295" t="s">
        <v>467</v>
      </c>
      <c r="B93" s="280"/>
      <c r="C93" s="280"/>
      <c r="D93" s="166"/>
      <c r="E93" s="365"/>
      <c r="F93" s="280">
        <v>3376787</v>
      </c>
      <c r="G93" s="280">
        <v>4891857</v>
      </c>
      <c r="H93" s="166">
        <f t="shared" ref="H93" si="19">IF(F93=0, "    ---- ", IF(ABS(ROUND(100/F93*G93-100,1))&lt;999,ROUND(100/F93*G93-100,1),IF(ROUND(100/F93*G93-100,1)&gt;999,999,-999)))</f>
        <v>44.9</v>
      </c>
      <c r="I93" s="365">
        <f>IFERROR(100/'Skjema total MA'!F93*G93,0)</f>
        <v>1.5634475344203149</v>
      </c>
      <c r="J93" s="286">
        <f t="shared" ref="J93" si="20">SUM(B93,F93)</f>
        <v>3376787</v>
      </c>
      <c r="K93" s="44">
        <f t="shared" ref="K93" si="21">SUM(C93,G93)</f>
        <v>4891857</v>
      </c>
      <c r="L93" s="254">
        <f t="shared" ref="L93" si="22">IF(J93=0, "    ---- ", IF(ABS(ROUND(100/J93*K93-100,1))&lt;999,ROUND(100/J93*K93-100,1),IF(ROUND(100/J93*K93-100,1)&gt;999,999,-999)))</f>
        <v>44.9</v>
      </c>
      <c r="M93" s="23">
        <f>IFERROR(100/'Skjema total MA'!I93*K93,0)</f>
        <v>1.5486802505285922</v>
      </c>
    </row>
    <row r="94" spans="1:13" x14ac:dyDescent="0.2">
      <c r="A94" s="295" t="s">
        <v>12</v>
      </c>
      <c r="B94" s="235"/>
      <c r="C94" s="288"/>
      <c r="D94" s="166"/>
      <c r="E94" s="365"/>
      <c r="F94" s="280"/>
      <c r="G94" s="280"/>
      <c r="H94" s="166"/>
      <c r="I94" s="365"/>
      <c r="J94" s="289"/>
      <c r="K94" s="289"/>
      <c r="L94" s="166"/>
      <c r="M94" s="23"/>
    </row>
    <row r="95" spans="1:13" x14ac:dyDescent="0.2">
      <c r="A95" s="295" t="s">
        <v>13</v>
      </c>
      <c r="B95" s="235"/>
      <c r="C95" s="288"/>
      <c r="D95" s="166"/>
      <c r="E95" s="365"/>
      <c r="F95" s="280">
        <v>3376787</v>
      </c>
      <c r="G95" s="280">
        <v>4891857</v>
      </c>
      <c r="H95" s="166">
        <f t="shared" ref="H95" si="23">IF(F95=0, "    ---- ", IF(ABS(ROUND(100/F95*G95-100,1))&lt;999,ROUND(100/F95*G95-100,1),IF(ROUND(100/F95*G95-100,1)&gt;999,999,-999)))</f>
        <v>44.9</v>
      </c>
      <c r="I95" s="365">
        <f>IFERROR(100/'Skjema total MA'!F95*G95,0)</f>
        <v>1.5672940445004222</v>
      </c>
      <c r="J95" s="286">
        <f t="shared" ref="J95" si="24">SUM(B95,F95)</f>
        <v>3376787</v>
      </c>
      <c r="K95" s="44">
        <f t="shared" ref="K95" si="25">SUM(C95,G95)</f>
        <v>4891857</v>
      </c>
      <c r="L95" s="254">
        <f t="shared" ref="L95" si="26">IF(J95=0, "    ---- ", IF(ABS(ROUND(100/J95*K95-100,1))&lt;999,ROUND(100/J95*K95-100,1),IF(ROUND(100/J95*K95-100,1)&gt;999,999,-999)))</f>
        <v>44.9</v>
      </c>
      <c r="M95" s="23">
        <f>IFERROR(100/'Skjema total MA'!I95*K95,0)</f>
        <v>1.5672940445004222</v>
      </c>
    </row>
    <row r="96" spans="1:13" x14ac:dyDescent="0.2">
      <c r="A96" s="21" t="s">
        <v>351</v>
      </c>
      <c r="B96" s="234"/>
      <c r="C96" s="145"/>
      <c r="D96" s="166"/>
      <c r="E96" s="27"/>
      <c r="F96" s="234"/>
      <c r="G96" s="145"/>
      <c r="H96" s="166"/>
      <c r="I96" s="27"/>
      <c r="J96" s="286"/>
      <c r="K96" s="44"/>
      <c r="L96" s="254"/>
      <c r="M96" s="27"/>
    </row>
    <row r="97" spans="1:13" x14ac:dyDescent="0.2">
      <c r="A97" s="21" t="s">
        <v>350</v>
      </c>
      <c r="B97" s="234"/>
      <c r="C97" s="145"/>
      <c r="D97" s="166"/>
      <c r="E97" s="27"/>
      <c r="F97" s="234"/>
      <c r="G97" s="145"/>
      <c r="H97" s="166"/>
      <c r="I97" s="27"/>
      <c r="J97" s="286"/>
      <c r="K97" s="44"/>
      <c r="L97" s="254"/>
      <c r="M97" s="27"/>
    </row>
    <row r="98" spans="1:13" ht="15.75" x14ac:dyDescent="0.2">
      <c r="A98" s="21" t="s">
        <v>468</v>
      </c>
      <c r="B98" s="234">
        <v>1675894</v>
      </c>
      <c r="C98" s="234">
        <v>1723587</v>
      </c>
      <c r="D98" s="166">
        <f t="shared" si="0"/>
        <v>2.8</v>
      </c>
      <c r="E98" s="27">
        <f>IFERROR(100/'Skjema total MA'!C98*C98,0)</f>
        <v>0.45281922690949578</v>
      </c>
      <c r="F98" s="291">
        <v>3376787</v>
      </c>
      <c r="G98" s="291">
        <v>4891857</v>
      </c>
      <c r="H98" s="166">
        <f t="shared" si="1"/>
        <v>44.9</v>
      </c>
      <c r="I98" s="27">
        <f>IFERROR(100/'Skjema total MA'!F98*G98,0)</f>
        <v>1.5672487086698379</v>
      </c>
      <c r="J98" s="286">
        <f t="shared" si="18"/>
        <v>5052681</v>
      </c>
      <c r="K98" s="44">
        <f t="shared" si="18"/>
        <v>6615444</v>
      </c>
      <c r="L98" s="254">
        <f t="shared" si="3"/>
        <v>30.9</v>
      </c>
      <c r="M98" s="27">
        <f>IFERROR(100/'Skjema total MA'!I98*K98,0)</f>
        <v>0.95493347544641705</v>
      </c>
    </row>
    <row r="99" spans="1:13" x14ac:dyDescent="0.2">
      <c r="A99" s="21" t="s">
        <v>9</v>
      </c>
      <c r="B99" s="291">
        <v>1675894</v>
      </c>
      <c r="C99" s="292">
        <v>1723587</v>
      </c>
      <c r="D99" s="166">
        <f t="shared" si="0"/>
        <v>2.8</v>
      </c>
      <c r="E99" s="27">
        <f>IFERROR(100/'Skjema total MA'!C99*C99,0)</f>
        <v>0.45639659307576047</v>
      </c>
      <c r="F99" s="234"/>
      <c r="G99" s="145"/>
      <c r="H99" s="166"/>
      <c r="I99" s="27"/>
      <c r="J99" s="286">
        <f t="shared" si="18"/>
        <v>1675894</v>
      </c>
      <c r="K99" s="44">
        <f t="shared" si="18"/>
        <v>1723587</v>
      </c>
      <c r="L99" s="254">
        <f t="shared" si="3"/>
        <v>2.8</v>
      </c>
      <c r="M99" s="27">
        <f>IFERROR(100/'Skjema total MA'!I99*K99,0)</f>
        <v>0.45639659307576047</v>
      </c>
    </row>
    <row r="100" spans="1:13" x14ac:dyDescent="0.2">
      <c r="A100" s="21" t="s">
        <v>10</v>
      </c>
      <c r="B100" s="291"/>
      <c r="C100" s="292"/>
      <c r="D100" s="166"/>
      <c r="E100" s="27"/>
      <c r="F100" s="234">
        <v>3376787</v>
      </c>
      <c r="G100" s="234">
        <v>4891857</v>
      </c>
      <c r="H100" s="166">
        <f t="shared" si="1"/>
        <v>44.9</v>
      </c>
      <c r="I100" s="27">
        <f>IFERROR(100/'Skjema total MA'!F100*G100,0)</f>
        <v>1.5672487086698379</v>
      </c>
      <c r="J100" s="286">
        <f t="shared" si="18"/>
        <v>3376787</v>
      </c>
      <c r="K100" s="44">
        <f t="shared" si="18"/>
        <v>4891857</v>
      </c>
      <c r="L100" s="254">
        <f t="shared" si="3"/>
        <v>44.9</v>
      </c>
      <c r="M100" s="27">
        <f>IFERROR(100/'Skjema total MA'!I100*K100,0)</f>
        <v>1.5524098699338102</v>
      </c>
    </row>
    <row r="101" spans="1:13" ht="15.75" x14ac:dyDescent="0.2">
      <c r="A101" s="295" t="s">
        <v>466</v>
      </c>
      <c r="B101" s="280"/>
      <c r="C101" s="280"/>
      <c r="D101" s="166"/>
      <c r="E101" s="365"/>
      <c r="F101" s="280"/>
      <c r="G101" s="280"/>
      <c r="H101" s="166"/>
      <c r="I101" s="365"/>
      <c r="J101" s="289"/>
      <c r="K101" s="289"/>
      <c r="L101" s="166"/>
      <c r="M101" s="23"/>
    </row>
    <row r="102" spans="1:13" x14ac:dyDescent="0.2">
      <c r="A102" s="295" t="s">
        <v>12</v>
      </c>
      <c r="B102" s="235"/>
      <c r="C102" s="288"/>
      <c r="D102" s="166"/>
      <c r="E102" s="365"/>
      <c r="F102" s="280"/>
      <c r="G102" s="280"/>
      <c r="H102" s="166"/>
      <c r="I102" s="365"/>
      <c r="J102" s="289"/>
      <c r="K102" s="289"/>
      <c r="L102" s="166"/>
      <c r="M102" s="23"/>
    </row>
    <row r="103" spans="1:13" x14ac:dyDescent="0.2">
      <c r="A103" s="295" t="s">
        <v>13</v>
      </c>
      <c r="B103" s="235"/>
      <c r="C103" s="288"/>
      <c r="D103" s="166"/>
      <c r="E103" s="365"/>
      <c r="F103" s="280"/>
      <c r="G103" s="280"/>
      <c r="H103" s="166"/>
      <c r="I103" s="365"/>
      <c r="J103" s="289"/>
      <c r="K103" s="289"/>
      <c r="L103" s="166"/>
      <c r="M103" s="23"/>
    </row>
    <row r="104" spans="1:13" ht="15.75" x14ac:dyDescent="0.2">
      <c r="A104" s="295" t="s">
        <v>467</v>
      </c>
      <c r="B104" s="280"/>
      <c r="C104" s="280"/>
      <c r="D104" s="166"/>
      <c r="E104" s="365"/>
      <c r="F104" s="280">
        <v>3376787</v>
      </c>
      <c r="G104" s="280">
        <v>4891857</v>
      </c>
      <c r="H104" s="166">
        <f t="shared" ref="H104" si="27">IF(F104=0, "    ---- ", IF(ABS(ROUND(100/F104*G104-100,1))&lt;999,ROUND(100/F104*G104-100,1),IF(ROUND(100/F104*G104-100,1)&gt;999,999,-999)))</f>
        <v>44.9</v>
      </c>
      <c r="I104" s="365">
        <f>IFERROR(100/'Skjema total MA'!F104*G104,0)</f>
        <v>1.5672487086698379</v>
      </c>
      <c r="J104" s="286">
        <f t="shared" ref="J104" si="28">SUM(B104,F104)</f>
        <v>3376787</v>
      </c>
      <c r="K104" s="44">
        <f t="shared" ref="K104" si="29">SUM(C104,G104)</f>
        <v>4891857</v>
      </c>
      <c r="L104" s="254">
        <f t="shared" ref="L104" si="30">IF(J104=0, "    ---- ", IF(ABS(ROUND(100/J104*K104-100,1))&lt;999,ROUND(100/J104*K104-100,1),IF(ROUND(100/J104*K104-100,1)&gt;999,999,-999)))</f>
        <v>44.9</v>
      </c>
      <c r="M104" s="23">
        <f>IFERROR(100/'Skjema total MA'!I104*K104,0)</f>
        <v>1.5524098699338102</v>
      </c>
    </row>
    <row r="105" spans="1:13" x14ac:dyDescent="0.2">
      <c r="A105" s="295" t="s">
        <v>12</v>
      </c>
      <c r="B105" s="235"/>
      <c r="C105" s="288"/>
      <c r="D105" s="166"/>
      <c r="E105" s="365"/>
      <c r="F105" s="280"/>
      <c r="G105" s="280"/>
      <c r="H105" s="166"/>
      <c r="I105" s="365"/>
      <c r="J105" s="289"/>
      <c r="K105" s="289"/>
      <c r="L105" s="166"/>
      <c r="M105" s="23"/>
    </row>
    <row r="106" spans="1:13" x14ac:dyDescent="0.2">
      <c r="A106" s="295" t="s">
        <v>13</v>
      </c>
      <c r="B106" s="235"/>
      <c r="C106" s="288"/>
      <c r="D106" s="166"/>
      <c r="E106" s="365"/>
      <c r="F106" s="280">
        <v>3376787</v>
      </c>
      <c r="G106" s="280">
        <v>4891857</v>
      </c>
      <c r="H106" s="166">
        <f t="shared" ref="H106" si="31">IF(F106=0, "    ---- ", IF(ABS(ROUND(100/F106*G106-100,1))&lt;999,ROUND(100/F106*G106-100,1),IF(ROUND(100/F106*G106-100,1)&gt;999,999,-999)))</f>
        <v>44.9</v>
      </c>
      <c r="I106" s="365">
        <f>IFERROR(100/'Skjema total MA'!F106*G106,0)</f>
        <v>1.5677912989153844</v>
      </c>
      <c r="J106" s="286">
        <f t="shared" ref="J106" si="32">SUM(B106,F106)</f>
        <v>3376787</v>
      </c>
      <c r="K106" s="44">
        <f t="shared" ref="K106" si="33">SUM(C106,G106)</f>
        <v>4891857</v>
      </c>
      <c r="L106" s="254">
        <f t="shared" ref="L106" si="34">IF(J106=0, "    ---- ", IF(ABS(ROUND(100/J106*K106-100,1))&lt;999,ROUND(100/J106*K106-100,1),IF(ROUND(100/J106*K106-100,1)&gt;999,999,-999)))</f>
        <v>44.9</v>
      </c>
      <c r="M106" s="23">
        <f>IFERROR(100/'Skjema total MA'!I106*K106,0)</f>
        <v>1.5677912989153844</v>
      </c>
    </row>
    <row r="107" spans="1:13" ht="15.75" x14ac:dyDescent="0.2">
      <c r="A107" s="21" t="s">
        <v>469</v>
      </c>
      <c r="B107" s="234"/>
      <c r="C107" s="145"/>
      <c r="D107" s="166"/>
      <c r="E107" s="27"/>
      <c r="F107" s="234"/>
      <c r="G107" s="145"/>
      <c r="H107" s="166"/>
      <c r="I107" s="27"/>
      <c r="J107" s="286"/>
      <c r="K107" s="44"/>
      <c r="L107" s="254"/>
      <c r="M107" s="27"/>
    </row>
    <row r="108" spans="1:13" ht="15.75" x14ac:dyDescent="0.2">
      <c r="A108" s="21" t="s">
        <v>470</v>
      </c>
      <c r="B108" s="234">
        <v>932197</v>
      </c>
      <c r="C108" s="234">
        <v>956897</v>
      </c>
      <c r="D108" s="166">
        <f t="shared" si="0"/>
        <v>2.6</v>
      </c>
      <c r="E108" s="27">
        <f>IFERROR(100/'Skjema total MA'!C108*C108,0)</f>
        <v>0.3012391215292099</v>
      </c>
      <c r="F108" s="234"/>
      <c r="G108" s="234"/>
      <c r="H108" s="166"/>
      <c r="I108" s="27"/>
      <c r="J108" s="286">
        <f t="shared" si="18"/>
        <v>932197</v>
      </c>
      <c r="K108" s="44">
        <f t="shared" si="18"/>
        <v>956897</v>
      </c>
      <c r="L108" s="254">
        <f t="shared" si="3"/>
        <v>2.6</v>
      </c>
      <c r="M108" s="27">
        <f>IFERROR(100/'Skjema total MA'!I108*K108,0)</f>
        <v>0.28584347627592943</v>
      </c>
    </row>
    <row r="109" spans="1:13" ht="15.75" x14ac:dyDescent="0.2">
      <c r="A109" s="21" t="s">
        <v>471</v>
      </c>
      <c r="B109" s="234"/>
      <c r="C109" s="234"/>
      <c r="D109" s="166"/>
      <c r="E109" s="27"/>
      <c r="F109" s="234">
        <v>1421191</v>
      </c>
      <c r="G109" s="234">
        <v>2161413</v>
      </c>
      <c r="H109" s="166">
        <f t="shared" ref="H109" si="35">IF(F109=0, "    ---- ", IF(ABS(ROUND(100/F109*G109-100,1))&lt;999,ROUND(100/F109*G109-100,1),IF(ROUND(100/F109*G109-100,1)&gt;999,999,-999)))</f>
        <v>52.1</v>
      </c>
      <c r="I109" s="27">
        <f>IFERROR(100/'Skjema total MA'!F109*G109,0)</f>
        <v>2.0118351969015196</v>
      </c>
      <c r="J109" s="286">
        <f t="shared" si="18"/>
        <v>1421191</v>
      </c>
      <c r="K109" s="44">
        <f t="shared" si="18"/>
        <v>2161413</v>
      </c>
      <c r="L109" s="254">
        <f t="shared" si="3"/>
        <v>52.1</v>
      </c>
      <c r="M109" s="27">
        <f>IFERROR(100/'Skjema total MA'!I109*K109,0)</f>
        <v>1.9941250256248961</v>
      </c>
    </row>
    <row r="110" spans="1:13" ht="15.75" x14ac:dyDescent="0.2">
      <c r="A110" s="21" t="s">
        <v>472</v>
      </c>
      <c r="B110" s="234"/>
      <c r="C110" s="234"/>
      <c r="D110" s="166"/>
      <c r="E110" s="27"/>
      <c r="F110" s="234"/>
      <c r="G110" s="234"/>
      <c r="H110" s="166"/>
      <c r="I110" s="27"/>
      <c r="J110" s="286"/>
      <c r="K110" s="44"/>
      <c r="L110" s="254"/>
      <c r="M110" s="27"/>
    </row>
    <row r="111" spans="1:13" ht="15.75" x14ac:dyDescent="0.2">
      <c r="A111" s="13" t="s">
        <v>452</v>
      </c>
      <c r="B111" s="307">
        <v>4154</v>
      </c>
      <c r="C111" s="159">
        <v>2283</v>
      </c>
      <c r="D111" s="171">
        <f t="shared" si="0"/>
        <v>-45</v>
      </c>
      <c r="E111" s="11">
        <f>IFERROR(100/'Skjema total MA'!C111*C111,0)</f>
        <v>0.47900047646087174</v>
      </c>
      <c r="F111" s="307">
        <v>515452</v>
      </c>
      <c r="G111" s="159">
        <v>493448</v>
      </c>
      <c r="H111" s="171">
        <f t="shared" si="1"/>
        <v>-4.3</v>
      </c>
      <c r="I111" s="11">
        <f>IFERROR(100/'Skjema total MA'!F111*G111,0)</f>
        <v>3.7278700060746481</v>
      </c>
      <c r="J111" s="308">
        <f t="shared" si="18"/>
        <v>519606</v>
      </c>
      <c r="K111" s="236">
        <f t="shared" si="18"/>
        <v>495731</v>
      </c>
      <c r="L111" s="373">
        <f t="shared" si="3"/>
        <v>-4.5999999999999996</v>
      </c>
      <c r="M111" s="11">
        <f>IFERROR(100/'Skjema total MA'!I111*K111,0)</f>
        <v>3.6149531362039151</v>
      </c>
    </row>
    <row r="112" spans="1:13" x14ac:dyDescent="0.2">
      <c r="A112" s="21" t="s">
        <v>9</v>
      </c>
      <c r="B112" s="234">
        <v>4154</v>
      </c>
      <c r="C112" s="145">
        <v>2283</v>
      </c>
      <c r="D112" s="166">
        <f t="shared" ref="D112:D120" si="36">IF(B112=0, "    ---- ", IF(ABS(ROUND(100/B112*C112-100,1))&lt;999,ROUND(100/B112*C112-100,1),IF(ROUND(100/B112*C112-100,1)&gt;999,999,-999)))</f>
        <v>-45</v>
      </c>
      <c r="E112" s="27">
        <f>IFERROR(100/'Skjema total MA'!C112*C112,0)</f>
        <v>0.63166052386772298</v>
      </c>
      <c r="F112" s="234"/>
      <c r="G112" s="145"/>
      <c r="H112" s="166"/>
      <c r="I112" s="27"/>
      <c r="J112" s="286">
        <f t="shared" ref="J112:K125" si="37">SUM(B112,F112)</f>
        <v>4154</v>
      </c>
      <c r="K112" s="44">
        <f t="shared" si="37"/>
        <v>2283</v>
      </c>
      <c r="L112" s="254">
        <f t="shared" ref="L112:L125" si="38">IF(J112=0, "    ---- ", IF(ABS(ROUND(100/J112*K112-100,1))&lt;999,ROUND(100/J112*K112-100,1),IF(ROUND(100/J112*K112-100,1)&gt;999,999,-999)))</f>
        <v>-45</v>
      </c>
      <c r="M112" s="27">
        <f>IFERROR(100/'Skjema total MA'!I112*K112,0)</f>
        <v>0.62136278586021576</v>
      </c>
    </row>
    <row r="113" spans="1:14" x14ac:dyDescent="0.2">
      <c r="A113" s="21" t="s">
        <v>10</v>
      </c>
      <c r="B113" s="234"/>
      <c r="C113" s="145"/>
      <c r="D113" s="166"/>
      <c r="E113" s="27"/>
      <c r="F113" s="234">
        <v>515452</v>
      </c>
      <c r="G113" s="145">
        <v>493448</v>
      </c>
      <c r="H113" s="166">
        <f t="shared" ref="H113:H125" si="39">IF(F113=0, "    ---- ", IF(ABS(ROUND(100/F113*G113-100,1))&lt;999,ROUND(100/F113*G113-100,1),IF(ROUND(100/F113*G113-100,1)&gt;999,999,-999)))</f>
        <v>-4.3</v>
      </c>
      <c r="I113" s="27">
        <f>IFERROR(100/'Skjema total MA'!F113*G113,0)</f>
        <v>3.7384518212559801</v>
      </c>
      <c r="J113" s="286">
        <f t="shared" si="37"/>
        <v>515452</v>
      </c>
      <c r="K113" s="44">
        <f t="shared" si="37"/>
        <v>493448</v>
      </c>
      <c r="L113" s="254">
        <f t="shared" si="38"/>
        <v>-4.3</v>
      </c>
      <c r="M113" s="27">
        <f>IFERROR(100/'Skjema total MA'!I113*K113,0)</f>
        <v>3.737952666644222</v>
      </c>
    </row>
    <row r="114" spans="1:14" x14ac:dyDescent="0.2">
      <c r="A114" s="21" t="s">
        <v>26</v>
      </c>
      <c r="B114" s="234"/>
      <c r="C114" s="145"/>
      <c r="D114" s="166"/>
      <c r="E114" s="27"/>
      <c r="F114" s="234"/>
      <c r="G114" s="145"/>
      <c r="H114" s="166"/>
      <c r="I114" s="27"/>
      <c r="J114" s="286"/>
      <c r="K114" s="44"/>
      <c r="L114" s="254"/>
      <c r="M114" s="27"/>
    </row>
    <row r="115" spans="1:14" x14ac:dyDescent="0.2">
      <c r="A115" s="295" t="s">
        <v>15</v>
      </c>
      <c r="B115" s="280"/>
      <c r="C115" s="280"/>
      <c r="D115" s="166"/>
      <c r="E115" s="365"/>
      <c r="F115" s="280">
        <v>515452</v>
      </c>
      <c r="G115" s="280">
        <v>0</v>
      </c>
      <c r="H115" s="166">
        <f t="shared" si="39"/>
        <v>-100</v>
      </c>
      <c r="I115" s="365">
        <f>IFERROR(100/'Skjema total MA'!F115*G115,0)</f>
        <v>0</v>
      </c>
      <c r="J115" s="286">
        <f t="shared" ref="J115" si="40">SUM(B115,F115)</f>
        <v>515452</v>
      </c>
      <c r="K115" s="44">
        <f t="shared" ref="K115" si="41">SUM(C115,G115)</f>
        <v>0</v>
      </c>
      <c r="L115" s="254">
        <f t="shared" ref="L115" si="42">IF(J115=0, "    ---- ", IF(ABS(ROUND(100/J115*K115-100,1))&lt;999,ROUND(100/J115*K115-100,1),IF(ROUND(100/J115*K115-100,1)&gt;999,999,-999)))</f>
        <v>-100</v>
      </c>
      <c r="M115" s="23">
        <f>IFERROR(100/'Skjema total MA'!I115*K115,0)</f>
        <v>0</v>
      </c>
    </row>
    <row r="116" spans="1:14" ht="15.75" x14ac:dyDescent="0.2">
      <c r="A116" s="21" t="s">
        <v>473</v>
      </c>
      <c r="B116" s="234"/>
      <c r="C116" s="234"/>
      <c r="D116" s="166"/>
      <c r="E116" s="27"/>
      <c r="F116" s="234"/>
      <c r="G116" s="234"/>
      <c r="H116" s="166"/>
      <c r="I116" s="27"/>
      <c r="J116" s="286"/>
      <c r="K116" s="44"/>
      <c r="L116" s="254"/>
      <c r="M116" s="27"/>
    </row>
    <row r="117" spans="1:14" ht="15.75" x14ac:dyDescent="0.2">
      <c r="A117" s="21" t="s">
        <v>474</v>
      </c>
      <c r="B117" s="234"/>
      <c r="C117" s="234"/>
      <c r="D117" s="166"/>
      <c r="E117" s="27"/>
      <c r="F117" s="234">
        <v>284920</v>
      </c>
      <c r="G117" s="234">
        <v>347953</v>
      </c>
      <c r="H117" s="166">
        <f t="shared" si="39"/>
        <v>22.1</v>
      </c>
      <c r="I117" s="27">
        <f>IFERROR(100/'Skjema total MA'!F117*G117,0)</f>
        <v>11.102104963496894</v>
      </c>
      <c r="J117" s="286">
        <f t="shared" si="37"/>
        <v>284920</v>
      </c>
      <c r="K117" s="44">
        <f t="shared" si="37"/>
        <v>347953</v>
      </c>
      <c r="L117" s="254">
        <f t="shared" si="38"/>
        <v>22.1</v>
      </c>
      <c r="M117" s="27">
        <f>IFERROR(100/'Skjema total MA'!I117*K117,0)</f>
        <v>11.102104963496894</v>
      </c>
    </row>
    <row r="118" spans="1:14" ht="15.75" x14ac:dyDescent="0.2">
      <c r="A118" s="21" t="s">
        <v>472</v>
      </c>
      <c r="B118" s="234"/>
      <c r="C118" s="234"/>
      <c r="D118" s="166"/>
      <c r="E118" s="27"/>
      <c r="F118" s="234"/>
      <c r="G118" s="234"/>
      <c r="H118" s="166"/>
      <c r="I118" s="27"/>
      <c r="J118" s="286"/>
      <c r="K118" s="44"/>
      <c r="L118" s="254"/>
      <c r="M118" s="27"/>
    </row>
    <row r="119" spans="1:14" ht="15.75" x14ac:dyDescent="0.2">
      <c r="A119" s="13" t="s">
        <v>453</v>
      </c>
      <c r="B119" s="307">
        <v>1059</v>
      </c>
      <c r="C119" s="159">
        <v>1766</v>
      </c>
      <c r="D119" s="171">
        <f t="shared" si="36"/>
        <v>66.8</v>
      </c>
      <c r="E119" s="11">
        <f>IFERROR(100/'Skjema total MA'!C119*C119,0)</f>
        <v>0.35917971542863086</v>
      </c>
      <c r="F119" s="307">
        <v>71420</v>
      </c>
      <c r="G119" s="159">
        <v>108165</v>
      </c>
      <c r="H119" s="171">
        <f t="shared" si="39"/>
        <v>51.4</v>
      </c>
      <c r="I119" s="11">
        <f>IFERROR(100/'Skjema total MA'!F119*G119,0)</f>
        <v>0.7976630318944401</v>
      </c>
      <c r="J119" s="308">
        <f t="shared" si="37"/>
        <v>72479</v>
      </c>
      <c r="K119" s="236">
        <f t="shared" si="37"/>
        <v>109931</v>
      </c>
      <c r="L119" s="373">
        <f t="shared" si="38"/>
        <v>51.7</v>
      </c>
      <c r="M119" s="11">
        <f>IFERROR(100/'Skjema total MA'!I119*K119,0)</f>
        <v>0.78232051841946848</v>
      </c>
    </row>
    <row r="120" spans="1:14" x14ac:dyDescent="0.2">
      <c r="A120" s="21" t="s">
        <v>9</v>
      </c>
      <c r="B120" s="234">
        <v>1059</v>
      </c>
      <c r="C120" s="145">
        <v>1766</v>
      </c>
      <c r="D120" s="166">
        <f t="shared" si="36"/>
        <v>66.8</v>
      </c>
      <c r="E120" s="27">
        <f>IFERROR(100/'Skjema total MA'!C120*C120,0)</f>
        <v>0.62612629697205158</v>
      </c>
      <c r="F120" s="234"/>
      <c r="G120" s="145"/>
      <c r="H120" s="166"/>
      <c r="I120" s="27"/>
      <c r="J120" s="286">
        <f t="shared" si="37"/>
        <v>1059</v>
      </c>
      <c r="K120" s="44">
        <f t="shared" si="37"/>
        <v>1766</v>
      </c>
      <c r="L120" s="254">
        <f t="shared" si="38"/>
        <v>66.8</v>
      </c>
      <c r="M120" s="27">
        <f>IFERROR(100/'Skjema total MA'!I120*K120,0)</f>
        <v>0.62612629697205158</v>
      </c>
    </row>
    <row r="121" spans="1:14" x14ac:dyDescent="0.2">
      <c r="A121" s="21" t="s">
        <v>10</v>
      </c>
      <c r="B121" s="234"/>
      <c r="C121" s="145"/>
      <c r="D121" s="166"/>
      <c r="E121" s="27"/>
      <c r="F121" s="234">
        <v>71420</v>
      </c>
      <c r="G121" s="145">
        <v>108165</v>
      </c>
      <c r="H121" s="166">
        <f t="shared" si="39"/>
        <v>51.4</v>
      </c>
      <c r="I121" s="27">
        <f>IFERROR(100/'Skjema total MA'!F121*G121,0)</f>
        <v>0.7976630318944401</v>
      </c>
      <c r="J121" s="286">
        <f t="shared" si="37"/>
        <v>71420</v>
      </c>
      <c r="K121" s="44">
        <f t="shared" si="37"/>
        <v>108165</v>
      </c>
      <c r="L121" s="254">
        <f t="shared" si="38"/>
        <v>51.4</v>
      </c>
      <c r="M121" s="27">
        <f>IFERROR(100/'Skjema total MA'!I121*K121,0)</f>
        <v>0.79536665118195549</v>
      </c>
    </row>
    <row r="122" spans="1:14" x14ac:dyDescent="0.2">
      <c r="A122" s="21" t="s">
        <v>26</v>
      </c>
      <c r="B122" s="234"/>
      <c r="C122" s="145"/>
      <c r="D122" s="166"/>
      <c r="E122" s="27"/>
      <c r="F122" s="234"/>
      <c r="G122" s="145"/>
      <c r="H122" s="166"/>
      <c r="I122" s="27"/>
      <c r="J122" s="286"/>
      <c r="K122" s="44"/>
      <c r="L122" s="254"/>
      <c r="M122" s="27"/>
    </row>
    <row r="123" spans="1:14" x14ac:dyDescent="0.2">
      <c r="A123" s="295" t="s">
        <v>14</v>
      </c>
      <c r="B123" s="280"/>
      <c r="C123" s="280"/>
      <c r="D123" s="166"/>
      <c r="E123" s="365"/>
      <c r="F123" s="280"/>
      <c r="G123" s="280"/>
      <c r="H123" s="166"/>
      <c r="I123" s="365"/>
      <c r="J123" s="289"/>
      <c r="K123" s="289"/>
      <c r="L123" s="166"/>
      <c r="M123" s="23"/>
    </row>
    <row r="124" spans="1:14" ht="15.75" x14ac:dyDescent="0.2">
      <c r="A124" s="21" t="s">
        <v>479</v>
      </c>
      <c r="B124" s="234"/>
      <c r="C124" s="234"/>
      <c r="D124" s="166"/>
      <c r="E124" s="27"/>
      <c r="F124" s="234"/>
      <c r="G124" s="234"/>
      <c r="H124" s="166"/>
      <c r="I124" s="27"/>
      <c r="J124" s="286"/>
      <c r="K124" s="44"/>
      <c r="L124" s="254"/>
      <c r="M124" s="27"/>
    </row>
    <row r="125" spans="1:14" ht="15.75" x14ac:dyDescent="0.2">
      <c r="A125" s="21" t="s">
        <v>471</v>
      </c>
      <c r="B125" s="234"/>
      <c r="C125" s="234"/>
      <c r="D125" s="166"/>
      <c r="E125" s="27"/>
      <c r="F125" s="234">
        <v>28717</v>
      </c>
      <c r="G125" s="234">
        <v>39246</v>
      </c>
      <c r="H125" s="166">
        <f t="shared" si="39"/>
        <v>36.700000000000003</v>
      </c>
      <c r="I125" s="27">
        <f>IFERROR(100/'Skjema total MA'!F125*G125,0)</f>
        <v>1.2609369771849124</v>
      </c>
      <c r="J125" s="286">
        <f t="shared" si="37"/>
        <v>28717</v>
      </c>
      <c r="K125" s="44">
        <f t="shared" si="37"/>
        <v>39246</v>
      </c>
      <c r="L125" s="254">
        <f t="shared" si="38"/>
        <v>36.700000000000003</v>
      </c>
      <c r="M125" s="27">
        <f>IFERROR(100/'Skjema total MA'!I125*K125,0)</f>
        <v>1.2594803413685525</v>
      </c>
    </row>
    <row r="126" spans="1:14" ht="15.75" x14ac:dyDescent="0.2">
      <c r="A126" s="10" t="s">
        <v>472</v>
      </c>
      <c r="B126" s="45"/>
      <c r="C126" s="45"/>
      <c r="D126" s="167"/>
      <c r="E126" s="366"/>
      <c r="F126" s="45"/>
      <c r="G126" s="45"/>
      <c r="H126" s="167"/>
      <c r="I126" s="22"/>
      <c r="J126" s="287"/>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975"/>
      <c r="C130" s="975"/>
      <c r="D130" s="975"/>
      <c r="E130" s="298"/>
      <c r="F130" s="975"/>
      <c r="G130" s="975"/>
      <c r="H130" s="975"/>
      <c r="I130" s="298"/>
      <c r="J130" s="975"/>
      <c r="K130" s="975"/>
      <c r="L130" s="975"/>
      <c r="M130" s="298"/>
    </row>
    <row r="131" spans="1:14" s="3" customFormat="1" x14ac:dyDescent="0.2">
      <c r="A131" s="144"/>
      <c r="B131" s="973" t="s">
        <v>0</v>
      </c>
      <c r="C131" s="974"/>
      <c r="D131" s="974"/>
      <c r="E131" s="300"/>
      <c r="F131" s="973" t="s">
        <v>1</v>
      </c>
      <c r="G131" s="974"/>
      <c r="H131" s="974"/>
      <c r="I131" s="303"/>
      <c r="J131" s="973" t="s">
        <v>2</v>
      </c>
      <c r="K131" s="974"/>
      <c r="L131" s="974"/>
      <c r="M131" s="303"/>
      <c r="N131" s="148"/>
    </row>
    <row r="132" spans="1:14" s="3" customFormat="1" x14ac:dyDescent="0.2">
      <c r="A132" s="140"/>
      <c r="B132" s="152" t="s">
        <v>492</v>
      </c>
      <c r="C132" s="152" t="s">
        <v>493</v>
      </c>
      <c r="D132" s="245" t="s">
        <v>3</v>
      </c>
      <c r="E132" s="304" t="s">
        <v>29</v>
      </c>
      <c r="F132" s="152" t="s">
        <v>492</v>
      </c>
      <c r="G132" s="152" t="s">
        <v>493</v>
      </c>
      <c r="H132" s="206" t="s">
        <v>3</v>
      </c>
      <c r="I132" s="162" t="s">
        <v>29</v>
      </c>
      <c r="J132" s="152" t="s">
        <v>492</v>
      </c>
      <c r="K132" s="152" t="s">
        <v>493</v>
      </c>
      <c r="L132" s="246" t="s">
        <v>3</v>
      </c>
      <c r="M132" s="162" t="s">
        <v>29</v>
      </c>
      <c r="N132" s="148"/>
    </row>
    <row r="133" spans="1:14" s="3" customFormat="1" x14ac:dyDescent="0.2">
      <c r="A133" s="947"/>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475</v>
      </c>
      <c r="B134" s="236"/>
      <c r="C134" s="308"/>
      <c r="D134" s="349"/>
      <c r="E134" s="11"/>
      <c r="F134" s="315"/>
      <c r="G134" s="316"/>
      <c r="H134" s="376"/>
      <c r="I134" s="24"/>
      <c r="J134" s="317"/>
      <c r="K134" s="317"/>
      <c r="L134" s="372"/>
      <c r="M134" s="11"/>
      <c r="N134" s="148"/>
    </row>
    <row r="135" spans="1:14" s="3" customFormat="1" ht="15.75" x14ac:dyDescent="0.2">
      <c r="A135" s="13" t="s">
        <v>480</v>
      </c>
      <c r="B135" s="236"/>
      <c r="C135" s="308"/>
      <c r="D135" s="171"/>
      <c r="E135" s="11"/>
      <c r="F135" s="236"/>
      <c r="G135" s="308"/>
      <c r="H135" s="377"/>
      <c r="I135" s="24"/>
      <c r="J135" s="307"/>
      <c r="K135" s="307"/>
      <c r="L135" s="373"/>
      <c r="M135" s="11"/>
      <c r="N135" s="148"/>
    </row>
    <row r="136" spans="1:14" s="3" customFormat="1" ht="15.75" x14ac:dyDescent="0.2">
      <c r="A136" s="13" t="s">
        <v>477</v>
      </c>
      <c r="B136" s="236"/>
      <c r="C136" s="308"/>
      <c r="D136" s="171"/>
      <c r="E136" s="11"/>
      <c r="F136" s="236"/>
      <c r="G136" s="308"/>
      <c r="H136" s="377"/>
      <c r="I136" s="24"/>
      <c r="J136" s="307"/>
      <c r="K136" s="307"/>
      <c r="L136" s="373"/>
      <c r="M136" s="11"/>
      <c r="N136" s="148"/>
    </row>
    <row r="137" spans="1:14" s="3" customFormat="1" ht="15.75" x14ac:dyDescent="0.2">
      <c r="A137" s="41" t="s">
        <v>478</v>
      </c>
      <c r="B137" s="275"/>
      <c r="C137" s="314"/>
      <c r="D137" s="169"/>
      <c r="E137" s="9"/>
      <c r="F137" s="275"/>
      <c r="G137" s="314"/>
      <c r="H137" s="378"/>
      <c r="I137" s="36"/>
      <c r="J137" s="313"/>
      <c r="K137" s="313"/>
      <c r="L137" s="374"/>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801" priority="132">
      <formula>kvartal &lt; 4</formula>
    </cfRule>
  </conditionalFormatting>
  <conditionalFormatting sqref="B69">
    <cfRule type="expression" dxfId="800" priority="100">
      <formula>kvartal &lt; 4</formula>
    </cfRule>
  </conditionalFormatting>
  <conditionalFormatting sqref="C69">
    <cfRule type="expression" dxfId="799" priority="99">
      <formula>kvartal &lt; 4</formula>
    </cfRule>
  </conditionalFormatting>
  <conditionalFormatting sqref="B72">
    <cfRule type="expression" dxfId="798" priority="98">
      <formula>kvartal &lt; 4</formula>
    </cfRule>
  </conditionalFormatting>
  <conditionalFormatting sqref="C72">
    <cfRule type="expression" dxfId="797" priority="97">
      <formula>kvartal &lt; 4</formula>
    </cfRule>
  </conditionalFormatting>
  <conditionalFormatting sqref="B80">
    <cfRule type="expression" dxfId="796" priority="96">
      <formula>kvartal &lt; 4</formula>
    </cfRule>
  </conditionalFormatting>
  <conditionalFormatting sqref="C80">
    <cfRule type="expression" dxfId="795" priority="95">
      <formula>kvartal &lt; 4</formula>
    </cfRule>
  </conditionalFormatting>
  <conditionalFormatting sqref="B83">
    <cfRule type="expression" dxfId="794" priority="94">
      <formula>kvartal &lt; 4</formula>
    </cfRule>
  </conditionalFormatting>
  <conditionalFormatting sqref="C83">
    <cfRule type="expression" dxfId="793" priority="93">
      <formula>kvartal &lt; 4</formula>
    </cfRule>
  </conditionalFormatting>
  <conditionalFormatting sqref="B90">
    <cfRule type="expression" dxfId="792" priority="84">
      <formula>kvartal &lt; 4</formula>
    </cfRule>
  </conditionalFormatting>
  <conditionalFormatting sqref="C90">
    <cfRule type="expression" dxfId="791" priority="83">
      <formula>kvartal &lt; 4</formula>
    </cfRule>
  </conditionalFormatting>
  <conditionalFormatting sqref="B93">
    <cfRule type="expression" dxfId="790" priority="82">
      <formula>kvartal &lt; 4</formula>
    </cfRule>
  </conditionalFormatting>
  <conditionalFormatting sqref="C93">
    <cfRule type="expression" dxfId="789" priority="81">
      <formula>kvartal &lt; 4</formula>
    </cfRule>
  </conditionalFormatting>
  <conditionalFormatting sqref="B101">
    <cfRule type="expression" dxfId="788" priority="80">
      <formula>kvartal &lt; 4</formula>
    </cfRule>
  </conditionalFormatting>
  <conditionalFormatting sqref="C101">
    <cfRule type="expression" dxfId="787" priority="79">
      <formula>kvartal &lt; 4</formula>
    </cfRule>
  </conditionalFormatting>
  <conditionalFormatting sqref="B104">
    <cfRule type="expression" dxfId="786" priority="78">
      <formula>kvartal &lt; 4</formula>
    </cfRule>
  </conditionalFormatting>
  <conditionalFormatting sqref="C104">
    <cfRule type="expression" dxfId="785" priority="77">
      <formula>kvartal &lt; 4</formula>
    </cfRule>
  </conditionalFormatting>
  <conditionalFormatting sqref="B115">
    <cfRule type="expression" dxfId="784" priority="76">
      <formula>kvartal &lt; 4</formula>
    </cfRule>
  </conditionalFormatting>
  <conditionalFormatting sqref="C115">
    <cfRule type="expression" dxfId="783" priority="75">
      <formula>kvartal &lt; 4</formula>
    </cfRule>
  </conditionalFormatting>
  <conditionalFormatting sqref="B123">
    <cfRule type="expression" dxfId="782" priority="74">
      <formula>kvartal &lt; 4</formula>
    </cfRule>
  </conditionalFormatting>
  <conditionalFormatting sqref="C123">
    <cfRule type="expression" dxfId="781" priority="73">
      <formula>kvartal &lt; 4</formula>
    </cfRule>
  </conditionalFormatting>
  <conditionalFormatting sqref="F70">
    <cfRule type="expression" dxfId="780" priority="72">
      <formula>kvartal &lt; 4</formula>
    </cfRule>
  </conditionalFormatting>
  <conditionalFormatting sqref="G70">
    <cfRule type="expression" dxfId="779" priority="71">
      <formula>kvartal &lt; 4</formula>
    </cfRule>
  </conditionalFormatting>
  <conditionalFormatting sqref="F71:G71">
    <cfRule type="expression" dxfId="778" priority="70">
      <formula>kvartal &lt; 4</formula>
    </cfRule>
  </conditionalFormatting>
  <conditionalFormatting sqref="F73:G74">
    <cfRule type="expression" dxfId="777" priority="69">
      <formula>kvartal &lt; 4</formula>
    </cfRule>
  </conditionalFormatting>
  <conditionalFormatting sqref="F81:G82">
    <cfRule type="expression" dxfId="776" priority="68">
      <formula>kvartal &lt; 4</formula>
    </cfRule>
  </conditionalFormatting>
  <conditionalFormatting sqref="F84:G85">
    <cfRule type="expression" dxfId="775" priority="67">
      <formula>kvartal &lt; 4</formula>
    </cfRule>
  </conditionalFormatting>
  <conditionalFormatting sqref="F91:G92">
    <cfRule type="expression" dxfId="774" priority="62">
      <formula>kvartal &lt; 4</formula>
    </cfRule>
  </conditionalFormatting>
  <conditionalFormatting sqref="F94:G95">
    <cfRule type="expression" dxfId="773" priority="61">
      <formula>kvartal &lt; 4</formula>
    </cfRule>
  </conditionalFormatting>
  <conditionalFormatting sqref="F102:G103">
    <cfRule type="expression" dxfId="772" priority="60">
      <formula>kvartal &lt; 4</formula>
    </cfRule>
  </conditionalFormatting>
  <conditionalFormatting sqref="F105:G106">
    <cfRule type="expression" dxfId="771" priority="59">
      <formula>kvartal &lt; 4</formula>
    </cfRule>
  </conditionalFormatting>
  <conditionalFormatting sqref="F115">
    <cfRule type="expression" dxfId="770" priority="58">
      <formula>kvartal &lt; 4</formula>
    </cfRule>
  </conditionalFormatting>
  <conditionalFormatting sqref="G115">
    <cfRule type="expression" dxfId="769" priority="57">
      <formula>kvartal &lt; 4</formula>
    </cfRule>
  </conditionalFormatting>
  <conditionalFormatting sqref="F123:G123">
    <cfRule type="expression" dxfId="768" priority="56">
      <formula>kvartal &lt; 4</formula>
    </cfRule>
  </conditionalFormatting>
  <conditionalFormatting sqref="F69:G69">
    <cfRule type="expression" dxfId="767" priority="55">
      <formula>kvartal &lt; 4</formula>
    </cfRule>
  </conditionalFormatting>
  <conditionalFormatting sqref="F72:G72">
    <cfRule type="expression" dxfId="766" priority="54">
      <formula>kvartal &lt; 4</formula>
    </cfRule>
  </conditionalFormatting>
  <conditionalFormatting sqref="F80:G80">
    <cfRule type="expression" dxfId="765" priority="53">
      <formula>kvartal &lt; 4</formula>
    </cfRule>
  </conditionalFormatting>
  <conditionalFormatting sqref="F83:G83">
    <cfRule type="expression" dxfId="764" priority="52">
      <formula>kvartal &lt; 4</formula>
    </cfRule>
  </conditionalFormatting>
  <conditionalFormatting sqref="F90:G90">
    <cfRule type="expression" dxfId="763" priority="46">
      <formula>kvartal &lt; 4</formula>
    </cfRule>
  </conditionalFormatting>
  <conditionalFormatting sqref="F93">
    <cfRule type="expression" dxfId="762" priority="45">
      <formula>kvartal &lt; 4</formula>
    </cfRule>
  </conditionalFormatting>
  <conditionalFormatting sqref="G93">
    <cfRule type="expression" dxfId="761" priority="44">
      <formula>kvartal &lt; 4</formula>
    </cfRule>
  </conditionalFormatting>
  <conditionalFormatting sqref="F101">
    <cfRule type="expression" dxfId="760" priority="43">
      <formula>kvartal &lt; 4</formula>
    </cfRule>
  </conditionalFormatting>
  <conditionalFormatting sqref="G101">
    <cfRule type="expression" dxfId="759" priority="42">
      <formula>kvartal &lt; 4</formula>
    </cfRule>
  </conditionalFormatting>
  <conditionalFormatting sqref="G104">
    <cfRule type="expression" dxfId="758" priority="41">
      <formula>kvartal &lt; 4</formula>
    </cfRule>
  </conditionalFormatting>
  <conditionalFormatting sqref="F104">
    <cfRule type="expression" dxfId="757" priority="40">
      <formula>kvartal &lt; 4</formula>
    </cfRule>
  </conditionalFormatting>
  <conditionalFormatting sqref="J69:K71 J73:K73">
    <cfRule type="expression" dxfId="756" priority="39">
      <formula>kvartal &lt; 4</formula>
    </cfRule>
  </conditionalFormatting>
  <conditionalFormatting sqref="J80:K82 J84:K84">
    <cfRule type="expression" dxfId="755" priority="37">
      <formula>kvartal &lt; 4</formula>
    </cfRule>
  </conditionalFormatting>
  <conditionalFormatting sqref="J90:K92 J94:K94">
    <cfRule type="expression" dxfId="754" priority="34">
      <formula>kvartal &lt; 4</formula>
    </cfRule>
  </conditionalFormatting>
  <conditionalFormatting sqref="J101:K103 J105:K105">
    <cfRule type="expression" dxfId="753" priority="33">
      <formula>kvartal &lt; 4</formula>
    </cfRule>
  </conditionalFormatting>
  <conditionalFormatting sqref="J123:K123">
    <cfRule type="expression" dxfId="752" priority="31">
      <formula>kvartal &lt; 4</formula>
    </cfRule>
  </conditionalFormatting>
  <conditionalFormatting sqref="A50:A52">
    <cfRule type="expression" dxfId="751" priority="12">
      <formula>kvartal &lt; 4</formula>
    </cfRule>
  </conditionalFormatting>
  <conditionalFormatting sqref="A69:A74">
    <cfRule type="expression" dxfId="750" priority="10">
      <formula>kvartal &lt; 4</formula>
    </cfRule>
  </conditionalFormatting>
  <conditionalFormatting sqref="A80:A85">
    <cfRule type="expression" dxfId="749" priority="9">
      <formula>kvartal &lt; 4</formula>
    </cfRule>
  </conditionalFormatting>
  <conditionalFormatting sqref="A90:A95">
    <cfRule type="expression" dxfId="748" priority="6">
      <formula>kvartal &lt; 4</formula>
    </cfRule>
  </conditionalFormatting>
  <conditionalFormatting sqref="A101:A106">
    <cfRule type="expression" dxfId="747" priority="5">
      <formula>kvartal &lt; 4</formula>
    </cfRule>
  </conditionalFormatting>
  <conditionalFormatting sqref="A115">
    <cfRule type="expression" dxfId="746" priority="4">
      <formula>kvartal &lt; 4</formula>
    </cfRule>
  </conditionalFormatting>
  <conditionalFormatting sqref="A123">
    <cfRule type="expression" dxfId="745" priority="3">
      <formula>kvartal &lt; 4</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58"/>
  <sheetViews>
    <sheetView showGridLines="0" tabSelected="1" zoomScale="70" zoomScaleNormal="70" workbookViewId="0"/>
  </sheetViews>
  <sheetFormatPr baseColWidth="10" defaultColWidth="11.42578125" defaultRowHeight="25.5" x14ac:dyDescent="0.35"/>
  <cols>
    <col min="1" max="1" width="11.42578125" style="67"/>
    <col min="2" max="2" width="25" style="67" customWidth="1"/>
    <col min="3" max="3" width="141.7109375" style="67" customWidth="1"/>
    <col min="4" max="16384" width="11.42578125" style="67"/>
  </cols>
  <sheetData>
    <row r="1" spans="1:14" ht="20.100000000000001" customHeight="1" x14ac:dyDescent="0.35">
      <c r="C1" s="68"/>
      <c r="D1" s="69"/>
      <c r="E1" s="69"/>
      <c r="F1" s="69"/>
      <c r="G1" s="69"/>
      <c r="H1" s="69"/>
      <c r="I1" s="69"/>
      <c r="J1" s="69"/>
      <c r="K1" s="69"/>
      <c r="L1" s="69"/>
      <c r="M1" s="69"/>
      <c r="N1" s="69"/>
    </row>
    <row r="2" spans="1:14" ht="20.100000000000001" customHeight="1" x14ac:dyDescent="0.35">
      <c r="C2" s="274" t="s">
        <v>31</v>
      </c>
      <c r="D2" s="69"/>
      <c r="E2" s="69"/>
      <c r="F2" s="69"/>
      <c r="G2" s="69"/>
      <c r="H2" s="69"/>
      <c r="I2" s="69"/>
      <c r="J2" s="69"/>
      <c r="K2" s="69"/>
      <c r="L2" s="69"/>
      <c r="M2" s="69"/>
      <c r="N2" s="69"/>
    </row>
    <row r="3" spans="1:14" ht="20.100000000000001" customHeight="1" x14ac:dyDescent="0.35">
      <c r="C3" s="70"/>
      <c r="D3" s="69"/>
      <c r="E3" s="69"/>
      <c r="F3" s="69"/>
      <c r="G3" s="69"/>
      <c r="H3" s="69"/>
      <c r="I3" s="69"/>
      <c r="J3" s="69"/>
      <c r="K3" s="69"/>
      <c r="L3" s="69"/>
      <c r="M3" s="69"/>
      <c r="N3" s="69"/>
    </row>
    <row r="4" spans="1:14" ht="20.100000000000001" customHeight="1" x14ac:dyDescent="0.35">
      <c r="C4" s="70"/>
      <c r="D4" s="69"/>
      <c r="E4" s="69"/>
      <c r="F4" s="69"/>
      <c r="G4" s="69"/>
      <c r="H4" s="69"/>
      <c r="I4" s="69"/>
      <c r="J4" s="69"/>
      <c r="K4" s="69"/>
      <c r="L4" s="69"/>
      <c r="M4" s="69"/>
      <c r="N4" s="69"/>
    </row>
    <row r="5" spans="1:14" ht="20.100000000000001" customHeight="1" x14ac:dyDescent="0.35">
      <c r="A5" s="70"/>
      <c r="B5" s="70"/>
      <c r="C5" s="70"/>
      <c r="D5" s="69"/>
      <c r="E5" s="69"/>
      <c r="F5" s="69"/>
      <c r="G5" s="69"/>
      <c r="H5" s="69"/>
      <c r="I5" s="69"/>
      <c r="J5" s="69"/>
      <c r="K5" s="69"/>
      <c r="L5" s="69"/>
      <c r="M5" s="69"/>
      <c r="N5" s="69"/>
    </row>
    <row r="6" spans="1:14" ht="20.100000000000001" customHeight="1" x14ac:dyDescent="0.35">
      <c r="A6" s="71" t="s">
        <v>32</v>
      </c>
      <c r="B6" s="71"/>
      <c r="C6" s="70"/>
      <c r="D6" s="69"/>
      <c r="E6" s="69"/>
      <c r="F6" s="69"/>
      <c r="G6" s="69"/>
      <c r="H6" s="69"/>
      <c r="I6" s="69"/>
      <c r="J6" s="69"/>
      <c r="K6" s="69"/>
      <c r="L6" s="69"/>
      <c r="M6" s="69"/>
      <c r="N6" s="69"/>
    </row>
    <row r="7" spans="1:14" ht="20.100000000000001" customHeight="1" x14ac:dyDescent="0.35">
      <c r="A7" s="70"/>
      <c r="B7" s="70" t="s">
        <v>33</v>
      </c>
      <c r="C7" s="70" t="s">
        <v>34</v>
      </c>
      <c r="D7" s="69"/>
      <c r="E7" s="69"/>
      <c r="F7" s="69"/>
      <c r="G7" s="69"/>
      <c r="H7" s="69"/>
      <c r="I7" s="69"/>
      <c r="J7" s="69"/>
      <c r="K7" s="69"/>
      <c r="L7" s="69"/>
      <c r="M7" s="69"/>
      <c r="N7" s="69"/>
    </row>
    <row r="8" spans="1:14" ht="20.100000000000001" customHeight="1" x14ac:dyDescent="0.35">
      <c r="A8" s="70"/>
      <c r="B8" s="70" t="s">
        <v>35</v>
      </c>
      <c r="C8" s="70" t="s">
        <v>36</v>
      </c>
      <c r="D8" s="69"/>
      <c r="E8" s="69"/>
      <c r="F8" s="69"/>
      <c r="G8" s="69"/>
      <c r="H8" s="69"/>
      <c r="I8" s="69"/>
      <c r="J8" s="69"/>
      <c r="K8" s="69"/>
      <c r="L8" s="69"/>
      <c r="M8" s="69"/>
      <c r="N8" s="69"/>
    </row>
    <row r="9" spans="1:14" ht="20.100000000000001" customHeight="1" x14ac:dyDescent="0.35">
      <c r="A9" s="70"/>
      <c r="B9" s="70" t="s">
        <v>37</v>
      </c>
      <c r="C9" s="70" t="s">
        <v>40</v>
      </c>
      <c r="D9" s="69"/>
      <c r="E9" s="69"/>
      <c r="F9" s="69"/>
      <c r="G9" s="69"/>
      <c r="H9" s="69"/>
      <c r="I9" s="69"/>
      <c r="J9" s="69"/>
      <c r="K9" s="69"/>
      <c r="L9" s="69"/>
      <c r="M9" s="69"/>
      <c r="N9" s="69"/>
    </row>
    <row r="10" spans="1:14" ht="20.100000000000001" customHeight="1" x14ac:dyDescent="0.35">
      <c r="A10" s="70"/>
      <c r="B10" s="70" t="s">
        <v>38</v>
      </c>
      <c r="C10" s="70" t="s">
        <v>42</v>
      </c>
      <c r="D10" s="69"/>
      <c r="E10" s="69"/>
      <c r="F10" s="69"/>
      <c r="G10" s="69"/>
      <c r="H10" s="69"/>
      <c r="I10" s="69"/>
      <c r="J10" s="69"/>
      <c r="K10" s="69"/>
      <c r="L10" s="69"/>
      <c r="M10" s="69"/>
      <c r="N10" s="69"/>
    </row>
    <row r="11" spans="1:14" ht="20.100000000000001" customHeight="1" x14ac:dyDescent="0.35">
      <c r="A11" s="70"/>
      <c r="B11" s="70" t="s">
        <v>39</v>
      </c>
      <c r="C11" s="70" t="s">
        <v>43</v>
      </c>
      <c r="D11" s="69"/>
      <c r="E11" s="69"/>
      <c r="F11" s="69"/>
      <c r="G11" s="69"/>
      <c r="H11" s="69"/>
      <c r="I11" s="69"/>
      <c r="J11" s="69"/>
      <c r="K11" s="69"/>
      <c r="L11" s="69"/>
      <c r="M11" s="69"/>
      <c r="N11" s="69"/>
    </row>
    <row r="12" spans="1:14" ht="20.100000000000001" customHeight="1" x14ac:dyDescent="0.35">
      <c r="A12" s="70"/>
      <c r="B12" s="70" t="s">
        <v>41</v>
      </c>
      <c r="C12" s="70" t="s">
        <v>44</v>
      </c>
      <c r="D12" s="69"/>
      <c r="E12" s="69"/>
      <c r="F12" s="69"/>
      <c r="G12" s="69"/>
      <c r="H12" s="69"/>
      <c r="I12" s="69"/>
      <c r="J12" s="69"/>
      <c r="K12" s="69"/>
      <c r="L12" s="69"/>
      <c r="M12" s="69"/>
      <c r="N12" s="69"/>
    </row>
    <row r="13" spans="1:14" ht="18.75" customHeight="1" x14ac:dyDescent="0.35">
      <c r="A13" s="70"/>
      <c r="B13" s="70"/>
      <c r="C13" s="70"/>
      <c r="D13" s="69"/>
      <c r="E13" s="69"/>
      <c r="F13" s="69"/>
      <c r="G13" s="69"/>
      <c r="H13" s="69"/>
      <c r="I13" s="69"/>
      <c r="J13" s="69"/>
      <c r="K13" s="69"/>
      <c r="L13" s="69"/>
      <c r="M13" s="69"/>
      <c r="N13" s="69"/>
    </row>
    <row r="14" spans="1:14" ht="20.100000000000001" customHeight="1" x14ac:dyDescent="0.35">
      <c r="A14" s="273" t="s">
        <v>45</v>
      </c>
      <c r="B14" s="71"/>
      <c r="C14" s="70"/>
      <c r="D14" s="69"/>
      <c r="E14" s="69"/>
      <c r="F14" s="69"/>
      <c r="G14" s="69"/>
      <c r="H14" s="69"/>
      <c r="I14" s="69"/>
      <c r="J14" s="69"/>
      <c r="K14" s="69"/>
      <c r="L14" s="69"/>
      <c r="M14" s="69"/>
      <c r="N14" s="69"/>
    </row>
    <row r="15" spans="1:14" ht="20.100000000000001" customHeight="1" x14ac:dyDescent="0.35">
      <c r="A15" s="70"/>
      <c r="B15" s="70" t="s">
        <v>46</v>
      </c>
      <c r="C15" s="70"/>
      <c r="D15" s="69"/>
      <c r="E15" s="69"/>
      <c r="F15" s="69"/>
      <c r="G15" s="69"/>
      <c r="H15" s="69"/>
      <c r="I15" s="69"/>
      <c r="J15" s="69"/>
      <c r="K15" s="69"/>
      <c r="L15" s="69"/>
      <c r="M15" s="69"/>
      <c r="N15" s="69"/>
    </row>
    <row r="16" spans="1:14" ht="20.100000000000001" customHeight="1" x14ac:dyDescent="0.35">
      <c r="A16" s="70"/>
      <c r="B16" s="71" t="s">
        <v>47</v>
      </c>
      <c r="C16" s="70" t="s">
        <v>48</v>
      </c>
      <c r="D16" s="69"/>
      <c r="E16" s="69"/>
      <c r="F16" s="69"/>
      <c r="G16" s="69"/>
      <c r="H16" s="69"/>
      <c r="I16" s="69"/>
      <c r="J16" s="69"/>
      <c r="K16" s="69"/>
      <c r="L16" s="69"/>
      <c r="M16" s="69"/>
      <c r="N16" s="69"/>
    </row>
    <row r="17" spans="1:14" ht="20.100000000000001" customHeight="1" x14ac:dyDescent="0.35">
      <c r="A17" s="70"/>
      <c r="B17" s="71" t="s">
        <v>49</v>
      </c>
      <c r="C17" s="70" t="s">
        <v>50</v>
      </c>
      <c r="D17" s="69"/>
      <c r="E17" s="69"/>
      <c r="F17" s="69"/>
      <c r="G17" s="69"/>
      <c r="H17" s="69"/>
      <c r="I17" s="69"/>
      <c r="J17" s="69"/>
      <c r="K17" s="69"/>
      <c r="L17" s="69"/>
      <c r="M17" s="69"/>
      <c r="N17" s="69"/>
    </row>
    <row r="18" spans="1:14" ht="20.100000000000001" customHeight="1" x14ac:dyDescent="0.35">
      <c r="A18" s="70"/>
      <c r="B18" s="71" t="s">
        <v>344</v>
      </c>
      <c r="C18" s="70" t="s">
        <v>345</v>
      </c>
      <c r="D18" s="69"/>
      <c r="E18" s="69"/>
      <c r="F18" s="69"/>
      <c r="G18" s="69"/>
      <c r="H18" s="69"/>
      <c r="I18" s="69"/>
      <c r="J18" s="69"/>
      <c r="K18" s="69"/>
      <c r="L18" s="69"/>
      <c r="M18" s="69"/>
      <c r="N18" s="69"/>
    </row>
    <row r="19" spans="1:14" ht="20.100000000000001" customHeight="1" x14ac:dyDescent="0.35">
      <c r="A19" s="70"/>
      <c r="B19" s="70" t="s">
        <v>346</v>
      </c>
      <c r="C19" s="70" t="s">
        <v>274</v>
      </c>
      <c r="D19" s="69"/>
      <c r="E19" s="69"/>
      <c r="F19" s="69"/>
      <c r="G19" s="69"/>
      <c r="H19" s="69"/>
      <c r="I19" s="69"/>
      <c r="J19" s="69"/>
      <c r="K19" s="69"/>
      <c r="L19" s="69"/>
      <c r="M19" s="69"/>
      <c r="N19" s="69"/>
    </row>
    <row r="20" spans="1:14" s="347" customFormat="1" ht="20.100000000000001" customHeight="1" x14ac:dyDescent="0.35">
      <c r="A20" s="345"/>
      <c r="B20" s="345" t="s">
        <v>348</v>
      </c>
      <c r="C20" s="345" t="s">
        <v>347</v>
      </c>
      <c r="D20" s="346"/>
      <c r="E20" s="346"/>
      <c r="F20" s="346"/>
      <c r="G20" s="346"/>
      <c r="H20" s="346"/>
      <c r="I20" s="346"/>
      <c r="J20" s="346"/>
      <c r="K20" s="346"/>
      <c r="L20" s="346"/>
      <c r="M20" s="346"/>
      <c r="N20" s="346"/>
    </row>
    <row r="21" spans="1:14" ht="20.100000000000001" customHeight="1" x14ac:dyDescent="0.35">
      <c r="A21" s="70"/>
      <c r="B21" s="70"/>
      <c r="C21" s="70"/>
    </row>
    <row r="22" spans="1:14" ht="19.5" customHeight="1" x14ac:dyDescent="0.35">
      <c r="A22" s="70"/>
      <c r="B22" s="345" t="s">
        <v>260</v>
      </c>
      <c r="C22" s="345"/>
    </row>
    <row r="23" spans="1:14" ht="20.100000000000001" customHeight="1" x14ac:dyDescent="0.35">
      <c r="A23" s="70"/>
      <c r="B23" s="348" t="s">
        <v>261</v>
      </c>
      <c r="C23" s="345" t="s">
        <v>262</v>
      </c>
    </row>
    <row r="24" spans="1:14" ht="20.100000000000001" customHeight="1" x14ac:dyDescent="0.35">
      <c r="A24" s="70"/>
      <c r="B24" s="348" t="s">
        <v>263</v>
      </c>
      <c r="C24" s="345" t="s">
        <v>264</v>
      </c>
    </row>
    <row r="25" spans="1:14" ht="20.100000000000001" customHeight="1" x14ac:dyDescent="0.35">
      <c r="A25" s="70"/>
      <c r="B25" s="348" t="s">
        <v>265</v>
      </c>
      <c r="C25" s="345" t="s">
        <v>266</v>
      </c>
    </row>
    <row r="26" spans="1:14" ht="20.100000000000001" customHeight="1" x14ac:dyDescent="0.35">
      <c r="A26" s="70"/>
      <c r="B26" s="348" t="s">
        <v>267</v>
      </c>
      <c r="C26" s="345" t="s">
        <v>268</v>
      </c>
    </row>
    <row r="27" spans="1:14" ht="20.100000000000001" customHeight="1" x14ac:dyDescent="0.35">
      <c r="A27" s="70"/>
      <c r="B27" s="348" t="s">
        <v>177</v>
      </c>
      <c r="C27" s="345" t="s">
        <v>269</v>
      </c>
    </row>
    <row r="28" spans="1:14" ht="20.100000000000001" customHeight="1" x14ac:dyDescent="0.35">
      <c r="A28" s="70"/>
      <c r="B28" s="348" t="s">
        <v>270</v>
      </c>
      <c r="C28" s="345" t="s">
        <v>497</v>
      </c>
    </row>
    <row r="29" spans="1:14" ht="20.100000000000001" customHeight="1" x14ac:dyDescent="0.35">
      <c r="A29" s="70"/>
      <c r="B29" s="348" t="s">
        <v>271</v>
      </c>
      <c r="C29" s="345" t="s">
        <v>498</v>
      </c>
    </row>
    <row r="30" spans="1:14" ht="18.75" customHeight="1" x14ac:dyDescent="0.35">
      <c r="A30" s="70"/>
      <c r="B30" s="348" t="s">
        <v>272</v>
      </c>
      <c r="C30" s="345" t="s">
        <v>273</v>
      </c>
    </row>
    <row r="31" spans="1:14" ht="18.75" customHeight="1" x14ac:dyDescent="0.35">
      <c r="A31" s="70"/>
      <c r="B31" s="348"/>
      <c r="C31" s="345"/>
    </row>
    <row r="32" spans="1:14" ht="20.100000000000001" customHeight="1" x14ac:dyDescent="0.35">
      <c r="A32" s="70"/>
      <c r="B32" s="70"/>
      <c r="C32" s="70"/>
    </row>
    <row r="33" spans="1:14" x14ac:dyDescent="0.35">
      <c r="A33" s="71" t="s">
        <v>51</v>
      </c>
      <c r="B33" s="70"/>
      <c r="C33" s="70"/>
    </row>
    <row r="34" spans="1:14" ht="26.25" hidden="1" customHeight="1" x14ac:dyDescent="0.4">
      <c r="C34" s="72"/>
    </row>
    <row r="35" spans="1:14" ht="26.25" hidden="1" customHeight="1" x14ac:dyDescent="0.4">
      <c r="C35" s="72"/>
    </row>
    <row r="36" spans="1:14" ht="18.75" customHeight="1" x14ac:dyDescent="0.4">
      <c r="C36" s="343"/>
      <c r="D36" s="344"/>
    </row>
    <row r="37" spans="1:14" ht="26.25" x14ac:dyDescent="0.4">
      <c r="C37" s="72"/>
    </row>
    <row r="38" spans="1:14" ht="26.25" x14ac:dyDescent="0.4">
      <c r="C38" s="72"/>
    </row>
    <row r="39" spans="1:14" ht="26.25" x14ac:dyDescent="0.4">
      <c r="C39" s="343"/>
      <c r="D39" s="347"/>
      <c r="E39" s="347"/>
      <c r="F39" s="347"/>
      <c r="G39" s="347"/>
      <c r="H39" s="347"/>
      <c r="I39" s="347"/>
      <c r="J39" s="347"/>
      <c r="K39" s="347"/>
      <c r="L39" s="347"/>
      <c r="M39" s="347"/>
      <c r="N39" s="347"/>
    </row>
    <row r="40" spans="1:14" ht="26.25" x14ac:dyDescent="0.4">
      <c r="C40" s="72"/>
    </row>
    <row r="41" spans="1:14" ht="26.25" x14ac:dyDescent="0.4">
      <c r="C41" s="72"/>
    </row>
    <row r="42" spans="1:14" ht="26.25" x14ac:dyDescent="0.4">
      <c r="C42" s="72"/>
    </row>
    <row r="43" spans="1:14" ht="26.25" x14ac:dyDescent="0.4">
      <c r="C43" s="72"/>
    </row>
    <row r="44" spans="1:14" ht="26.25" x14ac:dyDescent="0.4">
      <c r="C44" s="72"/>
    </row>
    <row r="45" spans="1:14" ht="26.25" x14ac:dyDescent="0.4">
      <c r="C45" s="72"/>
    </row>
    <row r="46" spans="1:14" ht="26.25" x14ac:dyDescent="0.4">
      <c r="C46" s="72"/>
    </row>
    <row r="47" spans="1:14" ht="26.25" x14ac:dyDescent="0.4">
      <c r="C47" s="72"/>
    </row>
    <row r="48" spans="1:14" ht="26.25" x14ac:dyDescent="0.4">
      <c r="C48" s="72"/>
    </row>
    <row r="49" spans="3:3" ht="26.25" x14ac:dyDescent="0.4">
      <c r="C49" s="72"/>
    </row>
    <row r="50" spans="3:3" ht="26.25" x14ac:dyDescent="0.4">
      <c r="C50" s="72"/>
    </row>
    <row r="51" spans="3:3" ht="26.25" x14ac:dyDescent="0.4">
      <c r="C51" s="72"/>
    </row>
    <row r="52" spans="3:3" ht="26.25" x14ac:dyDescent="0.4">
      <c r="C52" s="72"/>
    </row>
    <row r="53" spans="3:3" ht="26.25" x14ac:dyDescent="0.4">
      <c r="C53" s="72"/>
    </row>
    <row r="54" spans="3:3" ht="26.25" x14ac:dyDescent="0.4">
      <c r="C54" s="72"/>
    </row>
    <row r="55" spans="3:3" ht="26.25" x14ac:dyDescent="0.4">
      <c r="C55" s="72"/>
    </row>
    <row r="56" spans="3:3" ht="26.25" x14ac:dyDescent="0.4">
      <c r="C56" s="72"/>
    </row>
    <row r="57" spans="3:3" ht="26.25" x14ac:dyDescent="0.4">
      <c r="C57" s="72"/>
    </row>
    <row r="58" spans="3:3" ht="26.25" x14ac:dyDescent="0.4">
      <c r="C58" s="72"/>
    </row>
  </sheetData>
  <hyperlinks>
    <hyperlink ref="A6" location="Figurer!A1" display="FIGURER" xr:uid="{00000000-0004-0000-0100-000000000000}"/>
    <hyperlink ref="A14" location="'Tabel 1.1'!A1" display="TABELLER" xr:uid="{00000000-0004-0000-0100-000001000000}"/>
    <hyperlink ref="B16" location="'Tabell 1.1'!A1" display="Tabell 1.1" xr:uid="{00000000-0004-0000-0100-000002000000}"/>
    <hyperlink ref="B17" location="'Tabell 1.2'!A1" display="Tabell 1.2" xr:uid="{00000000-0004-0000-0100-000003000000}"/>
    <hyperlink ref="A33" location="'Noter og kommentarer'!A1" display="NOTER OG KOMMENTARER" xr:uid="{00000000-0004-0000-0100-000004000000}"/>
    <hyperlink ref="B23" location="'Tabell 4'!A1" display="Tabell 4" xr:uid="{00000000-0004-0000-0100-000005000000}"/>
    <hyperlink ref="B27" location="'Tabell 6'!A1" display="Tabell 6" xr:uid="{00000000-0004-0000-0100-000006000000}"/>
    <hyperlink ref="B30" location="'Tabell 8'!A1" display="Tabell 8" xr:uid="{00000000-0004-0000-0100-000007000000}"/>
    <hyperlink ref="B24" location="'Tabell 5.1'!A1" display="Tabell 5.1" xr:uid="{00000000-0004-0000-0100-000008000000}"/>
    <hyperlink ref="B25" location="'Tabell 5.2'!A1" display="Tabell 5.2" xr:uid="{00000000-0004-0000-0100-000009000000}"/>
    <hyperlink ref="B26" location="'Tabell 5.3'!A1" display="Tabell 5.3" xr:uid="{00000000-0004-0000-0100-00000A000000}"/>
    <hyperlink ref="B28" location="'Tabell 7a'!A1" display="Tabell 7a" xr:uid="{00000000-0004-0000-0100-00000B000000}"/>
    <hyperlink ref="B29" location="'Tabell 7b'!A1" display="Tabell 7b" xr:uid="{00000000-0004-0000-0100-00000C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139</v>
      </c>
      <c r="B1" s="945"/>
      <c r="C1" s="248" t="s">
        <v>138</v>
      </c>
      <c r="D1" s="26"/>
      <c r="E1" s="26"/>
      <c r="F1" s="26"/>
      <c r="G1" s="26"/>
      <c r="H1" s="26"/>
      <c r="I1" s="26"/>
      <c r="J1" s="26"/>
      <c r="K1" s="26"/>
      <c r="L1" s="26"/>
      <c r="M1" s="26"/>
    </row>
    <row r="2" spans="1:14" ht="15.75" x14ac:dyDescent="0.25">
      <c r="A2" s="165" t="s">
        <v>28</v>
      </c>
      <c r="B2" s="972"/>
      <c r="C2" s="972"/>
      <c r="D2" s="972"/>
      <c r="E2" s="298"/>
      <c r="F2" s="972"/>
      <c r="G2" s="972"/>
      <c r="H2" s="972"/>
      <c r="I2" s="298"/>
      <c r="J2" s="972"/>
      <c r="K2" s="972"/>
      <c r="L2" s="972"/>
      <c r="M2" s="298"/>
    </row>
    <row r="3" spans="1:14" ht="15.75" x14ac:dyDescent="0.25">
      <c r="A3" s="163"/>
      <c r="B3" s="298"/>
      <c r="C3" s="298"/>
      <c r="D3" s="298"/>
      <c r="E3" s="298"/>
      <c r="F3" s="298"/>
      <c r="G3" s="298"/>
      <c r="H3" s="298"/>
      <c r="I3" s="298"/>
      <c r="J3" s="298"/>
      <c r="K3" s="298"/>
      <c r="L3" s="298"/>
      <c r="M3" s="298"/>
    </row>
    <row r="4" spans="1:14" x14ac:dyDescent="0.2">
      <c r="A4" s="144"/>
      <c r="B4" s="973" t="s">
        <v>0</v>
      </c>
      <c r="C4" s="974"/>
      <c r="D4" s="974"/>
      <c r="E4" s="300"/>
      <c r="F4" s="973" t="s">
        <v>1</v>
      </c>
      <c r="G4" s="974"/>
      <c r="H4" s="974"/>
      <c r="I4" s="303"/>
      <c r="J4" s="973" t="s">
        <v>2</v>
      </c>
      <c r="K4" s="974"/>
      <c r="L4" s="974"/>
      <c r="M4" s="303"/>
    </row>
    <row r="5" spans="1:14" x14ac:dyDescent="0.2">
      <c r="A5" s="158"/>
      <c r="B5" s="152" t="s">
        <v>492</v>
      </c>
      <c r="C5" s="152" t="s">
        <v>493</v>
      </c>
      <c r="D5" s="245" t="s">
        <v>3</v>
      </c>
      <c r="E5" s="304" t="s">
        <v>29</v>
      </c>
      <c r="F5" s="152" t="s">
        <v>492</v>
      </c>
      <c r="G5" s="152" t="s">
        <v>493</v>
      </c>
      <c r="H5" s="245" t="s">
        <v>3</v>
      </c>
      <c r="I5" s="162" t="s">
        <v>29</v>
      </c>
      <c r="J5" s="152" t="s">
        <v>492</v>
      </c>
      <c r="K5" s="152" t="s">
        <v>493</v>
      </c>
      <c r="L5" s="245" t="s">
        <v>3</v>
      </c>
      <c r="M5" s="162" t="s">
        <v>29</v>
      </c>
    </row>
    <row r="6" spans="1:14" x14ac:dyDescent="0.2">
      <c r="A6" s="946"/>
      <c r="B6" s="156"/>
      <c r="C6" s="156"/>
      <c r="D6" s="246" t="s">
        <v>4</v>
      </c>
      <c r="E6" s="156" t="s">
        <v>30</v>
      </c>
      <c r="F6" s="161"/>
      <c r="G6" s="161"/>
      <c r="H6" s="245" t="s">
        <v>4</v>
      </c>
      <c r="I6" s="156" t="s">
        <v>30</v>
      </c>
      <c r="J6" s="161"/>
      <c r="K6" s="161"/>
      <c r="L6" s="245" t="s">
        <v>4</v>
      </c>
      <c r="M6" s="156" t="s">
        <v>30</v>
      </c>
    </row>
    <row r="7" spans="1:14" ht="15.75" x14ac:dyDescent="0.2">
      <c r="A7" s="14" t="s">
        <v>23</v>
      </c>
      <c r="B7" s="305">
        <v>6494.3419999999996</v>
      </c>
      <c r="C7" s="306">
        <v>11203</v>
      </c>
      <c r="D7" s="349">
        <f>IF(B7=0, "    ---- ", IF(ABS(ROUND(100/B7*C7-100,1))&lt;999,ROUND(100/B7*C7-100,1),IF(ROUND(100/B7*C7-100,1)&gt;999,999,-999)))</f>
        <v>72.5</v>
      </c>
      <c r="E7" s="11">
        <f>IFERROR(100/'Skjema total MA'!C7*C7,0)</f>
        <v>0.23824894595473806</v>
      </c>
      <c r="F7" s="305"/>
      <c r="G7" s="306"/>
      <c r="H7" s="349"/>
      <c r="I7" s="160"/>
      <c r="J7" s="307">
        <f t="shared" ref="J7:K10" si="0">SUM(B7,F7)</f>
        <v>6494.3419999999996</v>
      </c>
      <c r="K7" s="308">
        <f t="shared" si="0"/>
        <v>11203</v>
      </c>
      <c r="L7" s="372">
        <f>IF(J7=0, "    ---- ", IF(ABS(ROUND(100/J7*K7-100,1))&lt;999,ROUND(100/J7*K7-100,1),IF(ROUND(100/J7*K7-100,1)&gt;999,999,-999)))</f>
        <v>72.5</v>
      </c>
      <c r="M7" s="11">
        <f>IFERROR(100/'Skjema total MA'!I7*K7,0)</f>
        <v>7.3949957668689836E-2</v>
      </c>
    </row>
    <row r="8" spans="1:14" ht="15.75" x14ac:dyDescent="0.2">
      <c r="A8" s="21" t="s">
        <v>25</v>
      </c>
      <c r="B8" s="280">
        <v>6085.7839999999997</v>
      </c>
      <c r="C8" s="281">
        <v>10538</v>
      </c>
      <c r="D8" s="166">
        <f t="shared" ref="D8:D10" si="1">IF(B8=0, "    ---- ", IF(ABS(ROUND(100/B8*C8-100,1))&lt;999,ROUND(100/B8*C8-100,1),IF(ROUND(100/B8*C8-100,1)&gt;999,999,-999)))</f>
        <v>73.2</v>
      </c>
      <c r="E8" s="27">
        <f>IFERROR(100/'Skjema total MA'!C8*C8,0)</f>
        <v>0.37517004770767798</v>
      </c>
      <c r="F8" s="284"/>
      <c r="G8" s="285"/>
      <c r="H8" s="166"/>
      <c r="I8" s="175"/>
      <c r="J8" s="234">
        <f t="shared" si="0"/>
        <v>6085.7839999999997</v>
      </c>
      <c r="K8" s="286">
        <f t="shared" si="0"/>
        <v>10538</v>
      </c>
      <c r="L8" s="166">
        <f t="shared" ref="L8:L9" si="2">IF(J8=0, "    ---- ", IF(ABS(ROUND(100/J8*K8-100,1))&lt;999,ROUND(100/J8*K8-100,1),IF(ROUND(100/J8*K8-100,1)&gt;999,999,-999)))</f>
        <v>73.2</v>
      </c>
      <c r="M8" s="27">
        <f>IFERROR(100/'Skjema total MA'!I8*K8,0)</f>
        <v>0.37517004770767798</v>
      </c>
    </row>
    <row r="9" spans="1:14" ht="15.75" x14ac:dyDescent="0.2">
      <c r="A9" s="21" t="s">
        <v>24</v>
      </c>
      <c r="B9" s="280">
        <v>408.55799999999999</v>
      </c>
      <c r="C9" s="281">
        <v>665</v>
      </c>
      <c r="D9" s="166">
        <f t="shared" si="1"/>
        <v>62.8</v>
      </c>
      <c r="E9" s="27">
        <f>IFERROR(100/'Skjema total MA'!C9*C9,0)</f>
        <v>6.7533054169496551E-2</v>
      </c>
      <c r="F9" s="284"/>
      <c r="G9" s="285"/>
      <c r="H9" s="166"/>
      <c r="I9" s="175"/>
      <c r="J9" s="234">
        <f t="shared" si="0"/>
        <v>408.55799999999999</v>
      </c>
      <c r="K9" s="286">
        <f t="shared" si="0"/>
        <v>665</v>
      </c>
      <c r="L9" s="166">
        <f t="shared" si="2"/>
        <v>62.8</v>
      </c>
      <c r="M9" s="27">
        <f>IFERROR(100/'Skjema total MA'!I9*K9,0)</f>
        <v>6.7533054169496551E-2</v>
      </c>
    </row>
    <row r="10" spans="1:14" ht="15.75" x14ac:dyDescent="0.2">
      <c r="A10" s="13" t="s">
        <v>451</v>
      </c>
      <c r="B10" s="309">
        <v>15023</v>
      </c>
      <c r="C10" s="310">
        <v>13911.054</v>
      </c>
      <c r="D10" s="171">
        <f t="shared" si="1"/>
        <v>-7.4</v>
      </c>
      <c r="E10" s="11">
        <f>IFERROR(100/'Skjema total MA'!C10*C10,0)</f>
        <v>6.580175425359823E-2</v>
      </c>
      <c r="F10" s="309"/>
      <c r="G10" s="310"/>
      <c r="H10" s="171"/>
      <c r="I10" s="160"/>
      <c r="J10" s="307">
        <f t="shared" si="0"/>
        <v>15023</v>
      </c>
      <c r="K10" s="308">
        <f t="shared" si="0"/>
        <v>13911.054</v>
      </c>
      <c r="L10" s="373">
        <f t="shared" ref="L10" si="3">IF(J10=0, "    ---- ", IF(ABS(ROUND(100/J10*K10-100,1))&lt;999,ROUND(100/J10*K10-100,1),IF(ROUND(100/J10*K10-100,1)&gt;999,999,-999)))</f>
        <v>-7.4</v>
      </c>
      <c r="M10" s="11">
        <f>IFERROR(100/'Skjema total MA'!I10*K10,0)</f>
        <v>1.8768672039238828E-2</v>
      </c>
    </row>
    <row r="11" spans="1:14" s="43" customFormat="1" ht="15.75" x14ac:dyDescent="0.2">
      <c r="A11" s="13" t="s">
        <v>452</v>
      </c>
      <c r="B11" s="309"/>
      <c r="C11" s="310"/>
      <c r="D11" s="171"/>
      <c r="E11" s="11"/>
      <c r="F11" s="309"/>
      <c r="G11" s="310"/>
      <c r="H11" s="171"/>
      <c r="I11" s="160"/>
      <c r="J11" s="307"/>
      <c r="K11" s="308"/>
      <c r="L11" s="373"/>
      <c r="M11" s="11"/>
      <c r="N11" s="143"/>
    </row>
    <row r="12" spans="1:14" s="43" customFormat="1" ht="15.75" x14ac:dyDescent="0.2">
      <c r="A12" s="41" t="s">
        <v>453</v>
      </c>
      <c r="B12" s="311"/>
      <c r="C12" s="312"/>
      <c r="D12" s="169"/>
      <c r="E12" s="36"/>
      <c r="F12" s="311"/>
      <c r="G12" s="312"/>
      <c r="H12" s="169"/>
      <c r="I12" s="169"/>
      <c r="J12" s="313"/>
      <c r="K12" s="314"/>
      <c r="L12" s="374"/>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975"/>
      <c r="C18" s="975"/>
      <c r="D18" s="975"/>
      <c r="E18" s="298"/>
      <c r="F18" s="975"/>
      <c r="G18" s="975"/>
      <c r="H18" s="975"/>
      <c r="I18" s="298"/>
      <c r="J18" s="975"/>
      <c r="K18" s="975"/>
      <c r="L18" s="975"/>
      <c r="M18" s="298"/>
    </row>
    <row r="19" spans="1:14" x14ac:dyDescent="0.2">
      <c r="A19" s="144"/>
      <c r="B19" s="973" t="s">
        <v>0</v>
      </c>
      <c r="C19" s="974"/>
      <c r="D19" s="974"/>
      <c r="E19" s="300"/>
      <c r="F19" s="973" t="s">
        <v>1</v>
      </c>
      <c r="G19" s="974"/>
      <c r="H19" s="974"/>
      <c r="I19" s="303"/>
      <c r="J19" s="973" t="s">
        <v>2</v>
      </c>
      <c r="K19" s="974"/>
      <c r="L19" s="974"/>
      <c r="M19" s="303"/>
    </row>
    <row r="20" spans="1:14" x14ac:dyDescent="0.2">
      <c r="A20" s="140" t="s">
        <v>5</v>
      </c>
      <c r="B20" s="152" t="s">
        <v>492</v>
      </c>
      <c r="C20" s="152" t="s">
        <v>493</v>
      </c>
      <c r="D20" s="162" t="s">
        <v>3</v>
      </c>
      <c r="E20" s="304" t="s">
        <v>29</v>
      </c>
      <c r="F20" s="152" t="s">
        <v>492</v>
      </c>
      <c r="G20" s="152" t="s">
        <v>493</v>
      </c>
      <c r="H20" s="162" t="s">
        <v>3</v>
      </c>
      <c r="I20" s="162" t="s">
        <v>29</v>
      </c>
      <c r="J20" s="152" t="s">
        <v>492</v>
      </c>
      <c r="K20" s="152" t="s">
        <v>493</v>
      </c>
      <c r="L20" s="162" t="s">
        <v>3</v>
      </c>
      <c r="M20" s="162" t="s">
        <v>29</v>
      </c>
    </row>
    <row r="21" spans="1:14" x14ac:dyDescent="0.2">
      <c r="A21" s="947"/>
      <c r="B21" s="156"/>
      <c r="C21" s="156"/>
      <c r="D21" s="246" t="s">
        <v>4</v>
      </c>
      <c r="E21" s="156" t="s">
        <v>30</v>
      </c>
      <c r="F21" s="161"/>
      <c r="G21" s="161"/>
      <c r="H21" s="245" t="s">
        <v>4</v>
      </c>
      <c r="I21" s="156" t="s">
        <v>30</v>
      </c>
      <c r="J21" s="161"/>
      <c r="K21" s="161"/>
      <c r="L21" s="156" t="s">
        <v>4</v>
      </c>
      <c r="M21" s="156" t="s">
        <v>30</v>
      </c>
    </row>
    <row r="22" spans="1:14" ht="15.75" x14ac:dyDescent="0.2">
      <c r="A22" s="14" t="s">
        <v>23</v>
      </c>
      <c r="B22" s="309">
        <v>7978.0510000000004</v>
      </c>
      <c r="C22" s="309">
        <v>12719</v>
      </c>
      <c r="D22" s="349">
        <f t="shared" ref="D22:D29" si="4">IF(B22=0, "    ---- ", IF(ABS(ROUND(100/B22*C22-100,1))&lt;999,ROUND(100/B22*C22-100,1),IF(ROUND(100/B22*C22-100,1)&gt;999,999,-999)))</f>
        <v>59.4</v>
      </c>
      <c r="E22" s="11">
        <f>IFERROR(100/'Skjema total MA'!C22*C22,0)</f>
        <v>0.71107808771679781</v>
      </c>
      <c r="F22" s="317"/>
      <c r="G22" s="317"/>
      <c r="H22" s="349"/>
      <c r="I22" s="11"/>
      <c r="J22" s="315">
        <f t="shared" ref="J22:K29" si="5">SUM(B22,F22)</f>
        <v>7978.0510000000004</v>
      </c>
      <c r="K22" s="315">
        <f t="shared" si="5"/>
        <v>12719</v>
      </c>
      <c r="L22" s="372">
        <f t="shared" ref="L22:L29" si="6">IF(J22=0, "    ---- ", IF(ABS(ROUND(100/J22*K22-100,1))&lt;999,ROUND(100/J22*K22-100,1),IF(ROUND(100/J22*K22-100,1)&gt;999,999,-999)))</f>
        <v>59.4</v>
      </c>
      <c r="M22" s="24">
        <f>IFERROR(100/'Skjema total MA'!I22*K22,0)</f>
        <v>0.40893450606123949</v>
      </c>
    </row>
    <row r="23" spans="1:14" ht="15.75" x14ac:dyDescent="0.2">
      <c r="A23" s="753" t="s">
        <v>454</v>
      </c>
      <c r="B23" s="280"/>
      <c r="C23" s="280"/>
      <c r="D23" s="166"/>
      <c r="E23" s="11"/>
      <c r="F23" s="289"/>
      <c r="G23" s="289"/>
      <c r="H23" s="166"/>
      <c r="I23" s="365"/>
      <c r="J23" s="289"/>
      <c r="K23" s="289"/>
      <c r="L23" s="166"/>
      <c r="M23" s="23"/>
    </row>
    <row r="24" spans="1:14" ht="15.75" x14ac:dyDescent="0.2">
      <c r="A24" s="753" t="s">
        <v>455</v>
      </c>
      <c r="B24" s="280"/>
      <c r="C24" s="280"/>
      <c r="D24" s="166"/>
      <c r="E24" s="11"/>
      <c r="F24" s="289"/>
      <c r="G24" s="289"/>
      <c r="H24" s="166"/>
      <c r="I24" s="365"/>
      <c r="J24" s="289"/>
      <c r="K24" s="289"/>
      <c r="L24" s="166"/>
      <c r="M24" s="23"/>
    </row>
    <row r="25" spans="1:14" ht="15.75" x14ac:dyDescent="0.2">
      <c r="A25" s="753" t="s">
        <v>456</v>
      </c>
      <c r="B25" s="280"/>
      <c r="C25" s="280"/>
      <c r="D25" s="166"/>
      <c r="E25" s="11"/>
      <c r="F25" s="289"/>
      <c r="G25" s="289"/>
      <c r="H25" s="166"/>
      <c r="I25" s="365"/>
      <c r="J25" s="289"/>
      <c r="K25" s="289"/>
      <c r="L25" s="166"/>
      <c r="M25" s="23"/>
    </row>
    <row r="26" spans="1:14" ht="15.75" x14ac:dyDescent="0.2">
      <c r="A26" s="753" t="s">
        <v>457</v>
      </c>
      <c r="B26" s="280"/>
      <c r="C26" s="280"/>
      <c r="D26" s="166"/>
      <c r="E26" s="11"/>
      <c r="F26" s="289"/>
      <c r="G26" s="289"/>
      <c r="H26" s="166"/>
      <c r="I26" s="365"/>
      <c r="J26" s="289"/>
      <c r="K26" s="289"/>
      <c r="L26" s="166"/>
      <c r="M26" s="23"/>
    </row>
    <row r="27" spans="1:14" x14ac:dyDescent="0.2">
      <c r="A27" s="753" t="s">
        <v>11</v>
      </c>
      <c r="B27" s="280"/>
      <c r="C27" s="280"/>
      <c r="D27" s="166"/>
      <c r="E27" s="11"/>
      <c r="F27" s="289"/>
      <c r="G27" s="289"/>
      <c r="H27" s="166"/>
      <c r="I27" s="365"/>
      <c r="J27" s="289"/>
      <c r="K27" s="289"/>
      <c r="L27" s="166"/>
      <c r="M27" s="23"/>
    </row>
    <row r="28" spans="1:14" ht="15.75" x14ac:dyDescent="0.2">
      <c r="A28" s="49" t="s">
        <v>279</v>
      </c>
      <c r="B28" s="44">
        <v>7978.0510000000004</v>
      </c>
      <c r="C28" s="286">
        <v>12719</v>
      </c>
      <c r="D28" s="166">
        <f t="shared" si="4"/>
        <v>59.4</v>
      </c>
      <c r="E28" s="11">
        <f>IFERROR(100/'Skjema total MA'!C28*C28,0)</f>
        <v>0.67672829965460757</v>
      </c>
      <c r="F28" s="234"/>
      <c r="G28" s="286"/>
      <c r="H28" s="166"/>
      <c r="I28" s="27"/>
      <c r="J28" s="44">
        <f t="shared" si="5"/>
        <v>7978.0510000000004</v>
      </c>
      <c r="K28" s="44">
        <f t="shared" si="5"/>
        <v>12719</v>
      </c>
      <c r="L28" s="254">
        <f t="shared" si="6"/>
        <v>59.4</v>
      </c>
      <c r="M28" s="23">
        <f>IFERROR(100/'Skjema total MA'!I28*K28,0)</f>
        <v>0.67672829965460757</v>
      </c>
    </row>
    <row r="29" spans="1:14" s="3" customFormat="1" ht="15.75" x14ac:dyDescent="0.2">
      <c r="A29" s="13" t="s">
        <v>451</v>
      </c>
      <c r="B29" s="236">
        <v>7224</v>
      </c>
      <c r="C29" s="236">
        <v>26700.946</v>
      </c>
      <c r="D29" s="171">
        <f t="shared" si="4"/>
        <v>269.60000000000002</v>
      </c>
      <c r="E29" s="11">
        <f>IFERROR(100/'Skjema total MA'!C29*C29,0)</f>
        <v>5.6838262380402925E-2</v>
      </c>
      <c r="F29" s="307"/>
      <c r="G29" s="307"/>
      <c r="H29" s="171"/>
      <c r="I29" s="11"/>
      <c r="J29" s="236">
        <f t="shared" si="5"/>
        <v>7224</v>
      </c>
      <c r="K29" s="236">
        <f t="shared" si="5"/>
        <v>26700.946</v>
      </c>
      <c r="L29" s="373">
        <f t="shared" si="6"/>
        <v>269.60000000000002</v>
      </c>
      <c r="M29" s="24">
        <f>IFERROR(100/'Skjema total MA'!I29*K29,0)</f>
        <v>3.8520948922287017E-2</v>
      </c>
      <c r="N29" s="148"/>
    </row>
    <row r="30" spans="1:14" s="3" customFormat="1" ht="15.75" x14ac:dyDescent="0.2">
      <c r="A30" s="753" t="s">
        <v>454</v>
      </c>
      <c r="B30" s="280"/>
      <c r="C30" s="280"/>
      <c r="D30" s="166"/>
      <c r="E30" s="11"/>
      <c r="F30" s="289"/>
      <c r="G30" s="289"/>
      <c r="H30" s="166"/>
      <c r="I30" s="365"/>
      <c r="J30" s="289"/>
      <c r="K30" s="289"/>
      <c r="L30" s="166"/>
      <c r="M30" s="23"/>
      <c r="N30" s="148"/>
    </row>
    <row r="31" spans="1:14" s="3" customFormat="1" ht="15.75" x14ac:dyDescent="0.2">
      <c r="A31" s="753" t="s">
        <v>455</v>
      </c>
      <c r="B31" s="280"/>
      <c r="C31" s="280"/>
      <c r="D31" s="166"/>
      <c r="E31" s="11"/>
      <c r="F31" s="289"/>
      <c r="G31" s="289"/>
      <c r="H31" s="166"/>
      <c r="I31" s="365"/>
      <c r="J31" s="289"/>
      <c r="K31" s="289"/>
      <c r="L31" s="166"/>
      <c r="M31" s="23"/>
      <c r="N31" s="148"/>
    </row>
    <row r="32" spans="1:14" ht="15.75" x14ac:dyDescent="0.2">
      <c r="A32" s="753" t="s">
        <v>456</v>
      </c>
      <c r="B32" s="280"/>
      <c r="C32" s="280"/>
      <c r="D32" s="166"/>
      <c r="E32" s="11"/>
      <c r="F32" s="289"/>
      <c r="G32" s="289"/>
      <c r="H32" s="166"/>
      <c r="I32" s="365"/>
      <c r="J32" s="289"/>
      <c r="K32" s="289"/>
      <c r="L32" s="166"/>
      <c r="M32" s="23"/>
    </row>
    <row r="33" spans="1:14" ht="15.75" x14ac:dyDescent="0.2">
      <c r="A33" s="753" t="s">
        <v>457</v>
      </c>
      <c r="B33" s="280"/>
      <c r="C33" s="280"/>
      <c r="D33" s="166"/>
      <c r="E33" s="11"/>
      <c r="F33" s="289"/>
      <c r="G33" s="289"/>
      <c r="H33" s="166"/>
      <c r="I33" s="365"/>
      <c r="J33" s="289"/>
      <c r="K33" s="289"/>
      <c r="L33" s="166"/>
      <c r="M33" s="23"/>
    </row>
    <row r="34" spans="1:14" ht="15.75" x14ac:dyDescent="0.2">
      <c r="A34" s="13" t="s">
        <v>452</v>
      </c>
      <c r="B34" s="236"/>
      <c r="C34" s="308"/>
      <c r="D34" s="171"/>
      <c r="E34" s="11"/>
      <c r="F34" s="307"/>
      <c r="G34" s="308"/>
      <c r="H34" s="171"/>
      <c r="I34" s="11"/>
      <c r="J34" s="236"/>
      <c r="K34" s="236"/>
      <c r="L34" s="373"/>
      <c r="M34" s="24"/>
    </row>
    <row r="35" spans="1:14" ht="15.75" x14ac:dyDescent="0.2">
      <c r="A35" s="13" t="s">
        <v>453</v>
      </c>
      <c r="B35" s="236"/>
      <c r="C35" s="308"/>
      <c r="D35" s="171"/>
      <c r="E35" s="11"/>
      <c r="F35" s="307"/>
      <c r="G35" s="308"/>
      <c r="H35" s="171"/>
      <c r="I35" s="11"/>
      <c r="J35" s="236"/>
      <c r="K35" s="236"/>
      <c r="L35" s="373"/>
      <c r="M35" s="24"/>
    </row>
    <row r="36" spans="1:14" ht="15.75" x14ac:dyDescent="0.2">
      <c r="A36" s="12" t="s">
        <v>287</v>
      </c>
      <c r="B36" s="236"/>
      <c r="C36" s="308"/>
      <c r="D36" s="171"/>
      <c r="E36" s="11"/>
      <c r="F36" s="318"/>
      <c r="G36" s="319"/>
      <c r="H36" s="171"/>
      <c r="I36" s="379"/>
      <c r="J36" s="236"/>
      <c r="K36" s="236"/>
      <c r="L36" s="373"/>
      <c r="M36" s="24"/>
    </row>
    <row r="37" spans="1:14" ht="15.75" x14ac:dyDescent="0.2">
      <c r="A37" s="12" t="s">
        <v>459</v>
      </c>
      <c r="B37" s="236"/>
      <c r="C37" s="308"/>
      <c r="D37" s="171"/>
      <c r="E37" s="11"/>
      <c r="F37" s="318"/>
      <c r="G37" s="320"/>
      <c r="H37" s="171"/>
      <c r="I37" s="379"/>
      <c r="J37" s="236"/>
      <c r="K37" s="236"/>
      <c r="L37" s="373"/>
      <c r="M37" s="24"/>
    </row>
    <row r="38" spans="1:14" ht="15.75" x14ac:dyDescent="0.2">
      <c r="A38" s="12" t="s">
        <v>460</v>
      </c>
      <c r="B38" s="236"/>
      <c r="C38" s="308"/>
      <c r="D38" s="171"/>
      <c r="E38" s="24"/>
      <c r="F38" s="318"/>
      <c r="G38" s="319"/>
      <c r="H38" s="171"/>
      <c r="I38" s="379"/>
      <c r="J38" s="236"/>
      <c r="K38" s="236"/>
      <c r="L38" s="373"/>
      <c r="M38" s="24"/>
    </row>
    <row r="39" spans="1:14" ht="15.75" x14ac:dyDescent="0.2">
      <c r="A39" s="18" t="s">
        <v>461</v>
      </c>
      <c r="B39" s="275"/>
      <c r="C39" s="314"/>
      <c r="D39" s="169"/>
      <c r="E39" s="36"/>
      <c r="F39" s="321"/>
      <c r="G39" s="322"/>
      <c r="H39" s="169"/>
      <c r="I39" s="36"/>
      <c r="J39" s="236"/>
      <c r="K39" s="236"/>
      <c r="L39" s="374"/>
      <c r="M39" s="36"/>
    </row>
    <row r="40" spans="1:14" ht="15.75" x14ac:dyDescent="0.25">
      <c r="A40" s="47"/>
      <c r="B40" s="253"/>
      <c r="C40" s="253"/>
      <c r="D40" s="976"/>
      <c r="E40" s="976"/>
      <c r="F40" s="976"/>
      <c r="G40" s="976"/>
      <c r="H40" s="976"/>
      <c r="I40" s="976"/>
      <c r="J40" s="976"/>
      <c r="K40" s="976"/>
      <c r="L40" s="976"/>
      <c r="M40" s="301"/>
    </row>
    <row r="41" spans="1:14" x14ac:dyDescent="0.2">
      <c r="A41" s="155"/>
    </row>
    <row r="42" spans="1:14" ht="15.75" x14ac:dyDescent="0.25">
      <c r="A42" s="147" t="s">
        <v>276</v>
      </c>
      <c r="B42" s="972"/>
      <c r="C42" s="972"/>
      <c r="D42" s="972"/>
      <c r="E42" s="298"/>
      <c r="F42" s="977"/>
      <c r="G42" s="977"/>
      <c r="H42" s="977"/>
      <c r="I42" s="301"/>
      <c r="J42" s="977"/>
      <c r="K42" s="977"/>
      <c r="L42" s="977"/>
      <c r="M42" s="301"/>
    </row>
    <row r="43" spans="1:14" ht="15.75" x14ac:dyDescent="0.25">
      <c r="A43" s="163"/>
      <c r="B43" s="302"/>
      <c r="C43" s="302"/>
      <c r="D43" s="302"/>
      <c r="E43" s="302"/>
      <c r="F43" s="301"/>
      <c r="G43" s="301"/>
      <c r="H43" s="301"/>
      <c r="I43" s="301"/>
      <c r="J43" s="301"/>
      <c r="K43" s="301"/>
      <c r="L43" s="301"/>
      <c r="M43" s="301"/>
    </row>
    <row r="44" spans="1:14" ht="15.75" x14ac:dyDescent="0.25">
      <c r="A44" s="247"/>
      <c r="B44" s="973" t="s">
        <v>0</v>
      </c>
      <c r="C44" s="974"/>
      <c r="D44" s="974"/>
      <c r="E44" s="243"/>
      <c r="F44" s="301"/>
      <c r="G44" s="301"/>
      <c r="H44" s="301"/>
      <c r="I44" s="301"/>
      <c r="J44" s="301"/>
      <c r="K44" s="301"/>
      <c r="L44" s="301"/>
      <c r="M44" s="301"/>
    </row>
    <row r="45" spans="1:14" s="3" customFormat="1" x14ac:dyDescent="0.2">
      <c r="A45" s="140"/>
      <c r="B45" s="152" t="s">
        <v>492</v>
      </c>
      <c r="C45" s="152" t="s">
        <v>493</v>
      </c>
      <c r="D45" s="162" t="s">
        <v>3</v>
      </c>
      <c r="E45" s="162" t="s">
        <v>29</v>
      </c>
      <c r="F45" s="174"/>
      <c r="G45" s="174"/>
      <c r="H45" s="173"/>
      <c r="I45" s="173"/>
      <c r="J45" s="174"/>
      <c r="K45" s="174"/>
      <c r="L45" s="173"/>
      <c r="M45" s="173"/>
      <c r="N45" s="148"/>
    </row>
    <row r="46" spans="1:14" s="3" customFormat="1" x14ac:dyDescent="0.2">
      <c r="A46" s="947"/>
      <c r="B46" s="244"/>
      <c r="C46" s="244"/>
      <c r="D46" s="245" t="s">
        <v>4</v>
      </c>
      <c r="E46" s="156" t="s">
        <v>30</v>
      </c>
      <c r="F46" s="173"/>
      <c r="G46" s="173"/>
      <c r="H46" s="173"/>
      <c r="I46" s="173"/>
      <c r="J46" s="173"/>
      <c r="K46" s="173"/>
      <c r="L46" s="173"/>
      <c r="M46" s="173"/>
      <c r="N46" s="148"/>
    </row>
    <row r="47" spans="1:14" s="3" customFormat="1" ht="15.75" x14ac:dyDescent="0.2">
      <c r="A47" s="14" t="s">
        <v>23</v>
      </c>
      <c r="B47" s="309">
        <v>119758.159</v>
      </c>
      <c r="C47" s="310">
        <v>151435</v>
      </c>
      <c r="D47" s="372">
        <f t="shared" ref="D47:D48" si="7">IF(B47=0, "    ---- ", IF(ABS(ROUND(100/B47*C47-100,1))&lt;999,ROUND(100/B47*C47-100,1),IF(ROUND(100/B47*C47-100,1)&gt;999,999,-999)))</f>
        <v>26.5</v>
      </c>
      <c r="E47" s="11">
        <f>IFERROR(100/'Skjema total MA'!C47*C47,0)</f>
        <v>3.4989253031431096</v>
      </c>
      <c r="F47" s="145"/>
      <c r="G47" s="33"/>
      <c r="H47" s="159"/>
      <c r="I47" s="159"/>
      <c r="J47" s="37"/>
      <c r="K47" s="37"/>
      <c r="L47" s="159"/>
      <c r="M47" s="159"/>
      <c r="N47" s="148"/>
    </row>
    <row r="48" spans="1:14" s="3" customFormat="1" ht="15.75" x14ac:dyDescent="0.2">
      <c r="A48" s="38" t="s">
        <v>462</v>
      </c>
      <c r="B48" s="280">
        <v>119758.159</v>
      </c>
      <c r="C48" s="281">
        <v>151435</v>
      </c>
      <c r="D48" s="254">
        <f t="shared" si="7"/>
        <v>26.5</v>
      </c>
      <c r="E48" s="27">
        <f>IFERROR(100/'Skjema total MA'!C48*C48,0)</f>
        <v>6.3112788146245142</v>
      </c>
      <c r="F48" s="145"/>
      <c r="G48" s="33"/>
      <c r="H48" s="145"/>
      <c r="I48" s="145"/>
      <c r="J48" s="33"/>
      <c r="K48" s="33"/>
      <c r="L48" s="159"/>
      <c r="M48" s="159"/>
      <c r="N48" s="148"/>
    </row>
    <row r="49" spans="1:14" s="3" customFormat="1" ht="15.75" x14ac:dyDescent="0.2">
      <c r="A49" s="38" t="s">
        <v>463</v>
      </c>
      <c r="B49" s="44"/>
      <c r="C49" s="286"/>
      <c r="D49" s="254"/>
      <c r="E49" s="27"/>
      <c r="F49" s="145"/>
      <c r="G49" s="33"/>
      <c r="H49" s="145"/>
      <c r="I49" s="145"/>
      <c r="J49" s="37"/>
      <c r="K49" s="37"/>
      <c r="L49" s="159"/>
      <c r="M49" s="159"/>
      <c r="N49" s="148"/>
    </row>
    <row r="50" spans="1:14" s="3" customFormat="1" x14ac:dyDescent="0.2">
      <c r="A50" s="295" t="s">
        <v>6</v>
      </c>
      <c r="B50" s="289"/>
      <c r="C50" s="290"/>
      <c r="D50" s="254"/>
      <c r="E50" s="23"/>
      <c r="F50" s="145"/>
      <c r="G50" s="33"/>
      <c r="H50" s="145"/>
      <c r="I50" s="145"/>
      <c r="J50" s="33"/>
      <c r="K50" s="33"/>
      <c r="L50" s="159"/>
      <c r="M50" s="159"/>
      <c r="N50" s="148"/>
    </row>
    <row r="51" spans="1:14" s="3" customFormat="1" x14ac:dyDescent="0.2">
      <c r="A51" s="295" t="s">
        <v>7</v>
      </c>
      <c r="B51" s="289"/>
      <c r="C51" s="290"/>
      <c r="D51" s="254"/>
      <c r="E51" s="23"/>
      <c r="F51" s="145"/>
      <c r="G51" s="33"/>
      <c r="H51" s="145"/>
      <c r="I51" s="145"/>
      <c r="J51" s="33"/>
      <c r="K51" s="33"/>
      <c r="L51" s="159"/>
      <c r="M51" s="159"/>
      <c r="N51" s="148"/>
    </row>
    <row r="52" spans="1:14" s="3" customFormat="1" x14ac:dyDescent="0.2">
      <c r="A52" s="295" t="s">
        <v>8</v>
      </c>
      <c r="B52" s="289"/>
      <c r="C52" s="290"/>
      <c r="D52" s="254"/>
      <c r="E52" s="23"/>
      <c r="F52" s="145"/>
      <c r="G52" s="33"/>
      <c r="H52" s="145"/>
      <c r="I52" s="145"/>
      <c r="J52" s="33"/>
      <c r="K52" s="33"/>
      <c r="L52" s="159"/>
      <c r="M52" s="159"/>
      <c r="N52" s="148"/>
    </row>
    <row r="53" spans="1:14" s="3" customFormat="1" ht="15.75" x14ac:dyDescent="0.2">
      <c r="A53" s="39" t="s">
        <v>464</v>
      </c>
      <c r="B53" s="309"/>
      <c r="C53" s="310"/>
      <c r="D53" s="373"/>
      <c r="E53" s="11"/>
      <c r="F53" s="145"/>
      <c r="G53" s="33"/>
      <c r="H53" s="145"/>
      <c r="I53" s="145"/>
      <c r="J53" s="33"/>
      <c r="K53" s="33"/>
      <c r="L53" s="159"/>
      <c r="M53" s="159"/>
      <c r="N53" s="148"/>
    </row>
    <row r="54" spans="1:14" s="3" customFormat="1" ht="15.75" x14ac:dyDescent="0.2">
      <c r="A54" s="38" t="s">
        <v>462</v>
      </c>
      <c r="B54" s="280"/>
      <c r="C54" s="281"/>
      <c r="D54" s="254"/>
      <c r="E54" s="27"/>
      <c r="F54" s="145"/>
      <c r="G54" s="33"/>
      <c r="H54" s="145"/>
      <c r="I54" s="145"/>
      <c r="J54" s="33"/>
      <c r="K54" s="33"/>
      <c r="L54" s="159"/>
      <c r="M54" s="159"/>
      <c r="N54" s="148"/>
    </row>
    <row r="55" spans="1:14" s="3" customFormat="1" ht="15.75" x14ac:dyDescent="0.2">
      <c r="A55" s="38" t="s">
        <v>463</v>
      </c>
      <c r="B55" s="280"/>
      <c r="C55" s="281"/>
      <c r="D55" s="254"/>
      <c r="E55" s="27"/>
      <c r="F55" s="145"/>
      <c r="G55" s="33"/>
      <c r="H55" s="145"/>
      <c r="I55" s="145"/>
      <c r="J55" s="33"/>
      <c r="K55" s="33"/>
      <c r="L55" s="159"/>
      <c r="M55" s="159"/>
      <c r="N55" s="148"/>
    </row>
    <row r="56" spans="1:14" s="3" customFormat="1" ht="15.75" x14ac:dyDescent="0.2">
      <c r="A56" s="39" t="s">
        <v>465</v>
      </c>
      <c r="B56" s="309"/>
      <c r="C56" s="310"/>
      <c r="D56" s="373"/>
      <c r="E56" s="11"/>
      <c r="F56" s="145"/>
      <c r="G56" s="33"/>
      <c r="H56" s="145"/>
      <c r="I56" s="145"/>
      <c r="J56" s="33"/>
      <c r="K56" s="33"/>
      <c r="L56" s="159"/>
      <c r="M56" s="159"/>
      <c r="N56" s="148"/>
    </row>
    <row r="57" spans="1:14" s="3" customFormat="1" ht="15.75" x14ac:dyDescent="0.2">
      <c r="A57" s="38" t="s">
        <v>462</v>
      </c>
      <c r="B57" s="280"/>
      <c r="C57" s="281"/>
      <c r="D57" s="254"/>
      <c r="E57" s="27"/>
      <c r="F57" s="145"/>
      <c r="G57" s="33"/>
      <c r="H57" s="145"/>
      <c r="I57" s="145"/>
      <c r="J57" s="33"/>
      <c r="K57" s="33"/>
      <c r="L57" s="159"/>
      <c r="M57" s="159"/>
      <c r="N57" s="148"/>
    </row>
    <row r="58" spans="1:14" s="3" customFormat="1" ht="15.75" x14ac:dyDescent="0.2">
      <c r="A58" s="46" t="s">
        <v>463</v>
      </c>
      <c r="B58" s="282"/>
      <c r="C58" s="283"/>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975"/>
      <c r="C62" s="975"/>
      <c r="D62" s="975"/>
      <c r="E62" s="298"/>
      <c r="F62" s="975"/>
      <c r="G62" s="975"/>
      <c r="H62" s="975"/>
      <c r="I62" s="298"/>
      <c r="J62" s="975"/>
      <c r="K62" s="975"/>
      <c r="L62" s="975"/>
      <c r="M62" s="298"/>
    </row>
    <row r="63" spans="1:14" x14ac:dyDescent="0.2">
      <c r="A63" s="144"/>
      <c r="B63" s="973" t="s">
        <v>0</v>
      </c>
      <c r="C63" s="974"/>
      <c r="D63" s="978"/>
      <c r="E63" s="299"/>
      <c r="F63" s="974" t="s">
        <v>1</v>
      </c>
      <c r="G63" s="974"/>
      <c r="H63" s="974"/>
      <c r="I63" s="303"/>
      <c r="J63" s="973" t="s">
        <v>2</v>
      </c>
      <c r="K63" s="974"/>
      <c r="L63" s="974"/>
      <c r="M63" s="303"/>
    </row>
    <row r="64" spans="1:14" x14ac:dyDescent="0.2">
      <c r="A64" s="140"/>
      <c r="B64" s="152" t="s">
        <v>492</v>
      </c>
      <c r="C64" s="152" t="s">
        <v>493</v>
      </c>
      <c r="D64" s="245" t="s">
        <v>3</v>
      </c>
      <c r="E64" s="304" t="s">
        <v>29</v>
      </c>
      <c r="F64" s="152" t="s">
        <v>492</v>
      </c>
      <c r="G64" s="152" t="s">
        <v>493</v>
      </c>
      <c r="H64" s="245" t="s">
        <v>3</v>
      </c>
      <c r="I64" s="304" t="s">
        <v>29</v>
      </c>
      <c r="J64" s="152" t="s">
        <v>492</v>
      </c>
      <c r="K64" s="152" t="s">
        <v>493</v>
      </c>
      <c r="L64" s="245" t="s">
        <v>3</v>
      </c>
      <c r="M64" s="162" t="s">
        <v>29</v>
      </c>
    </row>
    <row r="65" spans="1:14" x14ac:dyDescent="0.2">
      <c r="A65" s="947"/>
      <c r="B65" s="156"/>
      <c r="C65" s="156"/>
      <c r="D65" s="246" t="s">
        <v>4</v>
      </c>
      <c r="E65" s="156" t="s">
        <v>30</v>
      </c>
      <c r="F65" s="161"/>
      <c r="G65" s="161"/>
      <c r="H65" s="245" t="s">
        <v>4</v>
      </c>
      <c r="I65" s="156" t="s">
        <v>30</v>
      </c>
      <c r="J65" s="161"/>
      <c r="K65" s="206"/>
      <c r="L65" s="156" t="s">
        <v>4</v>
      </c>
      <c r="M65" s="156" t="s">
        <v>30</v>
      </c>
    </row>
    <row r="66" spans="1:14" ht="15.75" x14ac:dyDescent="0.2">
      <c r="A66" s="14" t="s">
        <v>23</v>
      </c>
      <c r="B66" s="352"/>
      <c r="C66" s="352"/>
      <c r="D66" s="349"/>
      <c r="E66" s="11"/>
      <c r="F66" s="351"/>
      <c r="G66" s="351"/>
      <c r="H66" s="349"/>
      <c r="I66" s="11"/>
      <c r="J66" s="308"/>
      <c r="K66" s="315"/>
      <c r="L66" s="373"/>
      <c r="M66" s="11"/>
    </row>
    <row r="67" spans="1:14" x14ac:dyDescent="0.2">
      <c r="A67" s="367" t="s">
        <v>9</v>
      </c>
      <c r="B67" s="44"/>
      <c r="C67" s="145"/>
      <c r="D67" s="166"/>
      <c r="E67" s="27"/>
      <c r="F67" s="234"/>
      <c r="G67" s="145"/>
      <c r="H67" s="166"/>
      <c r="I67" s="27"/>
      <c r="J67" s="286"/>
      <c r="K67" s="44"/>
      <c r="L67" s="254"/>
      <c r="M67" s="27"/>
    </row>
    <row r="68" spans="1:14" x14ac:dyDescent="0.2">
      <c r="A68" s="21" t="s">
        <v>10</v>
      </c>
      <c r="B68" s="291"/>
      <c r="C68" s="292"/>
      <c r="D68" s="166"/>
      <c r="E68" s="27"/>
      <c r="F68" s="291"/>
      <c r="G68" s="292"/>
      <c r="H68" s="166"/>
      <c r="I68" s="27"/>
      <c r="J68" s="286"/>
      <c r="K68" s="44"/>
      <c r="L68" s="254"/>
      <c r="M68" s="27"/>
    </row>
    <row r="69" spans="1:14" ht="15.75" x14ac:dyDescent="0.2">
      <c r="A69" s="295" t="s">
        <v>466</v>
      </c>
      <c r="B69" s="280"/>
      <c r="C69" s="280"/>
      <c r="D69" s="166"/>
      <c r="E69" s="365"/>
      <c r="F69" s="280"/>
      <c r="G69" s="280"/>
      <c r="H69" s="166"/>
      <c r="I69" s="365"/>
      <c r="J69" s="289"/>
      <c r="K69" s="289"/>
      <c r="L69" s="166"/>
      <c r="M69" s="23"/>
    </row>
    <row r="70" spans="1:14" x14ac:dyDescent="0.2">
      <c r="A70" s="295" t="s">
        <v>12</v>
      </c>
      <c r="B70" s="293"/>
      <c r="C70" s="294"/>
      <c r="D70" s="166"/>
      <c r="E70" s="365"/>
      <c r="F70" s="280"/>
      <c r="G70" s="280"/>
      <c r="H70" s="166"/>
      <c r="I70" s="365"/>
      <c r="J70" s="289"/>
      <c r="K70" s="289"/>
      <c r="L70" s="166"/>
      <c r="M70" s="23"/>
    </row>
    <row r="71" spans="1:14" x14ac:dyDescent="0.2">
      <c r="A71" s="295" t="s">
        <v>13</v>
      </c>
      <c r="B71" s="235"/>
      <c r="C71" s="288"/>
      <c r="D71" s="166"/>
      <c r="E71" s="365"/>
      <c r="F71" s="280"/>
      <c r="G71" s="280"/>
      <c r="H71" s="166"/>
      <c r="I71" s="365"/>
      <c r="J71" s="289"/>
      <c r="K71" s="289"/>
      <c r="L71" s="166"/>
      <c r="M71" s="23"/>
    </row>
    <row r="72" spans="1:14" ht="15.75" x14ac:dyDescent="0.2">
      <c r="A72" s="295" t="s">
        <v>467</v>
      </c>
      <c r="B72" s="280"/>
      <c r="C72" s="280"/>
      <c r="D72" s="166"/>
      <c r="E72" s="365"/>
      <c r="F72" s="280"/>
      <c r="G72" s="280"/>
      <c r="H72" s="166"/>
      <c r="I72" s="365"/>
      <c r="J72" s="289"/>
      <c r="K72" s="289"/>
      <c r="L72" s="166"/>
      <c r="M72" s="23"/>
    </row>
    <row r="73" spans="1:14" x14ac:dyDescent="0.2">
      <c r="A73" s="295" t="s">
        <v>12</v>
      </c>
      <c r="B73" s="235"/>
      <c r="C73" s="288"/>
      <c r="D73" s="166"/>
      <c r="E73" s="365"/>
      <c r="F73" s="280"/>
      <c r="G73" s="280"/>
      <c r="H73" s="166"/>
      <c r="I73" s="365"/>
      <c r="J73" s="289"/>
      <c r="K73" s="289"/>
      <c r="L73" s="166"/>
      <c r="M73" s="23"/>
    </row>
    <row r="74" spans="1:14" s="3" customFormat="1" x14ac:dyDescent="0.2">
      <c r="A74" s="295" t="s">
        <v>13</v>
      </c>
      <c r="B74" s="235"/>
      <c r="C74" s="288"/>
      <c r="D74" s="166"/>
      <c r="E74" s="365"/>
      <c r="F74" s="280"/>
      <c r="G74" s="280"/>
      <c r="H74" s="166"/>
      <c r="I74" s="365"/>
      <c r="J74" s="289"/>
      <c r="K74" s="289"/>
      <c r="L74" s="166"/>
      <c r="M74" s="23"/>
      <c r="N74" s="148"/>
    </row>
    <row r="75" spans="1:14" s="3" customFormat="1" x14ac:dyDescent="0.2">
      <c r="A75" s="21" t="s">
        <v>353</v>
      </c>
      <c r="B75" s="234"/>
      <c r="C75" s="145"/>
      <c r="D75" s="166"/>
      <c r="E75" s="27"/>
      <c r="F75" s="234"/>
      <c r="G75" s="145"/>
      <c r="H75" s="166"/>
      <c r="I75" s="27"/>
      <c r="J75" s="286"/>
      <c r="K75" s="44"/>
      <c r="L75" s="254"/>
      <c r="M75" s="27"/>
      <c r="N75" s="148"/>
    </row>
    <row r="76" spans="1:14" s="3" customFormat="1" x14ac:dyDescent="0.2">
      <c r="A76" s="21" t="s">
        <v>352</v>
      </c>
      <c r="B76" s="234"/>
      <c r="C76" s="145"/>
      <c r="D76" s="166"/>
      <c r="E76" s="27"/>
      <c r="F76" s="234"/>
      <c r="G76" s="145"/>
      <c r="H76" s="166"/>
      <c r="I76" s="27"/>
      <c r="J76" s="286"/>
      <c r="K76" s="44"/>
      <c r="L76" s="254"/>
      <c r="M76" s="27"/>
      <c r="N76" s="148"/>
    </row>
    <row r="77" spans="1:14" ht="15.75" x14ac:dyDescent="0.2">
      <c r="A77" s="21" t="s">
        <v>468</v>
      </c>
      <c r="B77" s="234"/>
      <c r="C77" s="234"/>
      <c r="D77" s="166"/>
      <c r="E77" s="27"/>
      <c r="F77" s="234"/>
      <c r="G77" s="145"/>
      <c r="H77" s="166"/>
      <c r="I77" s="27"/>
      <c r="J77" s="286"/>
      <c r="K77" s="44"/>
      <c r="L77" s="254"/>
      <c r="M77" s="27"/>
    </row>
    <row r="78" spans="1:14" x14ac:dyDescent="0.2">
      <c r="A78" s="21" t="s">
        <v>9</v>
      </c>
      <c r="B78" s="234"/>
      <c r="C78" s="145"/>
      <c r="D78" s="166"/>
      <c r="E78" s="27"/>
      <c r="F78" s="234"/>
      <c r="G78" s="145"/>
      <c r="H78" s="166"/>
      <c r="I78" s="27"/>
      <c r="J78" s="286"/>
      <c r="K78" s="44"/>
      <c r="L78" s="254"/>
      <c r="M78" s="27"/>
    </row>
    <row r="79" spans="1:14" x14ac:dyDescent="0.2">
      <c r="A79" s="21" t="s">
        <v>10</v>
      </c>
      <c r="B79" s="291"/>
      <c r="C79" s="292"/>
      <c r="D79" s="166"/>
      <c r="E79" s="27"/>
      <c r="F79" s="291"/>
      <c r="G79" s="292"/>
      <c r="H79" s="166"/>
      <c r="I79" s="27"/>
      <c r="J79" s="286"/>
      <c r="K79" s="44"/>
      <c r="L79" s="254"/>
      <c r="M79" s="27"/>
    </row>
    <row r="80" spans="1:14" ht="15.75" x14ac:dyDescent="0.2">
      <c r="A80" s="295" t="s">
        <v>466</v>
      </c>
      <c r="B80" s="280"/>
      <c r="C80" s="280"/>
      <c r="D80" s="166"/>
      <c r="E80" s="365"/>
      <c r="F80" s="280"/>
      <c r="G80" s="280"/>
      <c r="H80" s="166"/>
      <c r="I80" s="365"/>
      <c r="J80" s="289"/>
      <c r="K80" s="289"/>
      <c r="L80" s="166"/>
      <c r="M80" s="23"/>
    </row>
    <row r="81" spans="1:13" x14ac:dyDescent="0.2">
      <c r="A81" s="295" t="s">
        <v>12</v>
      </c>
      <c r="B81" s="235"/>
      <c r="C81" s="288"/>
      <c r="D81" s="166"/>
      <c r="E81" s="365"/>
      <c r="F81" s="280"/>
      <c r="G81" s="280"/>
      <c r="H81" s="166"/>
      <c r="I81" s="365"/>
      <c r="J81" s="289"/>
      <c r="K81" s="289"/>
      <c r="L81" s="166"/>
      <c r="M81" s="23"/>
    </row>
    <row r="82" spans="1:13" x14ac:dyDescent="0.2">
      <c r="A82" s="295" t="s">
        <v>13</v>
      </c>
      <c r="B82" s="235"/>
      <c r="C82" s="288"/>
      <c r="D82" s="166"/>
      <c r="E82" s="365"/>
      <c r="F82" s="280"/>
      <c r="G82" s="280"/>
      <c r="H82" s="166"/>
      <c r="I82" s="365"/>
      <c r="J82" s="289"/>
      <c r="K82" s="289"/>
      <c r="L82" s="166"/>
      <c r="M82" s="23"/>
    </row>
    <row r="83" spans="1:13" ht="15.75" x14ac:dyDescent="0.2">
      <c r="A83" s="295" t="s">
        <v>467</v>
      </c>
      <c r="B83" s="280"/>
      <c r="C83" s="280"/>
      <c r="D83" s="166"/>
      <c r="E83" s="365"/>
      <c r="F83" s="280"/>
      <c r="G83" s="280"/>
      <c r="H83" s="166"/>
      <c r="I83" s="365"/>
      <c r="J83" s="289"/>
      <c r="K83" s="289"/>
      <c r="L83" s="166"/>
      <c r="M83" s="23"/>
    </row>
    <row r="84" spans="1:13" x14ac:dyDescent="0.2">
      <c r="A84" s="295" t="s">
        <v>12</v>
      </c>
      <c r="B84" s="235"/>
      <c r="C84" s="288"/>
      <c r="D84" s="166"/>
      <c r="E84" s="365"/>
      <c r="F84" s="280"/>
      <c r="G84" s="280"/>
      <c r="H84" s="166"/>
      <c r="I84" s="365"/>
      <c r="J84" s="289"/>
      <c r="K84" s="289"/>
      <c r="L84" s="166"/>
      <c r="M84" s="23"/>
    </row>
    <row r="85" spans="1:13" x14ac:dyDescent="0.2">
      <c r="A85" s="295" t="s">
        <v>13</v>
      </c>
      <c r="B85" s="235"/>
      <c r="C85" s="288"/>
      <c r="D85" s="166"/>
      <c r="E85" s="365"/>
      <c r="F85" s="280"/>
      <c r="G85" s="280"/>
      <c r="H85" s="166"/>
      <c r="I85" s="365"/>
      <c r="J85" s="289"/>
      <c r="K85" s="289"/>
      <c r="L85" s="166"/>
      <c r="M85" s="23"/>
    </row>
    <row r="86" spans="1:13" ht="15.75" x14ac:dyDescent="0.2">
      <c r="A86" s="21" t="s">
        <v>469</v>
      </c>
      <c r="B86" s="234"/>
      <c r="C86" s="145"/>
      <c r="D86" s="166"/>
      <c r="E86" s="27"/>
      <c r="F86" s="234"/>
      <c r="G86" s="145"/>
      <c r="H86" s="166"/>
      <c r="I86" s="27"/>
      <c r="J86" s="286"/>
      <c r="K86" s="44"/>
      <c r="L86" s="254"/>
      <c r="M86" s="27"/>
    </row>
    <row r="87" spans="1:13" ht="15.75" x14ac:dyDescent="0.2">
      <c r="A87" s="13" t="s">
        <v>451</v>
      </c>
      <c r="B87" s="352"/>
      <c r="C87" s="352"/>
      <c r="D87" s="171"/>
      <c r="E87" s="11"/>
      <c r="F87" s="351"/>
      <c r="G87" s="351"/>
      <c r="H87" s="171"/>
      <c r="I87" s="11"/>
      <c r="J87" s="308"/>
      <c r="K87" s="236"/>
      <c r="L87" s="373"/>
      <c r="M87" s="11"/>
    </row>
    <row r="88" spans="1:13" x14ac:dyDescent="0.2">
      <c r="A88" s="21" t="s">
        <v>9</v>
      </c>
      <c r="B88" s="234"/>
      <c r="C88" s="145"/>
      <c r="D88" s="166"/>
      <c r="E88" s="27"/>
      <c r="F88" s="234"/>
      <c r="G88" s="145"/>
      <c r="H88" s="166"/>
      <c r="I88" s="27"/>
      <c r="J88" s="286"/>
      <c r="K88" s="44"/>
      <c r="L88" s="254"/>
      <c r="M88" s="27"/>
    </row>
    <row r="89" spans="1:13" x14ac:dyDescent="0.2">
      <c r="A89" s="21" t="s">
        <v>10</v>
      </c>
      <c r="B89" s="234"/>
      <c r="C89" s="145"/>
      <c r="D89" s="166"/>
      <c r="E89" s="27"/>
      <c r="F89" s="234"/>
      <c r="G89" s="145"/>
      <c r="H89" s="166"/>
      <c r="I89" s="27"/>
      <c r="J89" s="286"/>
      <c r="K89" s="44"/>
      <c r="L89" s="254"/>
      <c r="M89" s="27"/>
    </row>
    <row r="90" spans="1:13" ht="15.75" x14ac:dyDescent="0.2">
      <c r="A90" s="295" t="s">
        <v>466</v>
      </c>
      <c r="B90" s="280"/>
      <c r="C90" s="280"/>
      <c r="D90" s="166"/>
      <c r="E90" s="365"/>
      <c r="F90" s="280"/>
      <c r="G90" s="280"/>
      <c r="H90" s="166"/>
      <c r="I90" s="365"/>
      <c r="J90" s="289"/>
      <c r="K90" s="289"/>
      <c r="L90" s="166"/>
      <c r="M90" s="23"/>
    </row>
    <row r="91" spans="1:13" x14ac:dyDescent="0.2">
      <c r="A91" s="295" t="s">
        <v>12</v>
      </c>
      <c r="B91" s="235"/>
      <c r="C91" s="288"/>
      <c r="D91" s="166"/>
      <c r="E91" s="365"/>
      <c r="F91" s="280"/>
      <c r="G91" s="280"/>
      <c r="H91" s="166"/>
      <c r="I91" s="365"/>
      <c r="J91" s="289"/>
      <c r="K91" s="289"/>
      <c r="L91" s="166"/>
      <c r="M91" s="23"/>
    </row>
    <row r="92" spans="1:13" x14ac:dyDescent="0.2">
      <c r="A92" s="295" t="s">
        <v>13</v>
      </c>
      <c r="B92" s="235"/>
      <c r="C92" s="288"/>
      <c r="D92" s="166"/>
      <c r="E92" s="365"/>
      <c r="F92" s="280"/>
      <c r="G92" s="280"/>
      <c r="H92" s="166"/>
      <c r="I92" s="365"/>
      <c r="J92" s="289"/>
      <c r="K92" s="289"/>
      <c r="L92" s="166"/>
      <c r="M92" s="23"/>
    </row>
    <row r="93" spans="1:13" ht="15.75" x14ac:dyDescent="0.2">
      <c r="A93" s="295" t="s">
        <v>467</v>
      </c>
      <c r="B93" s="280"/>
      <c r="C93" s="280"/>
      <c r="D93" s="166"/>
      <c r="E93" s="365"/>
      <c r="F93" s="280"/>
      <c r="G93" s="280"/>
      <c r="H93" s="166"/>
      <c r="I93" s="365"/>
      <c r="J93" s="289"/>
      <c r="K93" s="289"/>
      <c r="L93" s="166"/>
      <c r="M93" s="23"/>
    </row>
    <row r="94" spans="1:13" x14ac:dyDescent="0.2">
      <c r="A94" s="295" t="s">
        <v>12</v>
      </c>
      <c r="B94" s="235"/>
      <c r="C94" s="288"/>
      <c r="D94" s="166"/>
      <c r="E94" s="365"/>
      <c r="F94" s="280"/>
      <c r="G94" s="280"/>
      <c r="H94" s="166"/>
      <c r="I94" s="365"/>
      <c r="J94" s="289"/>
      <c r="K94" s="289"/>
      <c r="L94" s="166"/>
      <c r="M94" s="23"/>
    </row>
    <row r="95" spans="1:13" x14ac:dyDescent="0.2">
      <c r="A95" s="295" t="s">
        <v>13</v>
      </c>
      <c r="B95" s="235"/>
      <c r="C95" s="288"/>
      <c r="D95" s="166"/>
      <c r="E95" s="365"/>
      <c r="F95" s="280"/>
      <c r="G95" s="280"/>
      <c r="H95" s="166"/>
      <c r="I95" s="365"/>
      <c r="J95" s="289"/>
      <c r="K95" s="289"/>
      <c r="L95" s="166"/>
      <c r="M95" s="23"/>
    </row>
    <row r="96" spans="1:13" x14ac:dyDescent="0.2">
      <c r="A96" s="21" t="s">
        <v>351</v>
      </c>
      <c r="B96" s="234"/>
      <c r="C96" s="145"/>
      <c r="D96" s="166"/>
      <c r="E96" s="27"/>
      <c r="F96" s="234"/>
      <c r="G96" s="145"/>
      <c r="H96" s="166"/>
      <c r="I96" s="27"/>
      <c r="J96" s="286"/>
      <c r="K96" s="44"/>
      <c r="L96" s="254"/>
      <c r="M96" s="27"/>
    </row>
    <row r="97" spans="1:13" x14ac:dyDescent="0.2">
      <c r="A97" s="21" t="s">
        <v>350</v>
      </c>
      <c r="B97" s="234"/>
      <c r="C97" s="145"/>
      <c r="D97" s="166"/>
      <c r="E97" s="27"/>
      <c r="F97" s="234"/>
      <c r="G97" s="145"/>
      <c r="H97" s="166"/>
      <c r="I97" s="27"/>
      <c r="J97" s="286"/>
      <c r="K97" s="44"/>
      <c r="L97" s="254"/>
      <c r="M97" s="27"/>
    </row>
    <row r="98" spans="1:13" ht="15.75" x14ac:dyDescent="0.2">
      <c r="A98" s="21" t="s">
        <v>468</v>
      </c>
      <c r="B98" s="234"/>
      <c r="C98" s="234"/>
      <c r="D98" s="166"/>
      <c r="E98" s="27"/>
      <c r="F98" s="291"/>
      <c r="G98" s="291"/>
      <c r="H98" s="166"/>
      <c r="I98" s="27"/>
      <c r="J98" s="286"/>
      <c r="K98" s="44"/>
      <c r="L98" s="254"/>
      <c r="M98" s="27"/>
    </row>
    <row r="99" spans="1:13" x14ac:dyDescent="0.2">
      <c r="A99" s="21" t="s">
        <v>9</v>
      </c>
      <c r="B99" s="291"/>
      <c r="C99" s="292"/>
      <c r="D99" s="166"/>
      <c r="E99" s="27"/>
      <c r="F99" s="234"/>
      <c r="G99" s="145"/>
      <c r="H99" s="166"/>
      <c r="I99" s="27"/>
      <c r="J99" s="286"/>
      <c r="K99" s="44"/>
      <c r="L99" s="254"/>
      <c r="M99" s="27"/>
    </row>
    <row r="100" spans="1:13" x14ac:dyDescent="0.2">
      <c r="A100" s="21" t="s">
        <v>10</v>
      </c>
      <c r="B100" s="291"/>
      <c r="C100" s="292"/>
      <c r="D100" s="166"/>
      <c r="E100" s="27"/>
      <c r="F100" s="234"/>
      <c r="G100" s="234"/>
      <c r="H100" s="166"/>
      <c r="I100" s="27"/>
      <c r="J100" s="286"/>
      <c r="K100" s="44"/>
      <c r="L100" s="254"/>
      <c r="M100" s="27"/>
    </row>
    <row r="101" spans="1:13" ht="15.75" x14ac:dyDescent="0.2">
      <c r="A101" s="295" t="s">
        <v>466</v>
      </c>
      <c r="B101" s="280"/>
      <c r="C101" s="280"/>
      <c r="D101" s="166"/>
      <c r="E101" s="365"/>
      <c r="F101" s="280"/>
      <c r="G101" s="280"/>
      <c r="H101" s="166"/>
      <c r="I101" s="365"/>
      <c r="J101" s="289"/>
      <c r="K101" s="289"/>
      <c r="L101" s="166"/>
      <c r="M101" s="23"/>
    </row>
    <row r="102" spans="1:13" x14ac:dyDescent="0.2">
      <c r="A102" s="295" t="s">
        <v>12</v>
      </c>
      <c r="B102" s="235"/>
      <c r="C102" s="288"/>
      <c r="D102" s="166"/>
      <c r="E102" s="365"/>
      <c r="F102" s="280"/>
      <c r="G102" s="280"/>
      <c r="H102" s="166"/>
      <c r="I102" s="365"/>
      <c r="J102" s="289"/>
      <c r="K102" s="289"/>
      <c r="L102" s="166"/>
      <c r="M102" s="23"/>
    </row>
    <row r="103" spans="1:13" x14ac:dyDescent="0.2">
      <c r="A103" s="295" t="s">
        <v>13</v>
      </c>
      <c r="B103" s="235"/>
      <c r="C103" s="288"/>
      <c r="D103" s="166"/>
      <c r="E103" s="365"/>
      <c r="F103" s="280"/>
      <c r="G103" s="280"/>
      <c r="H103" s="166"/>
      <c r="I103" s="365"/>
      <c r="J103" s="289"/>
      <c r="K103" s="289"/>
      <c r="L103" s="166"/>
      <c r="M103" s="23"/>
    </row>
    <row r="104" spans="1:13" ht="15.75" x14ac:dyDescent="0.2">
      <c r="A104" s="295" t="s">
        <v>467</v>
      </c>
      <c r="B104" s="280"/>
      <c r="C104" s="280"/>
      <c r="D104" s="166"/>
      <c r="E104" s="365"/>
      <c r="F104" s="280"/>
      <c r="G104" s="280"/>
      <c r="H104" s="166"/>
      <c r="I104" s="365"/>
      <c r="J104" s="289"/>
      <c r="K104" s="289"/>
      <c r="L104" s="166"/>
      <c r="M104" s="23"/>
    </row>
    <row r="105" spans="1:13" x14ac:dyDescent="0.2">
      <c r="A105" s="295" t="s">
        <v>12</v>
      </c>
      <c r="B105" s="235"/>
      <c r="C105" s="288"/>
      <c r="D105" s="166"/>
      <c r="E105" s="365"/>
      <c r="F105" s="280"/>
      <c r="G105" s="280"/>
      <c r="H105" s="166"/>
      <c r="I105" s="365"/>
      <c r="J105" s="289"/>
      <c r="K105" s="289"/>
      <c r="L105" s="166"/>
      <c r="M105" s="23"/>
    </row>
    <row r="106" spans="1:13" x14ac:dyDescent="0.2">
      <c r="A106" s="295" t="s">
        <v>13</v>
      </c>
      <c r="B106" s="235"/>
      <c r="C106" s="288"/>
      <c r="D106" s="166"/>
      <c r="E106" s="365"/>
      <c r="F106" s="280"/>
      <c r="G106" s="280"/>
      <c r="H106" s="166"/>
      <c r="I106" s="365"/>
      <c r="J106" s="289"/>
      <c r="K106" s="289"/>
      <c r="L106" s="166"/>
      <c r="M106" s="23"/>
    </row>
    <row r="107" spans="1:13" ht="15.75" x14ac:dyDescent="0.2">
      <c r="A107" s="21" t="s">
        <v>469</v>
      </c>
      <c r="B107" s="234"/>
      <c r="C107" s="145"/>
      <c r="D107" s="166"/>
      <c r="E107" s="27"/>
      <c r="F107" s="234"/>
      <c r="G107" s="145"/>
      <c r="H107" s="166"/>
      <c r="I107" s="27"/>
      <c r="J107" s="286"/>
      <c r="K107" s="44"/>
      <c r="L107" s="254"/>
      <c r="M107" s="27"/>
    </row>
    <row r="108" spans="1:13" ht="15.75" x14ac:dyDescent="0.2">
      <c r="A108" s="21" t="s">
        <v>470</v>
      </c>
      <c r="B108" s="234"/>
      <c r="C108" s="234"/>
      <c r="D108" s="166"/>
      <c r="E108" s="27"/>
      <c r="F108" s="234"/>
      <c r="G108" s="234"/>
      <c r="H108" s="166"/>
      <c r="I108" s="27"/>
      <c r="J108" s="286"/>
      <c r="K108" s="44"/>
      <c r="L108" s="254"/>
      <c r="M108" s="27"/>
    </row>
    <row r="109" spans="1:13" ht="15.75" x14ac:dyDescent="0.2">
      <c r="A109" s="21" t="s">
        <v>471</v>
      </c>
      <c r="B109" s="234"/>
      <c r="C109" s="234"/>
      <c r="D109" s="166"/>
      <c r="E109" s="27"/>
      <c r="F109" s="234"/>
      <c r="G109" s="234"/>
      <c r="H109" s="166"/>
      <c r="I109" s="27"/>
      <c r="J109" s="286"/>
      <c r="K109" s="44"/>
      <c r="L109" s="254"/>
      <c r="M109" s="27"/>
    </row>
    <row r="110" spans="1:13" ht="15.75" x14ac:dyDescent="0.2">
      <c r="A110" s="21" t="s">
        <v>472</v>
      </c>
      <c r="B110" s="234"/>
      <c r="C110" s="234"/>
      <c r="D110" s="166"/>
      <c r="E110" s="27"/>
      <c r="F110" s="234"/>
      <c r="G110" s="234"/>
      <c r="H110" s="166"/>
      <c r="I110" s="27"/>
      <c r="J110" s="286"/>
      <c r="K110" s="44"/>
      <c r="L110" s="254"/>
      <c r="M110" s="27"/>
    </row>
    <row r="111" spans="1:13" ht="15.75" x14ac:dyDescent="0.2">
      <c r="A111" s="13" t="s">
        <v>452</v>
      </c>
      <c r="B111" s="307"/>
      <c r="C111" s="159"/>
      <c r="D111" s="171"/>
      <c r="E111" s="11"/>
      <c r="F111" s="307"/>
      <c r="G111" s="159"/>
      <c r="H111" s="171"/>
      <c r="I111" s="11"/>
      <c r="J111" s="308"/>
      <c r="K111" s="236"/>
      <c r="L111" s="373"/>
      <c r="M111" s="11"/>
    </row>
    <row r="112" spans="1:13" x14ac:dyDescent="0.2">
      <c r="A112" s="21" t="s">
        <v>9</v>
      </c>
      <c r="B112" s="234"/>
      <c r="C112" s="145"/>
      <c r="D112" s="166"/>
      <c r="E112" s="27"/>
      <c r="F112" s="234"/>
      <c r="G112" s="145"/>
      <c r="H112" s="166"/>
      <c r="I112" s="27"/>
      <c r="J112" s="286"/>
      <c r="K112" s="44"/>
      <c r="L112" s="254"/>
      <c r="M112" s="27"/>
    </row>
    <row r="113" spans="1:14" x14ac:dyDescent="0.2">
      <c r="A113" s="21" t="s">
        <v>10</v>
      </c>
      <c r="B113" s="234"/>
      <c r="C113" s="145"/>
      <c r="D113" s="166"/>
      <c r="E113" s="27"/>
      <c r="F113" s="234"/>
      <c r="G113" s="145"/>
      <c r="H113" s="166"/>
      <c r="I113" s="27"/>
      <c r="J113" s="286"/>
      <c r="K113" s="44"/>
      <c r="L113" s="254"/>
      <c r="M113" s="27"/>
    </row>
    <row r="114" spans="1:14" x14ac:dyDescent="0.2">
      <c r="A114" s="21" t="s">
        <v>26</v>
      </c>
      <c r="B114" s="234"/>
      <c r="C114" s="145"/>
      <c r="D114" s="166"/>
      <c r="E114" s="27"/>
      <c r="F114" s="234"/>
      <c r="G114" s="145"/>
      <c r="H114" s="166"/>
      <c r="I114" s="27"/>
      <c r="J114" s="286"/>
      <c r="K114" s="44"/>
      <c r="L114" s="254"/>
      <c r="M114" s="27"/>
    </row>
    <row r="115" spans="1:14" x14ac:dyDescent="0.2">
      <c r="A115" s="295" t="s">
        <v>15</v>
      </c>
      <c r="B115" s="280"/>
      <c r="C115" s="280"/>
      <c r="D115" s="166"/>
      <c r="E115" s="365"/>
      <c r="F115" s="280"/>
      <c r="G115" s="280"/>
      <c r="H115" s="166"/>
      <c r="I115" s="365"/>
      <c r="J115" s="289"/>
      <c r="K115" s="289"/>
      <c r="L115" s="166"/>
      <c r="M115" s="23"/>
    </row>
    <row r="116" spans="1:14" ht="15.75" x14ac:dyDescent="0.2">
      <c r="A116" s="21" t="s">
        <v>473</v>
      </c>
      <c r="B116" s="234"/>
      <c r="C116" s="234"/>
      <c r="D116" s="166"/>
      <c r="E116" s="27"/>
      <c r="F116" s="234"/>
      <c r="G116" s="234"/>
      <c r="H116" s="166"/>
      <c r="I116" s="27"/>
      <c r="J116" s="286"/>
      <c r="K116" s="44"/>
      <c r="L116" s="254"/>
      <c r="M116" s="27"/>
    </row>
    <row r="117" spans="1:14" ht="15.75" x14ac:dyDescent="0.2">
      <c r="A117" s="21" t="s">
        <v>474</v>
      </c>
      <c r="B117" s="234"/>
      <c r="C117" s="234"/>
      <c r="D117" s="166"/>
      <c r="E117" s="27"/>
      <c r="F117" s="234"/>
      <c r="G117" s="234"/>
      <c r="H117" s="166"/>
      <c r="I117" s="27"/>
      <c r="J117" s="286"/>
      <c r="K117" s="44"/>
      <c r="L117" s="254"/>
      <c r="M117" s="27"/>
    </row>
    <row r="118" spans="1:14" ht="15.75" x14ac:dyDescent="0.2">
      <c r="A118" s="21" t="s">
        <v>472</v>
      </c>
      <c r="B118" s="234"/>
      <c r="C118" s="234"/>
      <c r="D118" s="166"/>
      <c r="E118" s="27"/>
      <c r="F118" s="234"/>
      <c r="G118" s="234"/>
      <c r="H118" s="166"/>
      <c r="I118" s="27"/>
      <c r="J118" s="286"/>
      <c r="K118" s="44"/>
      <c r="L118" s="254"/>
      <c r="M118" s="27"/>
    </row>
    <row r="119" spans="1:14" ht="15.75" x14ac:dyDescent="0.2">
      <c r="A119" s="13" t="s">
        <v>453</v>
      </c>
      <c r="B119" s="307"/>
      <c r="C119" s="159"/>
      <c r="D119" s="171"/>
      <c r="E119" s="11"/>
      <c r="F119" s="307"/>
      <c r="G119" s="159"/>
      <c r="H119" s="171"/>
      <c r="I119" s="11"/>
      <c r="J119" s="308"/>
      <c r="K119" s="236"/>
      <c r="L119" s="373"/>
      <c r="M119" s="11"/>
    </row>
    <row r="120" spans="1:14" x14ac:dyDescent="0.2">
      <c r="A120" s="21" t="s">
        <v>9</v>
      </c>
      <c r="B120" s="234"/>
      <c r="C120" s="145"/>
      <c r="D120" s="166"/>
      <c r="E120" s="27"/>
      <c r="F120" s="234"/>
      <c r="G120" s="145"/>
      <c r="H120" s="166"/>
      <c r="I120" s="27"/>
      <c r="J120" s="286"/>
      <c r="K120" s="44"/>
      <c r="L120" s="254"/>
      <c r="M120" s="27"/>
    </row>
    <row r="121" spans="1:14" x14ac:dyDescent="0.2">
      <c r="A121" s="21" t="s">
        <v>10</v>
      </c>
      <c r="B121" s="234"/>
      <c r="C121" s="145"/>
      <c r="D121" s="166"/>
      <c r="E121" s="27"/>
      <c r="F121" s="234"/>
      <c r="G121" s="145"/>
      <c r="H121" s="166"/>
      <c r="I121" s="27"/>
      <c r="J121" s="286"/>
      <c r="K121" s="44"/>
      <c r="L121" s="254"/>
      <c r="M121" s="27"/>
    </row>
    <row r="122" spans="1:14" x14ac:dyDescent="0.2">
      <c r="A122" s="21" t="s">
        <v>26</v>
      </c>
      <c r="B122" s="234"/>
      <c r="C122" s="145"/>
      <c r="D122" s="166"/>
      <c r="E122" s="27"/>
      <c r="F122" s="234"/>
      <c r="G122" s="145"/>
      <c r="H122" s="166"/>
      <c r="I122" s="27"/>
      <c r="J122" s="286"/>
      <c r="K122" s="44"/>
      <c r="L122" s="254"/>
      <c r="M122" s="27"/>
    </row>
    <row r="123" spans="1:14" x14ac:dyDescent="0.2">
      <c r="A123" s="295" t="s">
        <v>14</v>
      </c>
      <c r="B123" s="280"/>
      <c r="C123" s="280"/>
      <c r="D123" s="166"/>
      <c r="E123" s="365"/>
      <c r="F123" s="280"/>
      <c r="G123" s="280"/>
      <c r="H123" s="166"/>
      <c r="I123" s="365"/>
      <c r="J123" s="289"/>
      <c r="K123" s="289"/>
      <c r="L123" s="166"/>
      <c r="M123" s="23"/>
    </row>
    <row r="124" spans="1:14" ht="15.75" x14ac:dyDescent="0.2">
      <c r="A124" s="21" t="s">
        <v>479</v>
      </c>
      <c r="B124" s="234"/>
      <c r="C124" s="234"/>
      <c r="D124" s="166"/>
      <c r="E124" s="27"/>
      <c r="F124" s="234"/>
      <c r="G124" s="234"/>
      <c r="H124" s="166"/>
      <c r="I124" s="27"/>
      <c r="J124" s="286"/>
      <c r="K124" s="44"/>
      <c r="L124" s="254"/>
      <c r="M124" s="27"/>
    </row>
    <row r="125" spans="1:14" ht="15.75" x14ac:dyDescent="0.2">
      <c r="A125" s="21" t="s">
        <v>471</v>
      </c>
      <c r="B125" s="234"/>
      <c r="C125" s="234"/>
      <c r="D125" s="166"/>
      <c r="E125" s="27"/>
      <c r="F125" s="234"/>
      <c r="G125" s="234"/>
      <c r="H125" s="166"/>
      <c r="I125" s="27"/>
      <c r="J125" s="286"/>
      <c r="K125" s="44"/>
      <c r="L125" s="254"/>
      <c r="M125" s="27"/>
    </row>
    <row r="126" spans="1:14" ht="15.75" x14ac:dyDescent="0.2">
      <c r="A126" s="10" t="s">
        <v>472</v>
      </c>
      <c r="B126" s="45"/>
      <c r="C126" s="45"/>
      <c r="D126" s="167"/>
      <c r="E126" s="366"/>
      <c r="F126" s="45"/>
      <c r="G126" s="45"/>
      <c r="H126" s="167"/>
      <c r="I126" s="22"/>
      <c r="J126" s="287"/>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975"/>
      <c r="C130" s="975"/>
      <c r="D130" s="975"/>
      <c r="E130" s="298"/>
      <c r="F130" s="975"/>
      <c r="G130" s="975"/>
      <c r="H130" s="975"/>
      <c r="I130" s="298"/>
      <c r="J130" s="975"/>
      <c r="K130" s="975"/>
      <c r="L130" s="975"/>
      <c r="M130" s="298"/>
    </row>
    <row r="131" spans="1:14" s="3" customFormat="1" x14ac:dyDescent="0.2">
      <c r="A131" s="144"/>
      <c r="B131" s="973" t="s">
        <v>0</v>
      </c>
      <c r="C131" s="974"/>
      <c r="D131" s="974"/>
      <c r="E131" s="300"/>
      <c r="F131" s="973" t="s">
        <v>1</v>
      </c>
      <c r="G131" s="974"/>
      <c r="H131" s="974"/>
      <c r="I131" s="303"/>
      <c r="J131" s="973" t="s">
        <v>2</v>
      </c>
      <c r="K131" s="974"/>
      <c r="L131" s="974"/>
      <c r="M131" s="303"/>
      <c r="N131" s="148"/>
    </row>
    <row r="132" spans="1:14" s="3" customFormat="1" x14ac:dyDescent="0.2">
      <c r="A132" s="140"/>
      <c r="B132" s="152" t="s">
        <v>492</v>
      </c>
      <c r="C132" s="152" t="s">
        <v>493</v>
      </c>
      <c r="D132" s="245" t="s">
        <v>3</v>
      </c>
      <c r="E132" s="304" t="s">
        <v>29</v>
      </c>
      <c r="F132" s="152" t="s">
        <v>492</v>
      </c>
      <c r="G132" s="152" t="s">
        <v>493</v>
      </c>
      <c r="H132" s="206" t="s">
        <v>3</v>
      </c>
      <c r="I132" s="162" t="s">
        <v>29</v>
      </c>
      <c r="J132" s="152" t="s">
        <v>492</v>
      </c>
      <c r="K132" s="152" t="s">
        <v>493</v>
      </c>
      <c r="L132" s="246" t="s">
        <v>3</v>
      </c>
      <c r="M132" s="162" t="s">
        <v>29</v>
      </c>
      <c r="N132" s="148"/>
    </row>
    <row r="133" spans="1:14" s="3" customFormat="1" x14ac:dyDescent="0.2">
      <c r="A133" s="947"/>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475</v>
      </c>
      <c r="B134" s="236"/>
      <c r="C134" s="308"/>
      <c r="D134" s="349"/>
      <c r="E134" s="11"/>
      <c r="F134" s="315"/>
      <c r="G134" s="316"/>
      <c r="H134" s="376"/>
      <c r="I134" s="24"/>
      <c r="J134" s="317"/>
      <c r="K134" s="317"/>
      <c r="L134" s="372"/>
      <c r="M134" s="11"/>
      <c r="N134" s="148"/>
    </row>
    <row r="135" spans="1:14" s="3" customFormat="1" ht="15.75" x14ac:dyDescent="0.2">
      <c r="A135" s="13" t="s">
        <v>480</v>
      </c>
      <c r="B135" s="236"/>
      <c r="C135" s="308"/>
      <c r="D135" s="171"/>
      <c r="E135" s="11"/>
      <c r="F135" s="236"/>
      <c r="G135" s="308"/>
      <c r="H135" s="377"/>
      <c r="I135" s="24"/>
      <c r="J135" s="307"/>
      <c r="K135" s="307"/>
      <c r="L135" s="373"/>
      <c r="M135" s="11"/>
      <c r="N135" s="148"/>
    </row>
    <row r="136" spans="1:14" s="3" customFormat="1" ht="15.75" x14ac:dyDescent="0.2">
      <c r="A136" s="13" t="s">
        <v>477</v>
      </c>
      <c r="B136" s="236"/>
      <c r="C136" s="308"/>
      <c r="D136" s="171"/>
      <c r="E136" s="11"/>
      <c r="F136" s="236"/>
      <c r="G136" s="308"/>
      <c r="H136" s="377"/>
      <c r="I136" s="24"/>
      <c r="J136" s="307"/>
      <c r="K136" s="307"/>
      <c r="L136" s="373"/>
      <c r="M136" s="11"/>
      <c r="N136" s="148"/>
    </row>
    <row r="137" spans="1:14" s="3" customFormat="1" ht="15.75" x14ac:dyDescent="0.2">
      <c r="A137" s="41" t="s">
        <v>478</v>
      </c>
      <c r="B137" s="275"/>
      <c r="C137" s="314"/>
      <c r="D137" s="169"/>
      <c r="E137" s="9"/>
      <c r="F137" s="275"/>
      <c r="G137" s="314"/>
      <c r="H137" s="378"/>
      <c r="I137" s="36"/>
      <c r="J137" s="313"/>
      <c r="K137" s="313"/>
      <c r="L137" s="374"/>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744" priority="132">
      <formula>kvartal &lt; 4</formula>
    </cfRule>
  </conditionalFormatting>
  <conditionalFormatting sqref="B69">
    <cfRule type="expression" dxfId="743" priority="100">
      <formula>kvartal &lt; 4</formula>
    </cfRule>
  </conditionalFormatting>
  <conditionalFormatting sqref="C69">
    <cfRule type="expression" dxfId="742" priority="99">
      <formula>kvartal &lt; 4</formula>
    </cfRule>
  </conditionalFormatting>
  <conditionalFormatting sqref="B72">
    <cfRule type="expression" dxfId="741" priority="98">
      <formula>kvartal &lt; 4</formula>
    </cfRule>
  </conditionalFormatting>
  <conditionalFormatting sqref="C72">
    <cfRule type="expression" dxfId="740" priority="97">
      <formula>kvartal &lt; 4</formula>
    </cfRule>
  </conditionalFormatting>
  <conditionalFormatting sqref="B80">
    <cfRule type="expression" dxfId="739" priority="96">
      <formula>kvartal &lt; 4</formula>
    </cfRule>
  </conditionalFormatting>
  <conditionalFormatting sqref="C80">
    <cfRule type="expression" dxfId="738" priority="95">
      <formula>kvartal &lt; 4</formula>
    </cfRule>
  </conditionalFormatting>
  <conditionalFormatting sqref="B83">
    <cfRule type="expression" dxfId="737" priority="94">
      <formula>kvartal &lt; 4</formula>
    </cfRule>
  </conditionalFormatting>
  <conditionalFormatting sqref="C83">
    <cfRule type="expression" dxfId="736" priority="93">
      <formula>kvartal &lt; 4</formula>
    </cfRule>
  </conditionalFormatting>
  <conditionalFormatting sqref="B90">
    <cfRule type="expression" dxfId="735" priority="84">
      <formula>kvartal &lt; 4</formula>
    </cfRule>
  </conditionalFormatting>
  <conditionalFormatting sqref="C90">
    <cfRule type="expression" dxfId="734" priority="83">
      <formula>kvartal &lt; 4</formula>
    </cfRule>
  </conditionalFormatting>
  <conditionalFormatting sqref="B93">
    <cfRule type="expression" dxfId="733" priority="82">
      <formula>kvartal &lt; 4</formula>
    </cfRule>
  </conditionalFormatting>
  <conditionalFormatting sqref="C93">
    <cfRule type="expression" dxfId="732" priority="81">
      <formula>kvartal &lt; 4</formula>
    </cfRule>
  </conditionalFormatting>
  <conditionalFormatting sqref="B101">
    <cfRule type="expression" dxfId="731" priority="80">
      <formula>kvartal &lt; 4</formula>
    </cfRule>
  </conditionalFormatting>
  <conditionalFormatting sqref="C101">
    <cfRule type="expression" dxfId="730" priority="79">
      <formula>kvartal &lt; 4</formula>
    </cfRule>
  </conditionalFormatting>
  <conditionalFormatting sqref="B104">
    <cfRule type="expression" dxfId="729" priority="78">
      <formula>kvartal &lt; 4</formula>
    </cfRule>
  </conditionalFormatting>
  <conditionalFormatting sqref="C104">
    <cfRule type="expression" dxfId="728" priority="77">
      <formula>kvartal &lt; 4</formula>
    </cfRule>
  </conditionalFormatting>
  <conditionalFormatting sqref="B115">
    <cfRule type="expression" dxfId="727" priority="76">
      <formula>kvartal &lt; 4</formula>
    </cfRule>
  </conditionalFormatting>
  <conditionalFormatting sqref="C115">
    <cfRule type="expression" dxfId="726" priority="75">
      <formula>kvartal &lt; 4</formula>
    </cfRule>
  </conditionalFormatting>
  <conditionalFormatting sqref="B123">
    <cfRule type="expression" dxfId="725" priority="74">
      <formula>kvartal &lt; 4</formula>
    </cfRule>
  </conditionalFormatting>
  <conditionalFormatting sqref="C123">
    <cfRule type="expression" dxfId="724" priority="73">
      <formula>kvartal &lt; 4</formula>
    </cfRule>
  </conditionalFormatting>
  <conditionalFormatting sqref="F70">
    <cfRule type="expression" dxfId="723" priority="72">
      <formula>kvartal &lt; 4</formula>
    </cfRule>
  </conditionalFormatting>
  <conditionalFormatting sqref="G70">
    <cfRule type="expression" dxfId="722" priority="71">
      <formula>kvartal &lt; 4</formula>
    </cfRule>
  </conditionalFormatting>
  <conditionalFormatting sqref="F71:G71">
    <cfRule type="expression" dxfId="721" priority="70">
      <formula>kvartal &lt; 4</formula>
    </cfRule>
  </conditionalFormatting>
  <conditionalFormatting sqref="F73:G74">
    <cfRule type="expression" dxfId="720" priority="69">
      <formula>kvartal &lt; 4</formula>
    </cfRule>
  </conditionalFormatting>
  <conditionalFormatting sqref="F81:G82">
    <cfRule type="expression" dxfId="719" priority="68">
      <formula>kvartal &lt; 4</formula>
    </cfRule>
  </conditionalFormatting>
  <conditionalFormatting sqref="F84:G85">
    <cfRule type="expression" dxfId="718" priority="67">
      <formula>kvartal &lt; 4</formula>
    </cfRule>
  </conditionalFormatting>
  <conditionalFormatting sqref="F91:G92">
    <cfRule type="expression" dxfId="717" priority="62">
      <formula>kvartal &lt; 4</formula>
    </cfRule>
  </conditionalFormatting>
  <conditionalFormatting sqref="F94:G95">
    <cfRule type="expression" dxfId="716" priority="61">
      <formula>kvartal &lt; 4</formula>
    </cfRule>
  </conditionalFormatting>
  <conditionalFormatting sqref="F102:G103">
    <cfRule type="expression" dxfId="715" priority="60">
      <formula>kvartal &lt; 4</formula>
    </cfRule>
  </conditionalFormatting>
  <conditionalFormatting sqref="F105:G106">
    <cfRule type="expression" dxfId="714" priority="59">
      <formula>kvartal &lt; 4</formula>
    </cfRule>
  </conditionalFormatting>
  <conditionalFormatting sqref="F115">
    <cfRule type="expression" dxfId="713" priority="58">
      <formula>kvartal &lt; 4</formula>
    </cfRule>
  </conditionalFormatting>
  <conditionalFormatting sqref="G115">
    <cfRule type="expression" dxfId="712" priority="57">
      <formula>kvartal &lt; 4</formula>
    </cfRule>
  </conditionalFormatting>
  <conditionalFormatting sqref="F123:G123">
    <cfRule type="expression" dxfId="711" priority="56">
      <formula>kvartal &lt; 4</formula>
    </cfRule>
  </conditionalFormatting>
  <conditionalFormatting sqref="F69:G69">
    <cfRule type="expression" dxfId="710" priority="55">
      <formula>kvartal &lt; 4</formula>
    </cfRule>
  </conditionalFormatting>
  <conditionalFormatting sqref="F72:G72">
    <cfRule type="expression" dxfId="709" priority="54">
      <formula>kvartal &lt; 4</formula>
    </cfRule>
  </conditionalFormatting>
  <conditionalFormatting sqref="F80:G80">
    <cfRule type="expression" dxfId="708" priority="53">
      <formula>kvartal &lt; 4</formula>
    </cfRule>
  </conditionalFormatting>
  <conditionalFormatting sqref="F83:G83">
    <cfRule type="expression" dxfId="707" priority="52">
      <formula>kvartal &lt; 4</formula>
    </cfRule>
  </conditionalFormatting>
  <conditionalFormatting sqref="F90:G90">
    <cfRule type="expression" dxfId="706" priority="46">
      <formula>kvartal &lt; 4</formula>
    </cfRule>
  </conditionalFormatting>
  <conditionalFormatting sqref="F93">
    <cfRule type="expression" dxfId="705" priority="45">
      <formula>kvartal &lt; 4</formula>
    </cfRule>
  </conditionalFormatting>
  <conditionalFormatting sqref="G93">
    <cfRule type="expression" dxfId="704" priority="44">
      <formula>kvartal &lt; 4</formula>
    </cfRule>
  </conditionalFormatting>
  <conditionalFormatting sqref="F101">
    <cfRule type="expression" dxfId="703" priority="43">
      <formula>kvartal &lt; 4</formula>
    </cfRule>
  </conditionalFormatting>
  <conditionalFormatting sqref="G101">
    <cfRule type="expression" dxfId="702" priority="42">
      <formula>kvartal &lt; 4</formula>
    </cfRule>
  </conditionalFormatting>
  <conditionalFormatting sqref="G104">
    <cfRule type="expression" dxfId="701" priority="41">
      <formula>kvartal &lt; 4</formula>
    </cfRule>
  </conditionalFormatting>
  <conditionalFormatting sqref="F104">
    <cfRule type="expression" dxfId="700" priority="40">
      <formula>kvartal &lt; 4</formula>
    </cfRule>
  </conditionalFormatting>
  <conditionalFormatting sqref="J69:K73">
    <cfRule type="expression" dxfId="699" priority="39">
      <formula>kvartal &lt; 4</formula>
    </cfRule>
  </conditionalFormatting>
  <conditionalFormatting sqref="J74:K74">
    <cfRule type="expression" dxfId="698" priority="38">
      <formula>kvartal &lt; 4</formula>
    </cfRule>
  </conditionalFormatting>
  <conditionalFormatting sqref="J80:K85">
    <cfRule type="expression" dxfId="697" priority="37">
      <formula>kvartal &lt; 4</formula>
    </cfRule>
  </conditionalFormatting>
  <conditionalFormatting sqref="J90:K95">
    <cfRule type="expression" dxfId="696" priority="34">
      <formula>kvartal &lt; 4</formula>
    </cfRule>
  </conditionalFormatting>
  <conditionalFormatting sqref="J101:K106">
    <cfRule type="expression" dxfId="695" priority="33">
      <formula>kvartal &lt; 4</formula>
    </cfRule>
  </conditionalFormatting>
  <conditionalFormatting sqref="J115:K115">
    <cfRule type="expression" dxfId="694" priority="32">
      <formula>kvartal &lt; 4</formula>
    </cfRule>
  </conditionalFormatting>
  <conditionalFormatting sqref="J123:K123">
    <cfRule type="expression" dxfId="693" priority="31">
      <formula>kvartal &lt; 4</formula>
    </cfRule>
  </conditionalFormatting>
  <conditionalFormatting sqref="A50:A52">
    <cfRule type="expression" dxfId="692" priority="12">
      <formula>kvartal &lt; 4</formula>
    </cfRule>
  </conditionalFormatting>
  <conditionalFormatting sqref="A69:A74">
    <cfRule type="expression" dxfId="691" priority="10">
      <formula>kvartal &lt; 4</formula>
    </cfRule>
  </conditionalFormatting>
  <conditionalFormatting sqref="A80:A85">
    <cfRule type="expression" dxfId="690" priority="9">
      <formula>kvartal &lt; 4</formula>
    </cfRule>
  </conditionalFormatting>
  <conditionalFormatting sqref="A90:A95">
    <cfRule type="expression" dxfId="689" priority="6">
      <formula>kvartal &lt; 4</formula>
    </cfRule>
  </conditionalFormatting>
  <conditionalFormatting sqref="A101:A106">
    <cfRule type="expression" dxfId="688" priority="5">
      <formula>kvartal &lt; 4</formula>
    </cfRule>
  </conditionalFormatting>
  <conditionalFormatting sqref="A115">
    <cfRule type="expression" dxfId="687" priority="4">
      <formula>kvartal &lt; 4</formula>
    </cfRule>
  </conditionalFormatting>
  <conditionalFormatting sqref="A123">
    <cfRule type="expression" dxfId="686" priority="3">
      <formula>kvartal &lt; 4</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139</v>
      </c>
      <c r="B1" s="945"/>
      <c r="C1" s="752" t="s">
        <v>495</v>
      </c>
      <c r="D1" s="26"/>
      <c r="E1" s="26"/>
      <c r="F1" s="26"/>
      <c r="G1" s="26"/>
      <c r="H1" s="26"/>
      <c r="I1" s="26"/>
      <c r="J1" s="26"/>
      <c r="K1" s="26"/>
      <c r="L1" s="26"/>
      <c r="M1" s="26"/>
    </row>
    <row r="2" spans="1:14" ht="15.75" x14ac:dyDescent="0.25">
      <c r="A2" s="165" t="s">
        <v>28</v>
      </c>
      <c r="B2" s="972"/>
      <c r="C2" s="972"/>
      <c r="D2" s="972"/>
      <c r="E2" s="298"/>
      <c r="F2" s="972"/>
      <c r="G2" s="972"/>
      <c r="H2" s="972"/>
      <c r="I2" s="298"/>
      <c r="J2" s="972"/>
      <c r="K2" s="972"/>
      <c r="L2" s="972"/>
      <c r="M2" s="298"/>
    </row>
    <row r="3" spans="1:14" ht="15.75" x14ac:dyDescent="0.25">
      <c r="A3" s="163"/>
      <c r="B3" s="298"/>
      <c r="C3" s="298"/>
      <c r="D3" s="298"/>
      <c r="E3" s="298"/>
      <c r="F3" s="298"/>
      <c r="G3" s="298"/>
      <c r="H3" s="298"/>
      <c r="I3" s="298"/>
      <c r="J3" s="298"/>
      <c r="K3" s="298"/>
      <c r="L3" s="298"/>
      <c r="M3" s="298"/>
    </row>
    <row r="4" spans="1:14" x14ac:dyDescent="0.2">
      <c r="A4" s="144"/>
      <c r="B4" s="973" t="s">
        <v>0</v>
      </c>
      <c r="C4" s="974"/>
      <c r="D4" s="974"/>
      <c r="E4" s="300"/>
      <c r="F4" s="973" t="s">
        <v>1</v>
      </c>
      <c r="G4" s="974"/>
      <c r="H4" s="974"/>
      <c r="I4" s="303"/>
      <c r="J4" s="973" t="s">
        <v>2</v>
      </c>
      <c r="K4" s="974"/>
      <c r="L4" s="974"/>
      <c r="M4" s="303"/>
    </row>
    <row r="5" spans="1:14" x14ac:dyDescent="0.2">
      <c r="A5" s="158"/>
      <c r="B5" s="152" t="s">
        <v>492</v>
      </c>
      <c r="C5" s="152" t="s">
        <v>493</v>
      </c>
      <c r="D5" s="245" t="s">
        <v>3</v>
      </c>
      <c r="E5" s="304" t="s">
        <v>29</v>
      </c>
      <c r="F5" s="152" t="s">
        <v>492</v>
      </c>
      <c r="G5" s="152" t="s">
        <v>493</v>
      </c>
      <c r="H5" s="245" t="s">
        <v>3</v>
      </c>
      <c r="I5" s="162" t="s">
        <v>29</v>
      </c>
      <c r="J5" s="152" t="s">
        <v>492</v>
      </c>
      <c r="K5" s="152" t="s">
        <v>493</v>
      </c>
      <c r="L5" s="245" t="s">
        <v>3</v>
      </c>
      <c r="M5" s="162" t="s">
        <v>29</v>
      </c>
    </row>
    <row r="6" spans="1:14" x14ac:dyDescent="0.2">
      <c r="A6" s="946"/>
      <c r="B6" s="156"/>
      <c r="C6" s="156"/>
      <c r="D6" s="246" t="s">
        <v>4</v>
      </c>
      <c r="E6" s="156" t="s">
        <v>30</v>
      </c>
      <c r="F6" s="161"/>
      <c r="G6" s="161"/>
      <c r="H6" s="245" t="s">
        <v>4</v>
      </c>
      <c r="I6" s="156" t="s">
        <v>30</v>
      </c>
      <c r="J6" s="161"/>
      <c r="K6" s="161"/>
      <c r="L6" s="245" t="s">
        <v>4</v>
      </c>
      <c r="M6" s="156" t="s">
        <v>30</v>
      </c>
    </row>
    <row r="7" spans="1:14" ht="15.75" x14ac:dyDescent="0.2">
      <c r="A7" s="14" t="s">
        <v>23</v>
      </c>
      <c r="B7" s="305"/>
      <c r="C7" s="306"/>
      <c r="D7" s="349"/>
      <c r="E7" s="11"/>
      <c r="F7" s="305"/>
      <c r="G7" s="306"/>
      <c r="H7" s="349"/>
      <c r="I7" s="160"/>
      <c r="J7" s="307"/>
      <c r="K7" s="308"/>
      <c r="L7" s="372"/>
      <c r="M7" s="11"/>
    </row>
    <row r="8" spans="1:14" ht="15.75" x14ac:dyDescent="0.2">
      <c r="A8" s="21" t="s">
        <v>25</v>
      </c>
      <c r="B8" s="280"/>
      <c r="C8" s="281"/>
      <c r="D8" s="166"/>
      <c r="E8" s="27"/>
      <c r="F8" s="284"/>
      <c r="G8" s="285"/>
      <c r="H8" s="166"/>
      <c r="I8" s="175"/>
      <c r="J8" s="234"/>
      <c r="K8" s="286"/>
      <c r="L8" s="254"/>
      <c r="M8" s="27"/>
    </row>
    <row r="9" spans="1:14" ht="15.75" x14ac:dyDescent="0.2">
      <c r="A9" s="21" t="s">
        <v>24</v>
      </c>
      <c r="B9" s="280"/>
      <c r="C9" s="281"/>
      <c r="D9" s="166"/>
      <c r="E9" s="27"/>
      <c r="F9" s="284"/>
      <c r="G9" s="285"/>
      <c r="H9" s="166"/>
      <c r="I9" s="175"/>
      <c r="J9" s="234"/>
      <c r="K9" s="286"/>
      <c r="L9" s="254"/>
      <c r="M9" s="27"/>
    </row>
    <row r="10" spans="1:14" ht="15.75" x14ac:dyDescent="0.2">
      <c r="A10" s="13" t="s">
        <v>451</v>
      </c>
      <c r="B10" s="309"/>
      <c r="C10" s="310"/>
      <c r="D10" s="171"/>
      <c r="E10" s="11"/>
      <c r="F10" s="309"/>
      <c r="G10" s="310"/>
      <c r="H10" s="171"/>
      <c r="I10" s="160"/>
      <c r="J10" s="307"/>
      <c r="K10" s="308"/>
      <c r="L10" s="373"/>
      <c r="M10" s="11"/>
    </row>
    <row r="11" spans="1:14" s="43" customFormat="1" ht="15.75" x14ac:dyDescent="0.2">
      <c r="A11" s="13" t="s">
        <v>452</v>
      </c>
      <c r="B11" s="309"/>
      <c r="C11" s="310"/>
      <c r="D11" s="171"/>
      <c r="E11" s="11"/>
      <c r="F11" s="309"/>
      <c r="G11" s="310"/>
      <c r="H11" s="171"/>
      <c r="I11" s="160"/>
      <c r="J11" s="307"/>
      <c r="K11" s="308"/>
      <c r="L11" s="373"/>
      <c r="M11" s="11"/>
      <c r="N11" s="143"/>
    </row>
    <row r="12" spans="1:14" s="43" customFormat="1" ht="15.75" x14ac:dyDescent="0.2">
      <c r="A12" s="41" t="s">
        <v>453</v>
      </c>
      <c r="B12" s="311"/>
      <c r="C12" s="312"/>
      <c r="D12" s="169"/>
      <c r="E12" s="36"/>
      <c r="F12" s="311"/>
      <c r="G12" s="312"/>
      <c r="H12" s="169"/>
      <c r="I12" s="169"/>
      <c r="J12" s="313"/>
      <c r="K12" s="314"/>
      <c r="L12" s="374"/>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975"/>
      <c r="C18" s="975"/>
      <c r="D18" s="975"/>
      <c r="E18" s="298"/>
      <c r="F18" s="975"/>
      <c r="G18" s="975"/>
      <c r="H18" s="975"/>
      <c r="I18" s="298"/>
      <c r="J18" s="975"/>
      <c r="K18" s="975"/>
      <c r="L18" s="975"/>
      <c r="M18" s="298"/>
    </row>
    <row r="19" spans="1:14" x14ac:dyDescent="0.2">
      <c r="A19" s="144"/>
      <c r="B19" s="973" t="s">
        <v>0</v>
      </c>
      <c r="C19" s="974"/>
      <c r="D19" s="974"/>
      <c r="E19" s="300"/>
      <c r="F19" s="973" t="s">
        <v>1</v>
      </c>
      <c r="G19" s="974"/>
      <c r="H19" s="974"/>
      <c r="I19" s="303"/>
      <c r="J19" s="973" t="s">
        <v>2</v>
      </c>
      <c r="K19" s="974"/>
      <c r="L19" s="974"/>
      <c r="M19" s="303"/>
    </row>
    <row r="20" spans="1:14" x14ac:dyDescent="0.2">
      <c r="A20" s="140" t="s">
        <v>5</v>
      </c>
      <c r="B20" s="152" t="s">
        <v>492</v>
      </c>
      <c r="C20" s="152" t="s">
        <v>493</v>
      </c>
      <c r="D20" s="162" t="s">
        <v>3</v>
      </c>
      <c r="E20" s="304" t="s">
        <v>29</v>
      </c>
      <c r="F20" s="152" t="s">
        <v>492</v>
      </c>
      <c r="G20" s="152" t="s">
        <v>493</v>
      </c>
      <c r="H20" s="162" t="s">
        <v>3</v>
      </c>
      <c r="I20" s="162" t="s">
        <v>29</v>
      </c>
      <c r="J20" s="152" t="s">
        <v>492</v>
      </c>
      <c r="K20" s="152" t="s">
        <v>493</v>
      </c>
      <c r="L20" s="162" t="s">
        <v>3</v>
      </c>
      <c r="M20" s="162" t="s">
        <v>29</v>
      </c>
    </row>
    <row r="21" spans="1:14" x14ac:dyDescent="0.2">
      <c r="A21" s="947"/>
      <c r="B21" s="156"/>
      <c r="C21" s="156"/>
      <c r="D21" s="246" t="s">
        <v>4</v>
      </c>
      <c r="E21" s="156" t="s">
        <v>30</v>
      </c>
      <c r="F21" s="161"/>
      <c r="G21" s="161"/>
      <c r="H21" s="245"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372"/>
      <c r="M22" s="24"/>
    </row>
    <row r="23" spans="1:14" ht="15.75" x14ac:dyDescent="0.2">
      <c r="A23" s="753" t="s">
        <v>454</v>
      </c>
      <c r="B23" s="280"/>
      <c r="C23" s="280"/>
      <c r="D23" s="166"/>
      <c r="E23" s="11"/>
      <c r="F23" s="289"/>
      <c r="G23" s="289"/>
      <c r="H23" s="166"/>
      <c r="I23" s="365"/>
      <c r="J23" s="289"/>
      <c r="K23" s="289"/>
      <c r="L23" s="166"/>
      <c r="M23" s="23"/>
    </row>
    <row r="24" spans="1:14" ht="15.75" x14ac:dyDescent="0.2">
      <c r="A24" s="753" t="s">
        <v>455</v>
      </c>
      <c r="B24" s="280"/>
      <c r="C24" s="280"/>
      <c r="D24" s="166"/>
      <c r="E24" s="11"/>
      <c r="F24" s="289"/>
      <c r="G24" s="289"/>
      <c r="H24" s="166"/>
      <c r="I24" s="365"/>
      <c r="J24" s="289"/>
      <c r="K24" s="289"/>
      <c r="L24" s="166"/>
      <c r="M24" s="23"/>
    </row>
    <row r="25" spans="1:14" ht="15.75" x14ac:dyDescent="0.2">
      <c r="A25" s="753" t="s">
        <v>456</v>
      </c>
      <c r="B25" s="280"/>
      <c r="C25" s="280"/>
      <c r="D25" s="166"/>
      <c r="E25" s="11"/>
      <c r="F25" s="289"/>
      <c r="G25" s="289"/>
      <c r="H25" s="166"/>
      <c r="I25" s="365"/>
      <c r="J25" s="289"/>
      <c r="K25" s="289"/>
      <c r="L25" s="166"/>
      <c r="M25" s="23"/>
    </row>
    <row r="26" spans="1:14" ht="15.75" x14ac:dyDescent="0.2">
      <c r="A26" s="753" t="s">
        <v>457</v>
      </c>
      <c r="B26" s="280"/>
      <c r="C26" s="280"/>
      <c r="D26" s="166"/>
      <c r="E26" s="11"/>
      <c r="F26" s="289"/>
      <c r="G26" s="289"/>
      <c r="H26" s="166"/>
      <c r="I26" s="365"/>
      <c r="J26" s="289"/>
      <c r="K26" s="289"/>
      <c r="L26" s="166"/>
      <c r="M26" s="23"/>
    </row>
    <row r="27" spans="1:14" x14ac:dyDescent="0.2">
      <c r="A27" s="753" t="s">
        <v>11</v>
      </c>
      <c r="B27" s="280"/>
      <c r="C27" s="280"/>
      <c r="D27" s="166"/>
      <c r="E27" s="11"/>
      <c r="F27" s="289"/>
      <c r="G27" s="289"/>
      <c r="H27" s="166"/>
      <c r="I27" s="365"/>
      <c r="J27" s="289"/>
      <c r="K27" s="289"/>
      <c r="L27" s="166"/>
      <c r="M27" s="23"/>
    </row>
    <row r="28" spans="1:14" ht="15.75" x14ac:dyDescent="0.2">
      <c r="A28" s="49" t="s">
        <v>279</v>
      </c>
      <c r="B28" s="44"/>
      <c r="C28" s="286"/>
      <c r="D28" s="166"/>
      <c r="E28" s="11"/>
      <c r="F28" s="234"/>
      <c r="G28" s="286"/>
      <c r="H28" s="166"/>
      <c r="I28" s="27"/>
      <c r="J28" s="44"/>
      <c r="K28" s="44"/>
      <c r="L28" s="254"/>
      <c r="M28" s="23"/>
    </row>
    <row r="29" spans="1:14" s="3" customFormat="1" ht="15.75" x14ac:dyDescent="0.2">
      <c r="A29" s="13" t="s">
        <v>451</v>
      </c>
      <c r="B29" s="236"/>
      <c r="C29" s="236"/>
      <c r="D29" s="171"/>
      <c r="E29" s="11"/>
      <c r="F29" s="307"/>
      <c r="G29" s="307"/>
      <c r="H29" s="171"/>
      <c r="I29" s="11"/>
      <c r="J29" s="236"/>
      <c r="K29" s="236"/>
      <c r="L29" s="373"/>
      <c r="M29" s="24"/>
      <c r="N29" s="148"/>
    </row>
    <row r="30" spans="1:14" s="3" customFormat="1" ht="15.75" x14ac:dyDescent="0.2">
      <c r="A30" s="753" t="s">
        <v>454</v>
      </c>
      <c r="B30" s="280"/>
      <c r="C30" s="280"/>
      <c r="D30" s="166"/>
      <c r="E30" s="11"/>
      <c r="F30" s="289"/>
      <c r="G30" s="289"/>
      <c r="H30" s="166"/>
      <c r="I30" s="365"/>
      <c r="J30" s="289"/>
      <c r="K30" s="289"/>
      <c r="L30" s="166"/>
      <c r="M30" s="23"/>
      <c r="N30" s="148"/>
    </row>
    <row r="31" spans="1:14" s="3" customFormat="1" ht="15.75" x14ac:dyDescent="0.2">
      <c r="A31" s="753" t="s">
        <v>455</v>
      </c>
      <c r="B31" s="280"/>
      <c r="C31" s="280"/>
      <c r="D31" s="166"/>
      <c r="E31" s="11"/>
      <c r="F31" s="289"/>
      <c r="G31" s="289"/>
      <c r="H31" s="166"/>
      <c r="I31" s="365"/>
      <c r="J31" s="289"/>
      <c r="K31" s="289"/>
      <c r="L31" s="166"/>
      <c r="M31" s="23"/>
      <c r="N31" s="148"/>
    </row>
    <row r="32" spans="1:14" ht="15.75" x14ac:dyDescent="0.2">
      <c r="A32" s="753" t="s">
        <v>456</v>
      </c>
      <c r="B32" s="280"/>
      <c r="C32" s="280"/>
      <c r="D32" s="166"/>
      <c r="E32" s="11"/>
      <c r="F32" s="289"/>
      <c r="G32" s="289"/>
      <c r="H32" s="166"/>
      <c r="I32" s="365"/>
      <c r="J32" s="289"/>
      <c r="K32" s="289"/>
      <c r="L32" s="166"/>
      <c r="M32" s="23"/>
    </row>
    <row r="33" spans="1:14" ht="15.75" x14ac:dyDescent="0.2">
      <c r="A33" s="753" t="s">
        <v>457</v>
      </c>
      <c r="B33" s="280"/>
      <c r="C33" s="280"/>
      <c r="D33" s="166"/>
      <c r="E33" s="11"/>
      <c r="F33" s="289"/>
      <c r="G33" s="289"/>
      <c r="H33" s="166"/>
      <c r="I33" s="365"/>
      <c r="J33" s="289"/>
      <c r="K33" s="289"/>
      <c r="L33" s="166"/>
      <c r="M33" s="23"/>
    </row>
    <row r="34" spans="1:14" ht="15.75" x14ac:dyDescent="0.2">
      <c r="A34" s="13" t="s">
        <v>452</v>
      </c>
      <c r="B34" s="236"/>
      <c r="C34" s="308"/>
      <c r="D34" s="171"/>
      <c r="E34" s="11"/>
      <c r="F34" s="307"/>
      <c r="G34" s="308"/>
      <c r="H34" s="171"/>
      <c r="I34" s="11"/>
      <c r="J34" s="236"/>
      <c r="K34" s="236"/>
      <c r="L34" s="373"/>
      <c r="M34" s="24"/>
    </row>
    <row r="35" spans="1:14" ht="15.75" x14ac:dyDescent="0.2">
      <c r="A35" s="13" t="s">
        <v>453</v>
      </c>
      <c r="B35" s="236"/>
      <c r="C35" s="308"/>
      <c r="D35" s="171"/>
      <c r="E35" s="11"/>
      <c r="F35" s="307"/>
      <c r="G35" s="308"/>
      <c r="H35" s="171"/>
      <c r="I35" s="11"/>
      <c r="J35" s="236"/>
      <c r="K35" s="236"/>
      <c r="L35" s="373"/>
      <c r="M35" s="24"/>
    </row>
    <row r="36" spans="1:14" ht="15.75" x14ac:dyDescent="0.2">
      <c r="A36" s="12" t="s">
        <v>287</v>
      </c>
      <c r="B36" s="236"/>
      <c r="C36" s="308"/>
      <c r="D36" s="171"/>
      <c r="E36" s="11"/>
      <c r="F36" s="318"/>
      <c r="G36" s="319"/>
      <c r="H36" s="171"/>
      <c r="I36" s="379"/>
      <c r="J36" s="236"/>
      <c r="K36" s="236"/>
      <c r="L36" s="373"/>
      <c r="M36" s="24"/>
    </row>
    <row r="37" spans="1:14" ht="15.75" x14ac:dyDescent="0.2">
      <c r="A37" s="12" t="s">
        <v>459</v>
      </c>
      <c r="B37" s="236"/>
      <c r="C37" s="308"/>
      <c r="D37" s="171"/>
      <c r="E37" s="11"/>
      <c r="F37" s="318"/>
      <c r="G37" s="320"/>
      <c r="H37" s="171"/>
      <c r="I37" s="379"/>
      <c r="J37" s="236"/>
      <c r="K37" s="236"/>
      <c r="L37" s="373"/>
      <c r="M37" s="24"/>
    </row>
    <row r="38" spans="1:14" ht="15.75" x14ac:dyDescent="0.2">
      <c r="A38" s="12" t="s">
        <v>460</v>
      </c>
      <c r="B38" s="236"/>
      <c r="C38" s="308"/>
      <c r="D38" s="171"/>
      <c r="E38" s="24"/>
      <c r="F38" s="318"/>
      <c r="G38" s="319"/>
      <c r="H38" s="171"/>
      <c r="I38" s="379"/>
      <c r="J38" s="236"/>
      <c r="K38" s="236"/>
      <c r="L38" s="373"/>
      <c r="M38" s="24"/>
    </row>
    <row r="39" spans="1:14" ht="15.75" x14ac:dyDescent="0.2">
      <c r="A39" s="18" t="s">
        <v>461</v>
      </c>
      <c r="B39" s="275"/>
      <c r="C39" s="314"/>
      <c r="D39" s="169"/>
      <c r="E39" s="36"/>
      <c r="F39" s="321"/>
      <c r="G39" s="322"/>
      <c r="H39" s="169"/>
      <c r="I39" s="36"/>
      <c r="J39" s="236"/>
      <c r="K39" s="236"/>
      <c r="L39" s="374"/>
      <c r="M39" s="36"/>
    </row>
    <row r="40" spans="1:14" ht="15.75" x14ac:dyDescent="0.25">
      <c r="A40" s="47"/>
      <c r="B40" s="253"/>
      <c r="C40" s="253"/>
      <c r="D40" s="976"/>
      <c r="E40" s="976"/>
      <c r="F40" s="976"/>
      <c r="G40" s="976"/>
      <c r="H40" s="976"/>
      <c r="I40" s="976"/>
      <c r="J40" s="976"/>
      <c r="K40" s="976"/>
      <c r="L40" s="976"/>
      <c r="M40" s="301"/>
    </row>
    <row r="41" spans="1:14" x14ac:dyDescent="0.2">
      <c r="A41" s="155"/>
    </row>
    <row r="42" spans="1:14" ht="15.75" x14ac:dyDescent="0.25">
      <c r="A42" s="147" t="s">
        <v>276</v>
      </c>
      <c r="B42" s="972"/>
      <c r="C42" s="972"/>
      <c r="D42" s="972"/>
      <c r="E42" s="298"/>
      <c r="F42" s="977"/>
      <c r="G42" s="977"/>
      <c r="H42" s="977"/>
      <c r="I42" s="301"/>
      <c r="J42" s="977"/>
      <c r="K42" s="977"/>
      <c r="L42" s="977"/>
      <c r="M42" s="301"/>
    </row>
    <row r="43" spans="1:14" ht="15.75" x14ac:dyDescent="0.25">
      <c r="A43" s="163"/>
      <c r="B43" s="302"/>
      <c r="C43" s="302"/>
      <c r="D43" s="302"/>
      <c r="E43" s="302"/>
      <c r="F43" s="301"/>
      <c r="G43" s="301"/>
      <c r="H43" s="301"/>
      <c r="I43" s="301"/>
      <c r="J43" s="301"/>
      <c r="K43" s="301"/>
      <c r="L43" s="301"/>
      <c r="M43" s="301"/>
    </row>
    <row r="44" spans="1:14" ht="15.75" x14ac:dyDescent="0.25">
      <c r="A44" s="247"/>
      <c r="B44" s="973" t="s">
        <v>0</v>
      </c>
      <c r="C44" s="974"/>
      <c r="D44" s="974"/>
      <c r="E44" s="243"/>
      <c r="F44" s="301"/>
      <c r="G44" s="301"/>
      <c r="H44" s="301"/>
      <c r="I44" s="301"/>
      <c r="J44" s="301"/>
      <c r="K44" s="301"/>
      <c r="L44" s="301"/>
      <c r="M44" s="301"/>
    </row>
    <row r="45" spans="1:14" s="3" customFormat="1" x14ac:dyDescent="0.2">
      <c r="A45" s="140"/>
      <c r="B45" s="152" t="s">
        <v>492</v>
      </c>
      <c r="C45" s="152" t="s">
        <v>493</v>
      </c>
      <c r="D45" s="162" t="s">
        <v>3</v>
      </c>
      <c r="E45" s="162" t="s">
        <v>29</v>
      </c>
      <c r="F45" s="174"/>
      <c r="G45" s="174"/>
      <c r="H45" s="173"/>
      <c r="I45" s="173"/>
      <c r="J45" s="174"/>
      <c r="K45" s="174"/>
      <c r="L45" s="173"/>
      <c r="M45" s="173"/>
      <c r="N45" s="148"/>
    </row>
    <row r="46" spans="1:14" s="3" customFormat="1" x14ac:dyDescent="0.2">
      <c r="A46" s="947"/>
      <c r="B46" s="244"/>
      <c r="C46" s="244"/>
      <c r="D46" s="245" t="s">
        <v>4</v>
      </c>
      <c r="E46" s="156" t="s">
        <v>30</v>
      </c>
      <c r="F46" s="173"/>
      <c r="G46" s="173"/>
      <c r="H46" s="173"/>
      <c r="I46" s="173"/>
      <c r="J46" s="173"/>
      <c r="K46" s="173"/>
      <c r="L46" s="173"/>
      <c r="M46" s="173"/>
      <c r="N46" s="148"/>
    </row>
    <row r="47" spans="1:14" s="3" customFormat="1" ht="15.75" x14ac:dyDescent="0.2">
      <c r="A47" s="14" t="s">
        <v>23</v>
      </c>
      <c r="B47" s="309">
        <v>75514</v>
      </c>
      <c r="C47" s="310">
        <v>83630</v>
      </c>
      <c r="D47" s="372">
        <f t="shared" ref="D47:D57" si="0">IF(B47=0, "    ---- ", IF(ABS(ROUND(100/B47*C47-100,1))&lt;999,ROUND(100/B47*C47-100,1),IF(ROUND(100/B47*C47-100,1)&gt;999,999,-999)))</f>
        <v>10.7</v>
      </c>
      <c r="E47" s="11">
        <f>IFERROR(100/'Skjema total MA'!C47*C47,0)</f>
        <v>1.9322819896447865</v>
      </c>
      <c r="F47" s="145"/>
      <c r="G47" s="33"/>
      <c r="H47" s="159"/>
      <c r="I47" s="159"/>
      <c r="J47" s="37"/>
      <c r="K47" s="37"/>
      <c r="L47" s="159"/>
      <c r="M47" s="159"/>
      <c r="N47" s="148"/>
    </row>
    <row r="48" spans="1:14" s="3" customFormat="1" ht="15.75" x14ac:dyDescent="0.2">
      <c r="A48" s="38" t="s">
        <v>462</v>
      </c>
      <c r="B48" s="280">
        <v>75514</v>
      </c>
      <c r="C48" s="281">
        <v>83630</v>
      </c>
      <c r="D48" s="254">
        <f t="shared" si="0"/>
        <v>10.7</v>
      </c>
      <c r="E48" s="27">
        <f>IFERROR(100/'Skjema total MA'!C48*C48,0)</f>
        <v>3.4854046110017376</v>
      </c>
      <c r="F48" s="145"/>
      <c r="G48" s="33"/>
      <c r="H48" s="145"/>
      <c r="I48" s="145"/>
      <c r="J48" s="33"/>
      <c r="K48" s="33"/>
      <c r="L48" s="159"/>
      <c r="M48" s="159"/>
      <c r="N48" s="148"/>
    </row>
    <row r="49" spans="1:14" s="3" customFormat="1" ht="15.75" x14ac:dyDescent="0.2">
      <c r="A49" s="38" t="s">
        <v>463</v>
      </c>
      <c r="B49" s="44"/>
      <c r="C49" s="286"/>
      <c r="D49" s="254"/>
      <c r="E49" s="27"/>
      <c r="F49" s="145"/>
      <c r="G49" s="33"/>
      <c r="H49" s="145"/>
      <c r="I49" s="145"/>
      <c r="J49" s="37"/>
      <c r="K49" s="37"/>
      <c r="L49" s="159"/>
      <c r="M49" s="159"/>
      <c r="N49" s="148"/>
    </row>
    <row r="50" spans="1:14" s="3" customFormat="1" x14ac:dyDescent="0.2">
      <c r="A50" s="295" t="s">
        <v>6</v>
      </c>
      <c r="B50" s="289"/>
      <c r="C50" s="290"/>
      <c r="D50" s="254"/>
      <c r="E50" s="23"/>
      <c r="F50" s="145"/>
      <c r="G50" s="33"/>
      <c r="H50" s="145"/>
      <c r="I50" s="145"/>
      <c r="J50" s="33"/>
      <c r="K50" s="33"/>
      <c r="L50" s="159"/>
      <c r="M50" s="159"/>
      <c r="N50" s="148"/>
    </row>
    <row r="51" spans="1:14" s="3" customFormat="1" x14ac:dyDescent="0.2">
      <c r="A51" s="295" t="s">
        <v>7</v>
      </c>
      <c r="B51" s="289"/>
      <c r="C51" s="290"/>
      <c r="D51" s="254"/>
      <c r="E51" s="23"/>
      <c r="F51" s="145"/>
      <c r="G51" s="33"/>
      <c r="H51" s="145"/>
      <c r="I51" s="145"/>
      <c r="J51" s="33"/>
      <c r="K51" s="33"/>
      <c r="L51" s="159"/>
      <c r="M51" s="159"/>
      <c r="N51" s="148"/>
    </row>
    <row r="52" spans="1:14" s="3" customFormat="1" x14ac:dyDescent="0.2">
      <c r="A52" s="295" t="s">
        <v>8</v>
      </c>
      <c r="B52" s="289"/>
      <c r="C52" s="290"/>
      <c r="D52" s="254"/>
      <c r="E52" s="23"/>
      <c r="F52" s="145"/>
      <c r="G52" s="33"/>
      <c r="H52" s="145"/>
      <c r="I52" s="145"/>
      <c r="J52" s="33"/>
      <c r="K52" s="33"/>
      <c r="L52" s="159"/>
      <c r="M52" s="159"/>
      <c r="N52" s="148"/>
    </row>
    <row r="53" spans="1:14" s="3" customFormat="1" ht="15.75" x14ac:dyDescent="0.2">
      <c r="A53" s="39" t="s">
        <v>464</v>
      </c>
      <c r="B53" s="309">
        <v>2644</v>
      </c>
      <c r="C53" s="310">
        <v>2317</v>
      </c>
      <c r="D53" s="373">
        <f t="shared" si="0"/>
        <v>-12.4</v>
      </c>
      <c r="E53" s="11">
        <f>IFERROR(100/'Skjema total MA'!C53*C53,0)</f>
        <v>0.99297188471035003</v>
      </c>
      <c r="F53" s="145"/>
      <c r="G53" s="33"/>
      <c r="H53" s="145"/>
      <c r="I53" s="145"/>
      <c r="J53" s="33"/>
      <c r="K53" s="33"/>
      <c r="L53" s="159"/>
      <c r="M53" s="159"/>
      <c r="N53" s="148"/>
    </row>
    <row r="54" spans="1:14" s="3" customFormat="1" ht="15.75" x14ac:dyDescent="0.2">
      <c r="A54" s="38" t="s">
        <v>462</v>
      </c>
      <c r="B54" s="280">
        <v>2644</v>
      </c>
      <c r="C54" s="281">
        <v>2317</v>
      </c>
      <c r="D54" s="254">
        <f t="shared" si="0"/>
        <v>-12.4</v>
      </c>
      <c r="E54" s="27">
        <f>IFERROR(100/'Skjema total MA'!C54*C54,0)</f>
        <v>1.669555506894814</v>
      </c>
      <c r="F54" s="145"/>
      <c r="G54" s="33"/>
      <c r="H54" s="145"/>
      <c r="I54" s="145"/>
      <c r="J54" s="33"/>
      <c r="K54" s="33"/>
      <c r="L54" s="159"/>
      <c r="M54" s="159"/>
      <c r="N54" s="148"/>
    </row>
    <row r="55" spans="1:14" s="3" customFormat="1" ht="15.75" x14ac:dyDescent="0.2">
      <c r="A55" s="38" t="s">
        <v>463</v>
      </c>
      <c r="B55" s="280"/>
      <c r="C55" s="281"/>
      <c r="D55" s="254"/>
      <c r="E55" s="27"/>
      <c r="F55" s="145"/>
      <c r="G55" s="33"/>
      <c r="H55" s="145"/>
      <c r="I55" s="145"/>
      <c r="J55" s="33"/>
      <c r="K55" s="33"/>
      <c r="L55" s="159"/>
      <c r="M55" s="159"/>
      <c r="N55" s="148"/>
    </row>
    <row r="56" spans="1:14" s="3" customFormat="1" ht="15.75" x14ac:dyDescent="0.2">
      <c r="A56" s="39" t="s">
        <v>465</v>
      </c>
      <c r="B56" s="309">
        <v>536</v>
      </c>
      <c r="C56" s="310">
        <v>689</v>
      </c>
      <c r="D56" s="373">
        <f t="shared" si="0"/>
        <v>28.5</v>
      </c>
      <c r="E56" s="11">
        <f>IFERROR(100/'Skjema total MA'!C56*C56,0)</f>
        <v>0.37044418440588917</v>
      </c>
      <c r="F56" s="145"/>
      <c r="G56" s="33"/>
      <c r="H56" s="145"/>
      <c r="I56" s="145"/>
      <c r="J56" s="33"/>
      <c r="K56" s="33"/>
      <c r="L56" s="159"/>
      <c r="M56" s="159"/>
      <c r="N56" s="148"/>
    </row>
    <row r="57" spans="1:14" s="3" customFormat="1" ht="15.75" x14ac:dyDescent="0.2">
      <c r="A57" s="38" t="s">
        <v>462</v>
      </c>
      <c r="B57" s="280">
        <v>536</v>
      </c>
      <c r="C57" s="281">
        <v>689</v>
      </c>
      <c r="D57" s="254">
        <f t="shared" si="0"/>
        <v>28.5</v>
      </c>
      <c r="E57" s="27">
        <f>IFERROR(100/'Skjema total MA'!C57*C57,0)</f>
        <v>0.57710253152014257</v>
      </c>
      <c r="F57" s="145"/>
      <c r="G57" s="33"/>
      <c r="H57" s="145"/>
      <c r="I57" s="145"/>
      <c r="J57" s="33"/>
      <c r="K57" s="33"/>
      <c r="L57" s="159"/>
      <c r="M57" s="159"/>
      <c r="N57" s="148"/>
    </row>
    <row r="58" spans="1:14" s="3" customFormat="1" ht="15.75" x14ac:dyDescent="0.2">
      <c r="A58" s="46" t="s">
        <v>463</v>
      </c>
      <c r="B58" s="282"/>
      <c r="C58" s="283"/>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975"/>
      <c r="C62" s="975"/>
      <c r="D62" s="975"/>
      <c r="E62" s="298"/>
      <c r="F62" s="975"/>
      <c r="G62" s="975"/>
      <c r="H62" s="975"/>
      <c r="I62" s="298"/>
      <c r="J62" s="975"/>
      <c r="K62" s="975"/>
      <c r="L62" s="975"/>
      <c r="M62" s="298"/>
    </row>
    <row r="63" spans="1:14" x14ac:dyDescent="0.2">
      <c r="A63" s="144"/>
      <c r="B63" s="973" t="s">
        <v>0</v>
      </c>
      <c r="C63" s="974"/>
      <c r="D63" s="978"/>
      <c r="E63" s="299"/>
      <c r="F63" s="974" t="s">
        <v>1</v>
      </c>
      <c r="G63" s="974"/>
      <c r="H63" s="974"/>
      <c r="I63" s="303"/>
      <c r="J63" s="973" t="s">
        <v>2</v>
      </c>
      <c r="K63" s="974"/>
      <c r="L63" s="974"/>
      <c r="M63" s="303"/>
    </row>
    <row r="64" spans="1:14" x14ac:dyDescent="0.2">
      <c r="A64" s="140"/>
      <c r="B64" s="152" t="s">
        <v>492</v>
      </c>
      <c r="C64" s="152" t="s">
        <v>493</v>
      </c>
      <c r="D64" s="245" t="s">
        <v>3</v>
      </c>
      <c r="E64" s="304" t="s">
        <v>29</v>
      </c>
      <c r="F64" s="152" t="s">
        <v>492</v>
      </c>
      <c r="G64" s="152" t="s">
        <v>493</v>
      </c>
      <c r="H64" s="245" t="s">
        <v>3</v>
      </c>
      <c r="I64" s="304" t="s">
        <v>29</v>
      </c>
      <c r="J64" s="152" t="s">
        <v>492</v>
      </c>
      <c r="K64" s="152" t="s">
        <v>493</v>
      </c>
      <c r="L64" s="245" t="s">
        <v>3</v>
      </c>
      <c r="M64" s="162" t="s">
        <v>29</v>
      </c>
    </row>
    <row r="65" spans="1:14" x14ac:dyDescent="0.2">
      <c r="A65" s="947"/>
      <c r="B65" s="156"/>
      <c r="C65" s="156"/>
      <c r="D65" s="246" t="s">
        <v>4</v>
      </c>
      <c r="E65" s="156" t="s">
        <v>30</v>
      </c>
      <c r="F65" s="161"/>
      <c r="G65" s="161"/>
      <c r="H65" s="245" t="s">
        <v>4</v>
      </c>
      <c r="I65" s="156" t="s">
        <v>30</v>
      </c>
      <c r="J65" s="161"/>
      <c r="K65" s="206"/>
      <c r="L65" s="156" t="s">
        <v>4</v>
      </c>
      <c r="M65" s="156" t="s">
        <v>30</v>
      </c>
    </row>
    <row r="66" spans="1:14" ht="15.75" x14ac:dyDescent="0.2">
      <c r="A66" s="14" t="s">
        <v>23</v>
      </c>
      <c r="B66" s="352"/>
      <c r="C66" s="352"/>
      <c r="D66" s="349"/>
      <c r="E66" s="11"/>
      <c r="F66" s="351"/>
      <c r="G66" s="351"/>
      <c r="H66" s="349"/>
      <c r="I66" s="11"/>
      <c r="J66" s="308"/>
      <c r="K66" s="315"/>
      <c r="L66" s="373"/>
      <c r="M66" s="11"/>
    </row>
    <row r="67" spans="1:14" x14ac:dyDescent="0.2">
      <c r="A67" s="367" t="s">
        <v>9</v>
      </c>
      <c r="B67" s="44"/>
      <c r="C67" s="145"/>
      <c r="D67" s="166"/>
      <c r="E67" s="27"/>
      <c r="F67" s="234"/>
      <c r="G67" s="145"/>
      <c r="H67" s="166"/>
      <c r="I67" s="27"/>
      <c r="J67" s="286"/>
      <c r="K67" s="44"/>
      <c r="L67" s="254"/>
      <c r="M67" s="27"/>
    </row>
    <row r="68" spans="1:14" x14ac:dyDescent="0.2">
      <c r="A68" s="21" t="s">
        <v>10</v>
      </c>
      <c r="B68" s="291"/>
      <c r="C68" s="292"/>
      <c r="D68" s="166"/>
      <c r="E68" s="27"/>
      <c r="F68" s="291"/>
      <c r="G68" s="292"/>
      <c r="H68" s="166"/>
      <c r="I68" s="27"/>
      <c r="J68" s="286"/>
      <c r="K68" s="44"/>
      <c r="L68" s="254"/>
      <c r="M68" s="27"/>
    </row>
    <row r="69" spans="1:14" ht="15.75" x14ac:dyDescent="0.2">
      <c r="A69" s="295" t="s">
        <v>466</v>
      </c>
      <c r="B69" s="280"/>
      <c r="C69" s="280"/>
      <c r="D69" s="166"/>
      <c r="E69" s="365"/>
      <c r="F69" s="280"/>
      <c r="G69" s="280"/>
      <c r="H69" s="166"/>
      <c r="I69" s="365"/>
      <c r="J69" s="289"/>
      <c r="K69" s="289"/>
      <c r="L69" s="166"/>
      <c r="M69" s="23"/>
    </row>
    <row r="70" spans="1:14" x14ac:dyDescent="0.2">
      <c r="A70" s="295" t="s">
        <v>12</v>
      </c>
      <c r="B70" s="293"/>
      <c r="C70" s="294"/>
      <c r="D70" s="166"/>
      <c r="E70" s="365"/>
      <c r="F70" s="280"/>
      <c r="G70" s="280"/>
      <c r="H70" s="166"/>
      <c r="I70" s="365"/>
      <c r="J70" s="289"/>
      <c r="K70" s="289"/>
      <c r="L70" s="166"/>
      <c r="M70" s="23"/>
    </row>
    <row r="71" spans="1:14" x14ac:dyDescent="0.2">
      <c r="A71" s="295" t="s">
        <v>13</v>
      </c>
      <c r="B71" s="235"/>
      <c r="C71" s="288"/>
      <c r="D71" s="166"/>
      <c r="E71" s="365"/>
      <c r="F71" s="280"/>
      <c r="G71" s="280"/>
      <c r="H71" s="166"/>
      <c r="I71" s="365"/>
      <c r="J71" s="289"/>
      <c r="K71" s="289"/>
      <c r="L71" s="166"/>
      <c r="M71" s="23"/>
    </row>
    <row r="72" spans="1:14" ht="15.75" x14ac:dyDescent="0.2">
      <c r="A72" s="295" t="s">
        <v>467</v>
      </c>
      <c r="B72" s="280"/>
      <c r="C72" s="280"/>
      <c r="D72" s="166"/>
      <c r="E72" s="365"/>
      <c r="F72" s="280"/>
      <c r="G72" s="280"/>
      <c r="H72" s="166"/>
      <c r="I72" s="365"/>
      <c r="J72" s="289"/>
      <c r="K72" s="289"/>
      <c r="L72" s="166"/>
      <c r="M72" s="23"/>
    </row>
    <row r="73" spans="1:14" x14ac:dyDescent="0.2">
      <c r="A73" s="295" t="s">
        <v>12</v>
      </c>
      <c r="B73" s="235"/>
      <c r="C73" s="288"/>
      <c r="D73" s="166"/>
      <c r="E73" s="365"/>
      <c r="F73" s="280"/>
      <c r="G73" s="280"/>
      <c r="H73" s="166"/>
      <c r="I73" s="365"/>
      <c r="J73" s="289"/>
      <c r="K73" s="289"/>
      <c r="L73" s="166"/>
      <c r="M73" s="23"/>
    </row>
    <row r="74" spans="1:14" s="3" customFormat="1" x14ac:dyDescent="0.2">
      <c r="A74" s="295" t="s">
        <v>13</v>
      </c>
      <c r="B74" s="235"/>
      <c r="C74" s="288"/>
      <c r="D74" s="166"/>
      <c r="E74" s="365"/>
      <c r="F74" s="280"/>
      <c r="G74" s="280"/>
      <c r="H74" s="166"/>
      <c r="I74" s="365"/>
      <c r="J74" s="289"/>
      <c r="K74" s="289"/>
      <c r="L74" s="166"/>
      <c r="M74" s="23"/>
      <c r="N74" s="148"/>
    </row>
    <row r="75" spans="1:14" s="3" customFormat="1" x14ac:dyDescent="0.2">
      <c r="A75" s="21" t="s">
        <v>353</v>
      </c>
      <c r="B75" s="234"/>
      <c r="C75" s="145"/>
      <c r="D75" s="166"/>
      <c r="E75" s="27"/>
      <c r="F75" s="234"/>
      <c r="G75" s="145"/>
      <c r="H75" s="166"/>
      <c r="I75" s="27"/>
      <c r="J75" s="286"/>
      <c r="K75" s="44"/>
      <c r="L75" s="254"/>
      <c r="M75" s="27"/>
      <c r="N75" s="148"/>
    </row>
    <row r="76" spans="1:14" s="3" customFormat="1" x14ac:dyDescent="0.2">
      <c r="A76" s="21" t="s">
        <v>352</v>
      </c>
      <c r="B76" s="234"/>
      <c r="C76" s="145"/>
      <c r="D76" s="166"/>
      <c r="E76" s="27"/>
      <c r="F76" s="234"/>
      <c r="G76" s="145"/>
      <c r="H76" s="166"/>
      <c r="I76" s="27"/>
      <c r="J76" s="286"/>
      <c r="K76" s="44"/>
      <c r="L76" s="254"/>
      <c r="M76" s="27"/>
      <c r="N76" s="148"/>
    </row>
    <row r="77" spans="1:14" ht="15.75" x14ac:dyDescent="0.2">
      <c r="A77" s="21" t="s">
        <v>468</v>
      </c>
      <c r="B77" s="234"/>
      <c r="C77" s="234"/>
      <c r="D77" s="166"/>
      <c r="E77" s="27"/>
      <c r="F77" s="234"/>
      <c r="G77" s="145"/>
      <c r="H77" s="166"/>
      <c r="I77" s="27"/>
      <c r="J77" s="286"/>
      <c r="K77" s="44"/>
      <c r="L77" s="254"/>
      <c r="M77" s="27"/>
    </row>
    <row r="78" spans="1:14" x14ac:dyDescent="0.2">
      <c r="A78" s="21" t="s">
        <v>9</v>
      </c>
      <c r="B78" s="234"/>
      <c r="C78" s="145"/>
      <c r="D78" s="166"/>
      <c r="E78" s="27"/>
      <c r="F78" s="234"/>
      <c r="G78" s="145"/>
      <c r="H78" s="166"/>
      <c r="I78" s="27"/>
      <c r="J78" s="286"/>
      <c r="K78" s="44"/>
      <c r="L78" s="254"/>
      <c r="M78" s="27"/>
    </row>
    <row r="79" spans="1:14" x14ac:dyDescent="0.2">
      <c r="A79" s="21" t="s">
        <v>10</v>
      </c>
      <c r="B79" s="291"/>
      <c r="C79" s="292"/>
      <c r="D79" s="166"/>
      <c r="E79" s="27"/>
      <c r="F79" s="291"/>
      <c r="G79" s="292"/>
      <c r="H79" s="166"/>
      <c r="I79" s="27"/>
      <c r="J79" s="286"/>
      <c r="K79" s="44"/>
      <c r="L79" s="254"/>
      <c r="M79" s="27"/>
    </row>
    <row r="80" spans="1:14" ht="15.75" x14ac:dyDescent="0.2">
      <c r="A80" s="295" t="s">
        <v>466</v>
      </c>
      <c r="B80" s="280"/>
      <c r="C80" s="280"/>
      <c r="D80" s="166"/>
      <c r="E80" s="365"/>
      <c r="F80" s="280"/>
      <c r="G80" s="280"/>
      <c r="H80" s="166"/>
      <c r="I80" s="365"/>
      <c r="J80" s="289"/>
      <c r="K80" s="289"/>
      <c r="L80" s="166"/>
      <c r="M80" s="23"/>
    </row>
    <row r="81" spans="1:13" x14ac:dyDescent="0.2">
      <c r="A81" s="295" t="s">
        <v>12</v>
      </c>
      <c r="B81" s="235"/>
      <c r="C81" s="288"/>
      <c r="D81" s="166"/>
      <c r="E81" s="365"/>
      <c r="F81" s="280"/>
      <c r="G81" s="280"/>
      <c r="H81" s="166"/>
      <c r="I81" s="365"/>
      <c r="J81" s="289"/>
      <c r="K81" s="289"/>
      <c r="L81" s="166"/>
      <c r="M81" s="23"/>
    </row>
    <row r="82" spans="1:13" x14ac:dyDescent="0.2">
      <c r="A82" s="295" t="s">
        <v>13</v>
      </c>
      <c r="B82" s="235"/>
      <c r="C82" s="288"/>
      <c r="D82" s="166"/>
      <c r="E82" s="365"/>
      <c r="F82" s="280"/>
      <c r="G82" s="280"/>
      <c r="H82" s="166"/>
      <c r="I82" s="365"/>
      <c r="J82" s="289"/>
      <c r="K82" s="289"/>
      <c r="L82" s="166"/>
      <c r="M82" s="23"/>
    </row>
    <row r="83" spans="1:13" ht="15.75" x14ac:dyDescent="0.2">
      <c r="A83" s="295" t="s">
        <v>467</v>
      </c>
      <c r="B83" s="280"/>
      <c r="C83" s="280"/>
      <c r="D83" s="166"/>
      <c r="E83" s="365"/>
      <c r="F83" s="280"/>
      <c r="G83" s="280"/>
      <c r="H83" s="166"/>
      <c r="I83" s="365"/>
      <c r="J83" s="289"/>
      <c r="K83" s="289"/>
      <c r="L83" s="166"/>
      <c r="M83" s="23"/>
    </row>
    <row r="84" spans="1:13" x14ac:dyDescent="0.2">
      <c r="A84" s="295" t="s">
        <v>12</v>
      </c>
      <c r="B84" s="235"/>
      <c r="C84" s="288"/>
      <c r="D84" s="166"/>
      <c r="E84" s="365"/>
      <c r="F84" s="280"/>
      <c r="G84" s="280"/>
      <c r="H84" s="166"/>
      <c r="I84" s="365"/>
      <c r="J84" s="289"/>
      <c r="K84" s="289"/>
      <c r="L84" s="166"/>
      <c r="M84" s="23"/>
    </row>
    <row r="85" spans="1:13" x14ac:dyDescent="0.2">
      <c r="A85" s="295" t="s">
        <v>13</v>
      </c>
      <c r="B85" s="235"/>
      <c r="C85" s="288"/>
      <c r="D85" s="166"/>
      <c r="E85" s="365"/>
      <c r="F85" s="280"/>
      <c r="G85" s="280"/>
      <c r="H85" s="166"/>
      <c r="I85" s="365"/>
      <c r="J85" s="289"/>
      <c r="K85" s="289"/>
      <c r="L85" s="166"/>
      <c r="M85" s="23"/>
    </row>
    <row r="86" spans="1:13" ht="15.75" x14ac:dyDescent="0.2">
      <c r="A86" s="21" t="s">
        <v>469</v>
      </c>
      <c r="B86" s="234"/>
      <c r="C86" s="145"/>
      <c r="D86" s="166"/>
      <c r="E86" s="27"/>
      <c r="F86" s="234"/>
      <c r="G86" s="145"/>
      <c r="H86" s="166"/>
      <c r="I86" s="27"/>
      <c r="J86" s="286"/>
      <c r="K86" s="44"/>
      <c r="L86" s="254"/>
      <c r="M86" s="27"/>
    </row>
    <row r="87" spans="1:13" ht="15.75" x14ac:dyDescent="0.2">
      <c r="A87" s="13" t="s">
        <v>451</v>
      </c>
      <c r="B87" s="352"/>
      <c r="C87" s="352"/>
      <c r="D87" s="171"/>
      <c r="E87" s="11"/>
      <c r="F87" s="351"/>
      <c r="G87" s="351"/>
      <c r="H87" s="171"/>
      <c r="I87" s="11"/>
      <c r="J87" s="308"/>
      <c r="K87" s="236"/>
      <c r="L87" s="373"/>
      <c r="M87" s="11"/>
    </row>
    <row r="88" spans="1:13" x14ac:dyDescent="0.2">
      <c r="A88" s="21" t="s">
        <v>9</v>
      </c>
      <c r="B88" s="234"/>
      <c r="C88" s="145"/>
      <c r="D88" s="166"/>
      <c r="E88" s="27"/>
      <c r="F88" s="234"/>
      <c r="G88" s="145"/>
      <c r="H88" s="166"/>
      <c r="I88" s="27"/>
      <c r="J88" s="286"/>
      <c r="K88" s="44"/>
      <c r="L88" s="254"/>
      <c r="M88" s="27"/>
    </row>
    <row r="89" spans="1:13" x14ac:dyDescent="0.2">
      <c r="A89" s="21" t="s">
        <v>10</v>
      </c>
      <c r="B89" s="234"/>
      <c r="C89" s="145"/>
      <c r="D89" s="166"/>
      <c r="E89" s="27"/>
      <c r="F89" s="234"/>
      <c r="G89" s="145"/>
      <c r="H89" s="166"/>
      <c r="I89" s="27"/>
      <c r="J89" s="286"/>
      <c r="K89" s="44"/>
      <c r="L89" s="254"/>
      <c r="M89" s="27"/>
    </row>
    <row r="90" spans="1:13" ht="15.75" x14ac:dyDescent="0.2">
      <c r="A90" s="295" t="s">
        <v>466</v>
      </c>
      <c r="B90" s="280"/>
      <c r="C90" s="280"/>
      <c r="D90" s="166"/>
      <c r="E90" s="365"/>
      <c r="F90" s="280"/>
      <c r="G90" s="280"/>
      <c r="H90" s="166"/>
      <c r="I90" s="365"/>
      <c r="J90" s="289"/>
      <c r="K90" s="289"/>
      <c r="L90" s="166"/>
      <c r="M90" s="23"/>
    </row>
    <row r="91" spans="1:13" x14ac:dyDescent="0.2">
      <c r="A91" s="295" t="s">
        <v>12</v>
      </c>
      <c r="B91" s="235"/>
      <c r="C91" s="288"/>
      <c r="D91" s="166"/>
      <c r="E91" s="365"/>
      <c r="F91" s="280"/>
      <c r="G91" s="280"/>
      <c r="H91" s="166"/>
      <c r="I91" s="365"/>
      <c r="J91" s="289"/>
      <c r="K91" s="289"/>
      <c r="L91" s="166"/>
      <c r="M91" s="23"/>
    </row>
    <row r="92" spans="1:13" x14ac:dyDescent="0.2">
      <c r="A92" s="295" t="s">
        <v>13</v>
      </c>
      <c r="B92" s="235"/>
      <c r="C92" s="288"/>
      <c r="D92" s="166"/>
      <c r="E92" s="365"/>
      <c r="F92" s="280"/>
      <c r="G92" s="280"/>
      <c r="H92" s="166"/>
      <c r="I92" s="365"/>
      <c r="J92" s="289"/>
      <c r="K92" s="289"/>
      <c r="L92" s="166"/>
      <c r="M92" s="23"/>
    </row>
    <row r="93" spans="1:13" ht="15.75" x14ac:dyDescent="0.2">
      <c r="A93" s="295" t="s">
        <v>467</v>
      </c>
      <c r="B93" s="280"/>
      <c r="C93" s="280"/>
      <c r="D93" s="166"/>
      <c r="E93" s="365"/>
      <c r="F93" s="280"/>
      <c r="G93" s="280"/>
      <c r="H93" s="166"/>
      <c r="I93" s="365"/>
      <c r="J93" s="289"/>
      <c r="K93" s="289"/>
      <c r="L93" s="166"/>
      <c r="M93" s="23"/>
    </row>
    <row r="94" spans="1:13" x14ac:dyDescent="0.2">
      <c r="A94" s="295" t="s">
        <v>12</v>
      </c>
      <c r="B94" s="235"/>
      <c r="C94" s="288"/>
      <c r="D94" s="166"/>
      <c r="E94" s="365"/>
      <c r="F94" s="280"/>
      <c r="G94" s="280"/>
      <c r="H94" s="166"/>
      <c r="I94" s="365"/>
      <c r="J94" s="289"/>
      <c r="K94" s="289"/>
      <c r="L94" s="166"/>
      <c r="M94" s="23"/>
    </row>
    <row r="95" spans="1:13" x14ac:dyDescent="0.2">
      <c r="A95" s="295" t="s">
        <v>13</v>
      </c>
      <c r="B95" s="235"/>
      <c r="C95" s="288"/>
      <c r="D95" s="166"/>
      <c r="E95" s="365"/>
      <c r="F95" s="280"/>
      <c r="G95" s="280"/>
      <c r="H95" s="166"/>
      <c r="I95" s="365"/>
      <c r="J95" s="289"/>
      <c r="K95" s="289"/>
      <c r="L95" s="166"/>
      <c r="M95" s="23"/>
    </row>
    <row r="96" spans="1:13" x14ac:dyDescent="0.2">
      <c r="A96" s="21" t="s">
        <v>351</v>
      </c>
      <c r="B96" s="234"/>
      <c r="C96" s="145"/>
      <c r="D96" s="166"/>
      <c r="E96" s="27"/>
      <c r="F96" s="234"/>
      <c r="G96" s="145"/>
      <c r="H96" s="166"/>
      <c r="I96" s="27"/>
      <c r="J96" s="286"/>
      <c r="K96" s="44"/>
      <c r="L96" s="254"/>
      <c r="M96" s="27"/>
    </row>
    <row r="97" spans="1:13" x14ac:dyDescent="0.2">
      <c r="A97" s="21" t="s">
        <v>350</v>
      </c>
      <c r="B97" s="234"/>
      <c r="C97" s="145"/>
      <c r="D97" s="166"/>
      <c r="E97" s="27"/>
      <c r="F97" s="234"/>
      <c r="G97" s="145"/>
      <c r="H97" s="166"/>
      <c r="I97" s="27"/>
      <c r="J97" s="286"/>
      <c r="K97" s="44"/>
      <c r="L97" s="254"/>
      <c r="M97" s="27"/>
    </row>
    <row r="98" spans="1:13" ht="15.75" x14ac:dyDescent="0.2">
      <c r="A98" s="21" t="s">
        <v>468</v>
      </c>
      <c r="B98" s="234"/>
      <c r="C98" s="234"/>
      <c r="D98" s="166"/>
      <c r="E98" s="27"/>
      <c r="F98" s="291"/>
      <c r="G98" s="291"/>
      <c r="H98" s="166"/>
      <c r="I98" s="27"/>
      <c r="J98" s="286"/>
      <c r="K98" s="44"/>
      <c r="L98" s="254"/>
      <c r="M98" s="27"/>
    </row>
    <row r="99" spans="1:13" x14ac:dyDescent="0.2">
      <c r="A99" s="21" t="s">
        <v>9</v>
      </c>
      <c r="B99" s="291"/>
      <c r="C99" s="292"/>
      <c r="D99" s="166"/>
      <c r="E99" s="27"/>
      <c r="F99" s="234"/>
      <c r="G99" s="145"/>
      <c r="H99" s="166"/>
      <c r="I99" s="27"/>
      <c r="J99" s="286"/>
      <c r="K99" s="44"/>
      <c r="L99" s="254"/>
      <c r="M99" s="27"/>
    </row>
    <row r="100" spans="1:13" x14ac:dyDescent="0.2">
      <c r="A100" s="21" t="s">
        <v>10</v>
      </c>
      <c r="B100" s="291"/>
      <c r="C100" s="292"/>
      <c r="D100" s="166"/>
      <c r="E100" s="27"/>
      <c r="F100" s="234"/>
      <c r="G100" s="234"/>
      <c r="H100" s="166"/>
      <c r="I100" s="27"/>
      <c r="J100" s="286"/>
      <c r="K100" s="44"/>
      <c r="L100" s="254"/>
      <c r="M100" s="27"/>
    </row>
    <row r="101" spans="1:13" ht="15.75" x14ac:dyDescent="0.2">
      <c r="A101" s="295" t="s">
        <v>466</v>
      </c>
      <c r="B101" s="280"/>
      <c r="C101" s="280"/>
      <c r="D101" s="166"/>
      <c r="E101" s="365"/>
      <c r="F101" s="280"/>
      <c r="G101" s="280"/>
      <c r="H101" s="166"/>
      <c r="I101" s="365"/>
      <c r="J101" s="289"/>
      <c r="K101" s="289"/>
      <c r="L101" s="166"/>
      <c r="M101" s="23"/>
    </row>
    <row r="102" spans="1:13" x14ac:dyDescent="0.2">
      <c r="A102" s="295" t="s">
        <v>12</v>
      </c>
      <c r="B102" s="235"/>
      <c r="C102" s="288"/>
      <c r="D102" s="166"/>
      <c r="E102" s="365"/>
      <c r="F102" s="280"/>
      <c r="G102" s="280"/>
      <c r="H102" s="166"/>
      <c r="I102" s="365"/>
      <c r="J102" s="289"/>
      <c r="K102" s="289"/>
      <c r="L102" s="166"/>
      <c r="M102" s="23"/>
    </row>
    <row r="103" spans="1:13" x14ac:dyDescent="0.2">
      <c r="A103" s="295" t="s">
        <v>13</v>
      </c>
      <c r="B103" s="235"/>
      <c r="C103" s="288"/>
      <c r="D103" s="166"/>
      <c r="E103" s="365"/>
      <c r="F103" s="280"/>
      <c r="G103" s="280"/>
      <c r="H103" s="166"/>
      <c r="I103" s="365"/>
      <c r="J103" s="289"/>
      <c r="K103" s="289"/>
      <c r="L103" s="166"/>
      <c r="M103" s="23"/>
    </row>
    <row r="104" spans="1:13" ht="15.75" x14ac:dyDescent="0.2">
      <c r="A104" s="295" t="s">
        <v>467</v>
      </c>
      <c r="B104" s="280"/>
      <c r="C104" s="280"/>
      <c r="D104" s="166"/>
      <c r="E104" s="365"/>
      <c r="F104" s="280"/>
      <c r="G104" s="280"/>
      <c r="H104" s="166"/>
      <c r="I104" s="365"/>
      <c r="J104" s="289"/>
      <c r="K104" s="289"/>
      <c r="L104" s="166"/>
      <c r="M104" s="23"/>
    </row>
    <row r="105" spans="1:13" x14ac:dyDescent="0.2">
      <c r="A105" s="295" t="s">
        <v>12</v>
      </c>
      <c r="B105" s="235"/>
      <c r="C105" s="288"/>
      <c r="D105" s="166"/>
      <c r="E105" s="365"/>
      <c r="F105" s="280"/>
      <c r="G105" s="280"/>
      <c r="H105" s="166"/>
      <c r="I105" s="365"/>
      <c r="J105" s="289"/>
      <c r="K105" s="289"/>
      <c r="L105" s="166"/>
      <c r="M105" s="23"/>
    </row>
    <row r="106" spans="1:13" x14ac:dyDescent="0.2">
      <c r="A106" s="295" t="s">
        <v>13</v>
      </c>
      <c r="B106" s="235"/>
      <c r="C106" s="288"/>
      <c r="D106" s="166"/>
      <c r="E106" s="365"/>
      <c r="F106" s="280"/>
      <c r="G106" s="280"/>
      <c r="H106" s="166"/>
      <c r="I106" s="365"/>
      <c r="J106" s="289"/>
      <c r="K106" s="289"/>
      <c r="L106" s="166"/>
      <c r="M106" s="23"/>
    </row>
    <row r="107" spans="1:13" ht="15.75" x14ac:dyDescent="0.2">
      <c r="A107" s="21" t="s">
        <v>469</v>
      </c>
      <c r="B107" s="234"/>
      <c r="C107" s="145"/>
      <c r="D107" s="166"/>
      <c r="E107" s="27"/>
      <c r="F107" s="234"/>
      <c r="G107" s="145"/>
      <c r="H107" s="166"/>
      <c r="I107" s="27"/>
      <c r="J107" s="286"/>
      <c r="K107" s="44"/>
      <c r="L107" s="254"/>
      <c r="M107" s="27"/>
    </row>
    <row r="108" spans="1:13" ht="15.75" x14ac:dyDescent="0.2">
      <c r="A108" s="21" t="s">
        <v>470</v>
      </c>
      <c r="B108" s="234"/>
      <c r="C108" s="234"/>
      <c r="D108" s="166"/>
      <c r="E108" s="27"/>
      <c r="F108" s="234"/>
      <c r="G108" s="234"/>
      <c r="H108" s="166"/>
      <c r="I108" s="27"/>
      <c r="J108" s="286"/>
      <c r="K108" s="44"/>
      <c r="L108" s="254"/>
      <c r="M108" s="27"/>
    </row>
    <row r="109" spans="1:13" ht="15.75" x14ac:dyDescent="0.2">
      <c r="A109" s="21" t="s">
        <v>471</v>
      </c>
      <c r="B109" s="234"/>
      <c r="C109" s="234"/>
      <c r="D109" s="166"/>
      <c r="E109" s="27"/>
      <c r="F109" s="234"/>
      <c r="G109" s="234"/>
      <c r="H109" s="166"/>
      <c r="I109" s="27"/>
      <c r="J109" s="286"/>
      <c r="K109" s="44"/>
      <c r="L109" s="254"/>
      <c r="M109" s="27"/>
    </row>
    <row r="110" spans="1:13" ht="15.75" x14ac:dyDescent="0.2">
      <c r="A110" s="21" t="s">
        <v>472</v>
      </c>
      <c r="B110" s="234"/>
      <c r="C110" s="234"/>
      <c r="D110" s="166"/>
      <c r="E110" s="27"/>
      <c r="F110" s="234"/>
      <c r="G110" s="234"/>
      <c r="H110" s="166"/>
      <c r="I110" s="27"/>
      <c r="J110" s="286"/>
      <c r="K110" s="44"/>
      <c r="L110" s="254"/>
      <c r="M110" s="27"/>
    </row>
    <row r="111" spans="1:13" ht="15.75" x14ac:dyDescent="0.2">
      <c r="A111" s="13" t="s">
        <v>452</v>
      </c>
      <c r="B111" s="307"/>
      <c r="C111" s="159"/>
      <c r="D111" s="171"/>
      <c r="E111" s="11"/>
      <c r="F111" s="307"/>
      <c r="G111" s="159"/>
      <c r="H111" s="171"/>
      <c r="I111" s="11"/>
      <c r="J111" s="308"/>
      <c r="K111" s="236"/>
      <c r="L111" s="373"/>
      <c r="M111" s="11"/>
    </row>
    <row r="112" spans="1:13" x14ac:dyDescent="0.2">
      <c r="A112" s="21" t="s">
        <v>9</v>
      </c>
      <c r="B112" s="234"/>
      <c r="C112" s="145"/>
      <c r="D112" s="166"/>
      <c r="E112" s="27"/>
      <c r="F112" s="234"/>
      <c r="G112" s="145"/>
      <c r="H112" s="166"/>
      <c r="I112" s="27"/>
      <c r="J112" s="286"/>
      <c r="K112" s="44"/>
      <c r="L112" s="254"/>
      <c r="M112" s="27"/>
    </row>
    <row r="113" spans="1:14" x14ac:dyDescent="0.2">
      <c r="A113" s="21" t="s">
        <v>10</v>
      </c>
      <c r="B113" s="234"/>
      <c r="C113" s="145"/>
      <c r="D113" s="166"/>
      <c r="E113" s="27"/>
      <c r="F113" s="234"/>
      <c r="G113" s="145"/>
      <c r="H113" s="166"/>
      <c r="I113" s="27"/>
      <c r="J113" s="286"/>
      <c r="K113" s="44"/>
      <c r="L113" s="254"/>
      <c r="M113" s="27"/>
    </row>
    <row r="114" spans="1:14" x14ac:dyDescent="0.2">
      <c r="A114" s="21" t="s">
        <v>26</v>
      </c>
      <c r="B114" s="234"/>
      <c r="C114" s="145"/>
      <c r="D114" s="166"/>
      <c r="E114" s="27"/>
      <c r="F114" s="234"/>
      <c r="G114" s="145"/>
      <c r="H114" s="166"/>
      <c r="I114" s="27"/>
      <c r="J114" s="286"/>
      <c r="K114" s="44"/>
      <c r="L114" s="254"/>
      <c r="M114" s="27"/>
    </row>
    <row r="115" spans="1:14" x14ac:dyDescent="0.2">
      <c r="A115" s="295" t="s">
        <v>15</v>
      </c>
      <c r="B115" s="280"/>
      <c r="C115" s="280"/>
      <c r="D115" s="166"/>
      <c r="E115" s="365"/>
      <c r="F115" s="280"/>
      <c r="G115" s="280"/>
      <c r="H115" s="166"/>
      <c r="I115" s="365"/>
      <c r="J115" s="289"/>
      <c r="K115" s="289"/>
      <c r="L115" s="166"/>
      <c r="M115" s="23"/>
    </row>
    <row r="116" spans="1:14" ht="15.75" x14ac:dyDescent="0.2">
      <c r="A116" s="21" t="s">
        <v>473</v>
      </c>
      <c r="B116" s="234"/>
      <c r="C116" s="234"/>
      <c r="D116" s="166"/>
      <c r="E116" s="27"/>
      <c r="F116" s="234"/>
      <c r="G116" s="234"/>
      <c r="H116" s="166"/>
      <c r="I116" s="27"/>
      <c r="J116" s="286"/>
      <c r="K116" s="44"/>
      <c r="L116" s="254"/>
      <c r="M116" s="27"/>
    </row>
    <row r="117" spans="1:14" ht="15.75" x14ac:dyDescent="0.2">
      <c r="A117" s="21" t="s">
        <v>474</v>
      </c>
      <c r="B117" s="234"/>
      <c r="C117" s="234"/>
      <c r="D117" s="166"/>
      <c r="E117" s="27"/>
      <c r="F117" s="234"/>
      <c r="G117" s="234"/>
      <c r="H117" s="166"/>
      <c r="I117" s="27"/>
      <c r="J117" s="286"/>
      <c r="K117" s="44"/>
      <c r="L117" s="254"/>
      <c r="M117" s="27"/>
    </row>
    <row r="118" spans="1:14" ht="15.75" x14ac:dyDescent="0.2">
      <c r="A118" s="21" t="s">
        <v>472</v>
      </c>
      <c r="B118" s="234"/>
      <c r="C118" s="234"/>
      <c r="D118" s="166"/>
      <c r="E118" s="27"/>
      <c r="F118" s="234"/>
      <c r="G118" s="234"/>
      <c r="H118" s="166"/>
      <c r="I118" s="27"/>
      <c r="J118" s="286"/>
      <c r="K118" s="44"/>
      <c r="L118" s="254"/>
      <c r="M118" s="27"/>
    </row>
    <row r="119" spans="1:14" ht="15.75" x14ac:dyDescent="0.2">
      <c r="A119" s="13" t="s">
        <v>453</v>
      </c>
      <c r="B119" s="307"/>
      <c r="C119" s="159"/>
      <c r="D119" s="171"/>
      <c r="E119" s="11"/>
      <c r="F119" s="307"/>
      <c r="G119" s="159"/>
      <c r="H119" s="171"/>
      <c r="I119" s="11"/>
      <c r="J119" s="308"/>
      <c r="K119" s="236"/>
      <c r="L119" s="373"/>
      <c r="M119" s="11"/>
    </row>
    <row r="120" spans="1:14" x14ac:dyDescent="0.2">
      <c r="A120" s="21" t="s">
        <v>9</v>
      </c>
      <c r="B120" s="234"/>
      <c r="C120" s="145"/>
      <c r="D120" s="166"/>
      <c r="E120" s="27"/>
      <c r="F120" s="234"/>
      <c r="G120" s="145"/>
      <c r="H120" s="166"/>
      <c r="I120" s="27"/>
      <c r="J120" s="286"/>
      <c r="K120" s="44"/>
      <c r="L120" s="254"/>
      <c r="M120" s="27"/>
    </row>
    <row r="121" spans="1:14" x14ac:dyDescent="0.2">
      <c r="A121" s="21" t="s">
        <v>10</v>
      </c>
      <c r="B121" s="234"/>
      <c r="C121" s="145"/>
      <c r="D121" s="166"/>
      <c r="E121" s="27"/>
      <c r="F121" s="234"/>
      <c r="G121" s="145"/>
      <c r="H121" s="166"/>
      <c r="I121" s="27"/>
      <c r="J121" s="286"/>
      <c r="K121" s="44"/>
      <c r="L121" s="254"/>
      <c r="M121" s="27"/>
    </row>
    <row r="122" spans="1:14" x14ac:dyDescent="0.2">
      <c r="A122" s="21" t="s">
        <v>26</v>
      </c>
      <c r="B122" s="234"/>
      <c r="C122" s="145"/>
      <c r="D122" s="166"/>
      <c r="E122" s="27"/>
      <c r="F122" s="234"/>
      <c r="G122" s="145"/>
      <c r="H122" s="166"/>
      <c r="I122" s="27"/>
      <c r="J122" s="286"/>
      <c r="K122" s="44"/>
      <c r="L122" s="254"/>
      <c r="M122" s="27"/>
    </row>
    <row r="123" spans="1:14" x14ac:dyDescent="0.2">
      <c r="A123" s="295" t="s">
        <v>14</v>
      </c>
      <c r="B123" s="280"/>
      <c r="C123" s="280"/>
      <c r="D123" s="166"/>
      <c r="E123" s="365"/>
      <c r="F123" s="280"/>
      <c r="G123" s="280"/>
      <c r="H123" s="166"/>
      <c r="I123" s="365"/>
      <c r="J123" s="289"/>
      <c r="K123" s="289"/>
      <c r="L123" s="166"/>
      <c r="M123" s="23"/>
    </row>
    <row r="124" spans="1:14" ht="15.75" x14ac:dyDescent="0.2">
      <c r="A124" s="21" t="s">
        <v>479</v>
      </c>
      <c r="B124" s="234"/>
      <c r="C124" s="234"/>
      <c r="D124" s="166"/>
      <c r="E124" s="27"/>
      <c r="F124" s="234"/>
      <c r="G124" s="234"/>
      <c r="H124" s="166"/>
      <c r="I124" s="27"/>
      <c r="J124" s="286"/>
      <c r="K124" s="44"/>
      <c r="L124" s="254"/>
      <c r="M124" s="27"/>
    </row>
    <row r="125" spans="1:14" ht="15.75" x14ac:dyDescent="0.2">
      <c r="A125" s="21" t="s">
        <v>471</v>
      </c>
      <c r="B125" s="234"/>
      <c r="C125" s="234"/>
      <c r="D125" s="166"/>
      <c r="E125" s="27"/>
      <c r="F125" s="234"/>
      <c r="G125" s="234"/>
      <c r="H125" s="166"/>
      <c r="I125" s="27"/>
      <c r="J125" s="286"/>
      <c r="K125" s="44"/>
      <c r="L125" s="254"/>
      <c r="M125" s="27"/>
    </row>
    <row r="126" spans="1:14" ht="15.75" x14ac:dyDescent="0.2">
      <c r="A126" s="10" t="s">
        <v>472</v>
      </c>
      <c r="B126" s="45"/>
      <c r="C126" s="45"/>
      <c r="D126" s="167"/>
      <c r="E126" s="366"/>
      <c r="F126" s="45"/>
      <c r="G126" s="45"/>
      <c r="H126" s="167"/>
      <c r="I126" s="22"/>
      <c r="J126" s="287"/>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975"/>
      <c r="C130" s="975"/>
      <c r="D130" s="975"/>
      <c r="E130" s="298"/>
      <c r="F130" s="975"/>
      <c r="G130" s="975"/>
      <c r="H130" s="975"/>
      <c r="I130" s="298"/>
      <c r="J130" s="975"/>
      <c r="K130" s="975"/>
      <c r="L130" s="975"/>
      <c r="M130" s="298"/>
    </row>
    <row r="131" spans="1:14" s="3" customFormat="1" x14ac:dyDescent="0.2">
      <c r="A131" s="144"/>
      <c r="B131" s="973" t="s">
        <v>0</v>
      </c>
      <c r="C131" s="974"/>
      <c r="D131" s="974"/>
      <c r="E131" s="300"/>
      <c r="F131" s="973" t="s">
        <v>1</v>
      </c>
      <c r="G131" s="974"/>
      <c r="H131" s="974"/>
      <c r="I131" s="303"/>
      <c r="J131" s="973" t="s">
        <v>2</v>
      </c>
      <c r="K131" s="974"/>
      <c r="L131" s="974"/>
      <c r="M131" s="303"/>
      <c r="N131" s="148"/>
    </row>
    <row r="132" spans="1:14" s="3" customFormat="1" x14ac:dyDescent="0.2">
      <c r="A132" s="140"/>
      <c r="B132" s="152" t="s">
        <v>492</v>
      </c>
      <c r="C132" s="152" t="s">
        <v>493</v>
      </c>
      <c r="D132" s="245" t="s">
        <v>3</v>
      </c>
      <c r="E132" s="304" t="s">
        <v>29</v>
      </c>
      <c r="F132" s="152" t="s">
        <v>492</v>
      </c>
      <c r="G132" s="152" t="s">
        <v>493</v>
      </c>
      <c r="H132" s="206" t="s">
        <v>3</v>
      </c>
      <c r="I132" s="162" t="s">
        <v>29</v>
      </c>
      <c r="J132" s="152" t="s">
        <v>492</v>
      </c>
      <c r="K132" s="152" t="s">
        <v>493</v>
      </c>
      <c r="L132" s="246" t="s">
        <v>3</v>
      </c>
      <c r="M132" s="162" t="s">
        <v>29</v>
      </c>
      <c r="N132" s="148"/>
    </row>
    <row r="133" spans="1:14" s="3" customFormat="1" x14ac:dyDescent="0.2">
      <c r="A133" s="947"/>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475</v>
      </c>
      <c r="B134" s="236"/>
      <c r="C134" s="308"/>
      <c r="D134" s="349"/>
      <c r="E134" s="11"/>
      <c r="F134" s="315"/>
      <c r="G134" s="316"/>
      <c r="H134" s="376"/>
      <c r="I134" s="24"/>
      <c r="J134" s="317"/>
      <c r="K134" s="317"/>
      <c r="L134" s="372"/>
      <c r="M134" s="11"/>
      <c r="N134" s="148"/>
    </row>
    <row r="135" spans="1:14" s="3" customFormat="1" ht="15.75" x14ac:dyDescent="0.2">
      <c r="A135" s="13" t="s">
        <v>480</v>
      </c>
      <c r="B135" s="236"/>
      <c r="C135" s="308"/>
      <c r="D135" s="171"/>
      <c r="E135" s="11"/>
      <c r="F135" s="236"/>
      <c r="G135" s="308"/>
      <c r="H135" s="377"/>
      <c r="I135" s="24"/>
      <c r="J135" s="307"/>
      <c r="K135" s="307"/>
      <c r="L135" s="373"/>
      <c r="M135" s="11"/>
      <c r="N135" s="148"/>
    </row>
    <row r="136" spans="1:14" s="3" customFormat="1" ht="15.75" x14ac:dyDescent="0.2">
      <c r="A136" s="13" t="s">
        <v>477</v>
      </c>
      <c r="B136" s="236"/>
      <c r="C136" s="308"/>
      <c r="D136" s="171"/>
      <c r="E136" s="11"/>
      <c r="F136" s="236"/>
      <c r="G136" s="308"/>
      <c r="H136" s="377"/>
      <c r="I136" s="24"/>
      <c r="J136" s="307"/>
      <c r="K136" s="307"/>
      <c r="L136" s="373"/>
      <c r="M136" s="11"/>
      <c r="N136" s="148"/>
    </row>
    <row r="137" spans="1:14" s="3" customFormat="1" ht="15.75" x14ac:dyDescent="0.2">
      <c r="A137" s="41" t="s">
        <v>478</v>
      </c>
      <c r="B137" s="275"/>
      <c r="C137" s="314"/>
      <c r="D137" s="169"/>
      <c r="E137" s="9"/>
      <c r="F137" s="275"/>
      <c r="G137" s="314"/>
      <c r="H137" s="378"/>
      <c r="I137" s="36"/>
      <c r="J137" s="313"/>
      <c r="K137" s="313"/>
      <c r="L137" s="374"/>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685" priority="132">
      <formula>kvartal &lt; 4</formula>
    </cfRule>
  </conditionalFormatting>
  <conditionalFormatting sqref="B69">
    <cfRule type="expression" dxfId="684" priority="100">
      <formula>kvartal &lt; 4</formula>
    </cfRule>
  </conditionalFormatting>
  <conditionalFormatting sqref="C69">
    <cfRule type="expression" dxfId="683" priority="99">
      <formula>kvartal &lt; 4</formula>
    </cfRule>
  </conditionalFormatting>
  <conditionalFormatting sqref="B72">
    <cfRule type="expression" dxfId="682" priority="98">
      <formula>kvartal &lt; 4</formula>
    </cfRule>
  </conditionalFormatting>
  <conditionalFormatting sqref="C72">
    <cfRule type="expression" dxfId="681" priority="97">
      <formula>kvartal &lt; 4</formula>
    </cfRule>
  </conditionalFormatting>
  <conditionalFormatting sqref="B80">
    <cfRule type="expression" dxfId="680" priority="96">
      <formula>kvartal &lt; 4</formula>
    </cfRule>
  </conditionalFormatting>
  <conditionalFormatting sqref="C80">
    <cfRule type="expression" dxfId="679" priority="95">
      <formula>kvartal &lt; 4</formula>
    </cfRule>
  </conditionalFormatting>
  <conditionalFormatting sqref="B83">
    <cfRule type="expression" dxfId="678" priority="94">
      <formula>kvartal &lt; 4</formula>
    </cfRule>
  </conditionalFormatting>
  <conditionalFormatting sqref="C83">
    <cfRule type="expression" dxfId="677" priority="93">
      <formula>kvartal &lt; 4</formula>
    </cfRule>
  </conditionalFormatting>
  <conditionalFormatting sqref="B90">
    <cfRule type="expression" dxfId="676" priority="84">
      <formula>kvartal &lt; 4</formula>
    </cfRule>
  </conditionalFormatting>
  <conditionalFormatting sqref="C90">
    <cfRule type="expression" dxfId="675" priority="83">
      <formula>kvartal &lt; 4</formula>
    </cfRule>
  </conditionalFormatting>
  <conditionalFormatting sqref="B93">
    <cfRule type="expression" dxfId="674" priority="82">
      <formula>kvartal &lt; 4</formula>
    </cfRule>
  </conditionalFormatting>
  <conditionalFormatting sqref="C93">
    <cfRule type="expression" dxfId="673" priority="81">
      <formula>kvartal &lt; 4</formula>
    </cfRule>
  </conditionalFormatting>
  <conditionalFormatting sqref="B101">
    <cfRule type="expression" dxfId="672" priority="80">
      <formula>kvartal &lt; 4</formula>
    </cfRule>
  </conditionalFormatting>
  <conditionalFormatting sqref="C101">
    <cfRule type="expression" dxfId="671" priority="79">
      <formula>kvartal &lt; 4</formula>
    </cfRule>
  </conditionalFormatting>
  <conditionalFormatting sqref="B104">
    <cfRule type="expression" dxfId="670" priority="78">
      <formula>kvartal &lt; 4</formula>
    </cfRule>
  </conditionalFormatting>
  <conditionalFormatting sqref="C104">
    <cfRule type="expression" dxfId="669" priority="77">
      <formula>kvartal &lt; 4</formula>
    </cfRule>
  </conditionalFormatting>
  <conditionalFormatting sqref="B115">
    <cfRule type="expression" dxfId="668" priority="76">
      <formula>kvartal &lt; 4</formula>
    </cfRule>
  </conditionalFormatting>
  <conditionalFormatting sqref="C115">
    <cfRule type="expression" dxfId="667" priority="75">
      <formula>kvartal &lt; 4</formula>
    </cfRule>
  </conditionalFormatting>
  <conditionalFormatting sqref="B123">
    <cfRule type="expression" dxfId="666" priority="74">
      <formula>kvartal &lt; 4</formula>
    </cfRule>
  </conditionalFormatting>
  <conditionalFormatting sqref="C123">
    <cfRule type="expression" dxfId="665" priority="73">
      <formula>kvartal &lt; 4</formula>
    </cfRule>
  </conditionalFormatting>
  <conditionalFormatting sqref="F70">
    <cfRule type="expression" dxfId="664" priority="72">
      <formula>kvartal &lt; 4</formula>
    </cfRule>
  </conditionalFormatting>
  <conditionalFormatting sqref="G70">
    <cfRule type="expression" dxfId="663" priority="71">
      <formula>kvartal &lt; 4</formula>
    </cfRule>
  </conditionalFormatting>
  <conditionalFormatting sqref="F71:G71">
    <cfRule type="expression" dxfId="662" priority="70">
      <formula>kvartal &lt; 4</formula>
    </cfRule>
  </conditionalFormatting>
  <conditionalFormatting sqref="F73:G74">
    <cfRule type="expression" dxfId="661" priority="69">
      <formula>kvartal &lt; 4</formula>
    </cfRule>
  </conditionalFormatting>
  <conditionalFormatting sqref="F81:G82">
    <cfRule type="expression" dxfId="660" priority="68">
      <formula>kvartal &lt; 4</formula>
    </cfRule>
  </conditionalFormatting>
  <conditionalFormatting sqref="F84:G85">
    <cfRule type="expression" dxfId="659" priority="67">
      <formula>kvartal &lt; 4</formula>
    </cfRule>
  </conditionalFormatting>
  <conditionalFormatting sqref="F91:G92">
    <cfRule type="expression" dxfId="658" priority="62">
      <formula>kvartal &lt; 4</formula>
    </cfRule>
  </conditionalFormatting>
  <conditionalFormatting sqref="F94:G95">
    <cfRule type="expression" dxfId="657" priority="61">
      <formula>kvartal &lt; 4</formula>
    </cfRule>
  </conditionalFormatting>
  <conditionalFormatting sqref="F102:G103">
    <cfRule type="expression" dxfId="656" priority="60">
      <formula>kvartal &lt; 4</formula>
    </cfRule>
  </conditionalFormatting>
  <conditionalFormatting sqref="F105:G106">
    <cfRule type="expression" dxfId="655" priority="59">
      <formula>kvartal &lt; 4</formula>
    </cfRule>
  </conditionalFormatting>
  <conditionalFormatting sqref="F115">
    <cfRule type="expression" dxfId="654" priority="58">
      <formula>kvartal &lt; 4</formula>
    </cfRule>
  </conditionalFormatting>
  <conditionalFormatting sqref="G115">
    <cfRule type="expression" dxfId="653" priority="57">
      <formula>kvartal &lt; 4</formula>
    </cfRule>
  </conditionalFormatting>
  <conditionalFormatting sqref="F123:G123">
    <cfRule type="expression" dxfId="652" priority="56">
      <formula>kvartal &lt; 4</formula>
    </cfRule>
  </conditionalFormatting>
  <conditionalFormatting sqref="F69:G69">
    <cfRule type="expression" dxfId="651" priority="55">
      <formula>kvartal &lt; 4</formula>
    </cfRule>
  </conditionalFormatting>
  <conditionalFormatting sqref="F72:G72">
    <cfRule type="expression" dxfId="650" priority="54">
      <formula>kvartal &lt; 4</formula>
    </cfRule>
  </conditionalFormatting>
  <conditionalFormatting sqref="F80:G80">
    <cfRule type="expression" dxfId="649" priority="53">
      <formula>kvartal &lt; 4</formula>
    </cfRule>
  </conditionalFormatting>
  <conditionalFormatting sqref="F83:G83">
    <cfRule type="expression" dxfId="648" priority="52">
      <formula>kvartal &lt; 4</formula>
    </cfRule>
  </conditionalFormatting>
  <conditionalFormatting sqref="F90:G90">
    <cfRule type="expression" dxfId="647" priority="46">
      <formula>kvartal &lt; 4</formula>
    </cfRule>
  </conditionalFormatting>
  <conditionalFormatting sqref="F93">
    <cfRule type="expression" dxfId="646" priority="45">
      <formula>kvartal &lt; 4</formula>
    </cfRule>
  </conditionalFormatting>
  <conditionalFormatting sqref="G93">
    <cfRule type="expression" dxfId="645" priority="44">
      <formula>kvartal &lt; 4</formula>
    </cfRule>
  </conditionalFormatting>
  <conditionalFormatting sqref="F101">
    <cfRule type="expression" dxfId="644" priority="43">
      <formula>kvartal &lt; 4</formula>
    </cfRule>
  </conditionalFormatting>
  <conditionalFormatting sqref="G101">
    <cfRule type="expression" dxfId="643" priority="42">
      <formula>kvartal &lt; 4</formula>
    </cfRule>
  </conditionalFormatting>
  <conditionalFormatting sqref="G104">
    <cfRule type="expression" dxfId="642" priority="41">
      <formula>kvartal &lt; 4</formula>
    </cfRule>
  </conditionalFormatting>
  <conditionalFormatting sqref="F104">
    <cfRule type="expression" dxfId="641" priority="40">
      <formula>kvartal &lt; 4</formula>
    </cfRule>
  </conditionalFormatting>
  <conditionalFormatting sqref="J69:K73">
    <cfRule type="expression" dxfId="640" priority="39">
      <formula>kvartal &lt; 4</formula>
    </cfRule>
  </conditionalFormatting>
  <conditionalFormatting sqref="J74:K74">
    <cfRule type="expression" dxfId="639" priority="38">
      <formula>kvartal &lt; 4</formula>
    </cfRule>
  </conditionalFormatting>
  <conditionalFormatting sqref="J80:K85">
    <cfRule type="expression" dxfId="638" priority="37">
      <formula>kvartal &lt; 4</formula>
    </cfRule>
  </conditionalFormatting>
  <conditionalFormatting sqref="J90:K95">
    <cfRule type="expression" dxfId="637" priority="34">
      <formula>kvartal &lt; 4</formula>
    </cfRule>
  </conditionalFormatting>
  <conditionalFormatting sqref="J101:K106">
    <cfRule type="expression" dxfId="636" priority="33">
      <formula>kvartal &lt; 4</formula>
    </cfRule>
  </conditionalFormatting>
  <conditionalFormatting sqref="J115:K115">
    <cfRule type="expression" dxfId="635" priority="32">
      <formula>kvartal &lt; 4</formula>
    </cfRule>
  </conditionalFormatting>
  <conditionalFormatting sqref="J123:K123">
    <cfRule type="expression" dxfId="634" priority="31">
      <formula>kvartal &lt; 4</formula>
    </cfRule>
  </conditionalFormatting>
  <conditionalFormatting sqref="A50:A52">
    <cfRule type="expression" dxfId="633" priority="12">
      <formula>kvartal &lt; 4</formula>
    </cfRule>
  </conditionalFormatting>
  <conditionalFormatting sqref="A69:A74">
    <cfRule type="expression" dxfId="632" priority="10">
      <formula>kvartal &lt; 4</formula>
    </cfRule>
  </conditionalFormatting>
  <conditionalFormatting sqref="A80:A85">
    <cfRule type="expression" dxfId="631" priority="9">
      <formula>kvartal &lt; 4</formula>
    </cfRule>
  </conditionalFormatting>
  <conditionalFormatting sqref="A90:A95">
    <cfRule type="expression" dxfId="630" priority="6">
      <formula>kvartal &lt; 4</formula>
    </cfRule>
  </conditionalFormatting>
  <conditionalFormatting sqref="A101:A106">
    <cfRule type="expression" dxfId="629" priority="5">
      <formula>kvartal &lt; 4</formula>
    </cfRule>
  </conditionalFormatting>
  <conditionalFormatting sqref="A115">
    <cfRule type="expression" dxfId="628" priority="4">
      <formula>kvartal &lt; 4</formula>
    </cfRule>
  </conditionalFormatting>
  <conditionalFormatting sqref="A123">
    <cfRule type="expression" dxfId="627" priority="3">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N144"/>
  <sheetViews>
    <sheetView showGridLines="0" zoomScaleNormal="100" workbookViewId="0">
      <selection activeCell="A4" sqref="A4"/>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139</v>
      </c>
      <c r="B1" s="945"/>
      <c r="C1" s="248" t="s">
        <v>134</v>
      </c>
      <c r="D1" s="26"/>
      <c r="E1" s="26"/>
      <c r="F1" s="26"/>
      <c r="G1" s="26"/>
      <c r="H1" s="26"/>
      <c r="I1" s="26"/>
      <c r="J1" s="26"/>
      <c r="K1" s="26"/>
      <c r="L1" s="26"/>
      <c r="M1" s="26"/>
    </row>
    <row r="2" spans="1:14" ht="15.75" x14ac:dyDescent="0.25">
      <c r="A2" s="165" t="s">
        <v>28</v>
      </c>
      <c r="B2" s="972"/>
      <c r="C2" s="972"/>
      <c r="D2" s="972"/>
      <c r="E2" s="298"/>
      <c r="F2" s="972"/>
      <c r="G2" s="972"/>
      <c r="H2" s="972"/>
      <c r="I2" s="298"/>
      <c r="J2" s="972"/>
      <c r="K2" s="972"/>
      <c r="L2" s="972"/>
      <c r="M2" s="298"/>
    </row>
    <row r="3" spans="1:14" ht="15.75" x14ac:dyDescent="0.25">
      <c r="A3" s="163"/>
      <c r="B3" s="298"/>
      <c r="C3" s="298"/>
      <c r="D3" s="298"/>
      <c r="E3" s="298"/>
      <c r="F3" s="298"/>
      <c r="G3" s="298"/>
      <c r="H3" s="298"/>
      <c r="I3" s="298"/>
      <c r="J3" s="298"/>
      <c r="K3" s="298"/>
      <c r="L3" s="298"/>
      <c r="M3" s="298"/>
    </row>
    <row r="4" spans="1:14" x14ac:dyDescent="0.2">
      <c r="A4" s="144"/>
      <c r="B4" s="973" t="s">
        <v>0</v>
      </c>
      <c r="C4" s="974"/>
      <c r="D4" s="974"/>
      <c r="E4" s="300"/>
      <c r="F4" s="973" t="s">
        <v>1</v>
      </c>
      <c r="G4" s="974"/>
      <c r="H4" s="974"/>
      <c r="I4" s="303"/>
      <c r="J4" s="973" t="s">
        <v>2</v>
      </c>
      <c r="K4" s="974"/>
      <c r="L4" s="974"/>
      <c r="M4" s="303"/>
    </row>
    <row r="5" spans="1:14" x14ac:dyDescent="0.2">
      <c r="A5" s="158"/>
      <c r="B5" s="152" t="s">
        <v>492</v>
      </c>
      <c r="C5" s="152" t="s">
        <v>493</v>
      </c>
      <c r="D5" s="245" t="s">
        <v>3</v>
      </c>
      <c r="E5" s="304" t="s">
        <v>29</v>
      </c>
      <c r="F5" s="152" t="s">
        <v>492</v>
      </c>
      <c r="G5" s="152" t="s">
        <v>493</v>
      </c>
      <c r="H5" s="245" t="s">
        <v>3</v>
      </c>
      <c r="I5" s="162" t="s">
        <v>29</v>
      </c>
      <c r="J5" s="152" t="s">
        <v>492</v>
      </c>
      <c r="K5" s="152" t="s">
        <v>493</v>
      </c>
      <c r="L5" s="245" t="s">
        <v>3</v>
      </c>
      <c r="M5" s="162" t="s">
        <v>29</v>
      </c>
    </row>
    <row r="6" spans="1:14" x14ac:dyDescent="0.2">
      <c r="A6" s="946"/>
      <c r="B6" s="156"/>
      <c r="C6" s="156"/>
      <c r="D6" s="246" t="s">
        <v>4</v>
      </c>
      <c r="E6" s="156" t="s">
        <v>30</v>
      </c>
      <c r="F6" s="161"/>
      <c r="G6" s="161"/>
      <c r="H6" s="245" t="s">
        <v>4</v>
      </c>
      <c r="I6" s="156" t="s">
        <v>30</v>
      </c>
      <c r="J6" s="161"/>
      <c r="K6" s="161"/>
      <c r="L6" s="245" t="s">
        <v>4</v>
      </c>
      <c r="M6" s="156" t="s">
        <v>30</v>
      </c>
    </row>
    <row r="7" spans="1:14" ht="15.75" x14ac:dyDescent="0.2">
      <c r="A7" s="14" t="s">
        <v>23</v>
      </c>
      <c r="B7" s="305">
        <v>462986.98343646002</v>
      </c>
      <c r="C7" s="306">
        <v>477246.679953388</v>
      </c>
      <c r="D7" s="349">
        <f>IF(B7=0, "    ---- ", IF(ABS(ROUND(100/B7*C7-100,1))&lt;999,ROUND(100/B7*C7-100,1),IF(ROUND(100/B7*C7-100,1)&gt;999,999,-999)))</f>
        <v>3.1</v>
      </c>
      <c r="E7" s="11">
        <f>IFERROR(100/'Skjema total MA'!C7*C7,0)</f>
        <v>10.149381278165929</v>
      </c>
      <c r="F7" s="305">
        <v>4250977.8025599997</v>
      </c>
      <c r="G7" s="306">
        <v>7658214.71985</v>
      </c>
      <c r="H7" s="349">
        <f>IF(F7=0, "    ---- ", IF(ABS(ROUND(100/F7*G7-100,1))&lt;999,ROUND(100/F7*G7-100,1),IF(ROUND(100/F7*G7-100,1)&gt;999,999,-999)))</f>
        <v>80.2</v>
      </c>
      <c r="I7" s="160">
        <f>IFERROR(100/'Skjema total MA'!F7*G7,0)</f>
        <v>73.303925368479455</v>
      </c>
      <c r="J7" s="307">
        <f t="shared" ref="J7:K12" si="0">SUM(B7,F7)</f>
        <v>4713964.7859964594</v>
      </c>
      <c r="K7" s="308">
        <f t="shared" si="0"/>
        <v>8135461.3998033879</v>
      </c>
      <c r="L7" s="372">
        <f>IF(J7=0, "    ---- ", IF(ABS(ROUND(100/J7*K7-100,1))&lt;999,ROUND(100/J7*K7-100,1),IF(ROUND(100/J7*K7-100,1)&gt;999,999,-999)))</f>
        <v>72.599999999999994</v>
      </c>
      <c r="M7" s="11">
        <f>IFERROR(100/'Skjema total MA'!I7*K7,0)</f>
        <v>53.701421595172782</v>
      </c>
    </row>
    <row r="8" spans="1:14" ht="15.75" x14ac:dyDescent="0.2">
      <c r="A8" s="21" t="s">
        <v>25</v>
      </c>
      <c r="B8" s="280">
        <v>374562.22441898601</v>
      </c>
      <c r="C8" s="281">
        <v>392563.274672036</v>
      </c>
      <c r="D8" s="166">
        <f t="shared" ref="D8:D10" si="1">IF(B8=0, "    ---- ", IF(ABS(ROUND(100/B8*C8-100,1))&lt;999,ROUND(100/B8*C8-100,1),IF(ROUND(100/B8*C8-100,1)&gt;999,999,-999)))</f>
        <v>4.8</v>
      </c>
      <c r="E8" s="27">
        <f>IFERROR(100/'Skjema total MA'!C8*C8,0)</f>
        <v>13.975895092711145</v>
      </c>
      <c r="F8" s="284"/>
      <c r="G8" s="285"/>
      <c r="H8" s="166"/>
      <c r="I8" s="175"/>
      <c r="J8" s="234">
        <f t="shared" si="0"/>
        <v>374562.22441898601</v>
      </c>
      <c r="K8" s="286">
        <f t="shared" si="0"/>
        <v>392563.274672036</v>
      </c>
      <c r="L8" s="166">
        <f t="shared" ref="L8:L9" si="2">IF(J8=0, "    ---- ", IF(ABS(ROUND(100/J8*K8-100,1))&lt;999,ROUND(100/J8*K8-100,1),IF(ROUND(100/J8*K8-100,1)&gt;999,999,-999)))</f>
        <v>4.8</v>
      </c>
      <c r="M8" s="27">
        <f>IFERROR(100/'Skjema total MA'!I8*K8,0)</f>
        <v>13.975895092711145</v>
      </c>
    </row>
    <row r="9" spans="1:14" ht="15.75" x14ac:dyDescent="0.2">
      <c r="A9" s="21" t="s">
        <v>24</v>
      </c>
      <c r="B9" s="280">
        <v>80491.194448649097</v>
      </c>
      <c r="C9" s="281">
        <v>77295.762693903496</v>
      </c>
      <c r="D9" s="166">
        <f t="shared" si="1"/>
        <v>-4</v>
      </c>
      <c r="E9" s="27">
        <f>IFERROR(100/'Skjema total MA'!C9*C9,0)</f>
        <v>7.8496525249322344</v>
      </c>
      <c r="F9" s="284"/>
      <c r="G9" s="285"/>
      <c r="H9" s="166"/>
      <c r="I9" s="175"/>
      <c r="J9" s="234">
        <f t="shared" si="0"/>
        <v>80491.194448649097</v>
      </c>
      <c r="K9" s="286">
        <f t="shared" si="0"/>
        <v>77295.762693903496</v>
      </c>
      <c r="L9" s="166">
        <f t="shared" si="2"/>
        <v>-4</v>
      </c>
      <c r="M9" s="27">
        <f>IFERROR(100/'Skjema total MA'!I9*K9,0)</f>
        <v>7.8496525249322344</v>
      </c>
    </row>
    <row r="10" spans="1:14" ht="15.75" x14ac:dyDescent="0.2">
      <c r="A10" s="13" t="s">
        <v>451</v>
      </c>
      <c r="B10" s="309">
        <v>849842.88617726602</v>
      </c>
      <c r="C10" s="310">
        <v>805879.46846914</v>
      </c>
      <c r="D10" s="171">
        <f t="shared" si="1"/>
        <v>-5.2</v>
      </c>
      <c r="E10" s="11">
        <f>IFERROR(100/'Skjema total MA'!C10*C10,0)</f>
        <v>3.8119529075386174</v>
      </c>
      <c r="F10" s="309">
        <v>23672755.0552844</v>
      </c>
      <c r="G10" s="310">
        <v>32169321.120999999</v>
      </c>
      <c r="H10" s="171">
        <f t="shared" ref="H10:H12" si="3">IF(F10=0, "    ---- ", IF(ABS(ROUND(100/F10*G10-100,1))&lt;999,ROUND(100/F10*G10-100,1),IF(ROUND(100/F10*G10-100,1)&gt;999,999,-999)))</f>
        <v>35.9</v>
      </c>
      <c r="I10" s="160">
        <f>IFERROR(100/'Skjema total MA'!F10*G10,0)</f>
        <v>60.722471083297791</v>
      </c>
      <c r="J10" s="307">
        <f t="shared" si="0"/>
        <v>24522597.941461667</v>
      </c>
      <c r="K10" s="308">
        <f t="shared" si="0"/>
        <v>32975200.589469139</v>
      </c>
      <c r="L10" s="373">
        <f t="shared" ref="L10:L12" si="4">IF(J10=0, "    ---- ", IF(ABS(ROUND(100/J10*K10-100,1))&lt;999,ROUND(100/J10*K10-100,1),IF(ROUND(100/J10*K10-100,1)&gt;999,999,-999)))</f>
        <v>34.5</v>
      </c>
      <c r="M10" s="11">
        <f>IFERROR(100/'Skjema total MA'!I10*K10,0)</f>
        <v>44.489851401041292</v>
      </c>
    </row>
    <row r="11" spans="1:14" s="43" customFormat="1" ht="15.75" x14ac:dyDescent="0.2">
      <c r="A11" s="13" t="s">
        <v>452</v>
      </c>
      <c r="B11" s="309"/>
      <c r="C11" s="310"/>
      <c r="D11" s="171"/>
      <c r="E11" s="11"/>
      <c r="F11" s="309">
        <v>135610.49960000001</v>
      </c>
      <c r="G11" s="310">
        <v>261368.92395999999</v>
      </c>
      <c r="H11" s="171">
        <f t="shared" si="3"/>
        <v>92.7</v>
      </c>
      <c r="I11" s="160">
        <f>IFERROR(100/'Skjema total MA'!F11*G11,0)</f>
        <v>63.33140474879125</v>
      </c>
      <c r="J11" s="307">
        <f t="shared" si="0"/>
        <v>135610.49960000001</v>
      </c>
      <c r="K11" s="308">
        <f t="shared" si="0"/>
        <v>261368.92395999999</v>
      </c>
      <c r="L11" s="373">
        <f t="shared" si="4"/>
        <v>92.7</v>
      </c>
      <c r="M11" s="11">
        <f>IFERROR(100/'Skjema total MA'!I11*K11,0)</f>
        <v>54.690750412736264</v>
      </c>
      <c r="N11" s="143"/>
    </row>
    <row r="12" spans="1:14" s="43" customFormat="1" ht="15.75" x14ac:dyDescent="0.2">
      <c r="A12" s="41" t="s">
        <v>453</v>
      </c>
      <c r="B12" s="311"/>
      <c r="C12" s="312"/>
      <c r="D12" s="169"/>
      <c r="E12" s="36"/>
      <c r="F12" s="311">
        <v>109491.38119</v>
      </c>
      <c r="G12" s="312">
        <v>51490.118929999997</v>
      </c>
      <c r="H12" s="169">
        <f t="shared" si="3"/>
        <v>-53</v>
      </c>
      <c r="I12" s="169">
        <f>IFERROR(100/'Skjema total MA'!F12*G12,0)</f>
        <v>15.871054899256999</v>
      </c>
      <c r="J12" s="313">
        <f t="shared" si="0"/>
        <v>109491.38119</v>
      </c>
      <c r="K12" s="314">
        <f t="shared" si="0"/>
        <v>51490.118929999997</v>
      </c>
      <c r="L12" s="374">
        <f t="shared" si="4"/>
        <v>-53</v>
      </c>
      <c r="M12" s="36">
        <f>IFERROR(100/'Skjema total MA'!I12*K12,0)</f>
        <v>15.032346037458653</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975"/>
      <c r="C18" s="975"/>
      <c r="D18" s="975"/>
      <c r="E18" s="298"/>
      <c r="F18" s="975"/>
      <c r="G18" s="975"/>
      <c r="H18" s="975"/>
      <c r="I18" s="298"/>
      <c r="J18" s="975"/>
      <c r="K18" s="975"/>
      <c r="L18" s="975"/>
      <c r="M18" s="298"/>
    </row>
    <row r="19" spans="1:14" x14ac:dyDescent="0.2">
      <c r="A19" s="144"/>
      <c r="B19" s="973" t="s">
        <v>0</v>
      </c>
      <c r="C19" s="974"/>
      <c r="D19" s="974"/>
      <c r="E19" s="300"/>
      <c r="F19" s="973" t="s">
        <v>1</v>
      </c>
      <c r="G19" s="974"/>
      <c r="H19" s="974"/>
      <c r="I19" s="303"/>
      <c r="J19" s="973" t="s">
        <v>2</v>
      </c>
      <c r="K19" s="974"/>
      <c r="L19" s="974"/>
      <c r="M19" s="303"/>
    </row>
    <row r="20" spans="1:14" x14ac:dyDescent="0.2">
      <c r="A20" s="140" t="s">
        <v>5</v>
      </c>
      <c r="B20" s="152" t="s">
        <v>492</v>
      </c>
      <c r="C20" s="152" t="s">
        <v>493</v>
      </c>
      <c r="D20" s="162" t="s">
        <v>3</v>
      </c>
      <c r="E20" s="304" t="s">
        <v>29</v>
      </c>
      <c r="F20" s="152" t="s">
        <v>492</v>
      </c>
      <c r="G20" s="152" t="s">
        <v>493</v>
      </c>
      <c r="H20" s="162" t="s">
        <v>3</v>
      </c>
      <c r="I20" s="162" t="s">
        <v>29</v>
      </c>
      <c r="J20" s="152" t="s">
        <v>492</v>
      </c>
      <c r="K20" s="152" t="s">
        <v>493</v>
      </c>
      <c r="L20" s="162" t="s">
        <v>3</v>
      </c>
      <c r="M20" s="162" t="s">
        <v>29</v>
      </c>
    </row>
    <row r="21" spans="1:14" x14ac:dyDescent="0.2">
      <c r="A21" s="947"/>
      <c r="B21" s="156"/>
      <c r="C21" s="156"/>
      <c r="D21" s="246" t="s">
        <v>4</v>
      </c>
      <c r="E21" s="156" t="s">
        <v>30</v>
      </c>
      <c r="F21" s="161"/>
      <c r="G21" s="161"/>
      <c r="H21" s="245" t="s">
        <v>4</v>
      </c>
      <c r="I21" s="156" t="s">
        <v>30</v>
      </c>
      <c r="J21" s="161"/>
      <c r="K21" s="161"/>
      <c r="L21" s="156" t="s">
        <v>4</v>
      </c>
      <c r="M21" s="156" t="s">
        <v>30</v>
      </c>
    </row>
    <row r="22" spans="1:14" ht="15.75" x14ac:dyDescent="0.2">
      <c r="A22" s="14" t="s">
        <v>23</v>
      </c>
      <c r="B22" s="309">
        <v>143588.25914979901</v>
      </c>
      <c r="C22" s="309">
        <v>155243.40268341699</v>
      </c>
      <c r="D22" s="349">
        <f t="shared" ref="D22:D34" si="5">IF(B22=0, "    ---- ", IF(ABS(ROUND(100/B22*C22-100,1))&lt;999,ROUND(100/B22*C22-100,1),IF(ROUND(100/B22*C22-100,1)&gt;999,999,-999)))</f>
        <v>8.1</v>
      </c>
      <c r="E22" s="11">
        <f>IFERROR(100/'Skjema total MA'!C22*C22,0)</f>
        <v>8.6791557442230474</v>
      </c>
      <c r="F22" s="317">
        <v>295802.59531</v>
      </c>
      <c r="G22" s="317">
        <v>307983.53473000001</v>
      </c>
      <c r="H22" s="349">
        <f t="shared" ref="H22:H35" si="6">IF(F22=0, "    ---- ", IF(ABS(ROUND(100/F22*G22-100,1))&lt;999,ROUND(100/F22*G22-100,1),IF(ROUND(100/F22*G22-100,1)&gt;999,999,-999)))</f>
        <v>4.0999999999999996</v>
      </c>
      <c r="I22" s="11">
        <f>IFERROR(100/'Skjema total MA'!F22*G22,0)</f>
        <v>23.304093415582461</v>
      </c>
      <c r="J22" s="315">
        <f t="shared" ref="J22:K35" si="7">SUM(B22,F22)</f>
        <v>439390.85445979901</v>
      </c>
      <c r="K22" s="315">
        <f t="shared" si="7"/>
        <v>463226.93741341704</v>
      </c>
      <c r="L22" s="372">
        <f t="shared" ref="L22:L35" si="8">IF(J22=0, "    ---- ", IF(ABS(ROUND(100/J22*K22-100,1))&lt;999,ROUND(100/J22*K22-100,1),IF(ROUND(100/J22*K22-100,1)&gt;999,999,-999)))</f>
        <v>5.4</v>
      </c>
      <c r="M22" s="24">
        <f>IFERROR(100/'Skjema total MA'!I22*K22,0)</f>
        <v>14.893425492996021</v>
      </c>
    </row>
    <row r="23" spans="1:14" ht="15.75" x14ac:dyDescent="0.2">
      <c r="A23" s="753" t="s">
        <v>454</v>
      </c>
      <c r="B23" s="280">
        <v>143027.24814979901</v>
      </c>
      <c r="C23" s="280">
        <v>154723.46268341699</v>
      </c>
      <c r="D23" s="166">
        <f t="shared" si="5"/>
        <v>8.1999999999999993</v>
      </c>
      <c r="E23" s="11">
        <f>IFERROR(100/'Skjema total MA'!C23*C23,0)</f>
        <v>9.1942510582714885</v>
      </c>
      <c r="F23" s="289">
        <v>4559.7420000000002</v>
      </c>
      <c r="G23" s="289">
        <v>4102.2550000000001</v>
      </c>
      <c r="H23" s="166">
        <f t="shared" si="6"/>
        <v>-10</v>
      </c>
      <c r="I23" s="365">
        <f>IFERROR(100/'Skjema total MA'!F23*G23,0)</f>
        <v>4.1207235141304874</v>
      </c>
      <c r="J23" s="289">
        <f t="shared" ref="J23:J26" si="9">SUM(B23,F23)</f>
        <v>147586.99014979901</v>
      </c>
      <c r="K23" s="289">
        <f t="shared" ref="K23:K26" si="10">SUM(C23,G23)</f>
        <v>158825.71768341699</v>
      </c>
      <c r="L23" s="166">
        <f t="shared" si="8"/>
        <v>7.6</v>
      </c>
      <c r="M23" s="23">
        <f>IFERROR(100/'Skjema total MA'!I23*K23,0)</f>
        <v>8.9108778016651105</v>
      </c>
    </row>
    <row r="24" spans="1:14" ht="15.75" x14ac:dyDescent="0.2">
      <c r="A24" s="753" t="s">
        <v>455</v>
      </c>
      <c r="B24" s="280">
        <v>558.46100000000001</v>
      </c>
      <c r="C24" s="280">
        <v>519.94000000000005</v>
      </c>
      <c r="D24" s="166">
        <f t="shared" si="5"/>
        <v>-6.9</v>
      </c>
      <c r="E24" s="11">
        <f>IFERROR(100/'Skjema total MA'!C24*C24,0)</f>
        <v>1.3808280053709767</v>
      </c>
      <c r="F24" s="289"/>
      <c r="G24" s="289"/>
      <c r="H24" s="166"/>
      <c r="I24" s="365"/>
      <c r="J24" s="289">
        <f t="shared" si="9"/>
        <v>558.46100000000001</v>
      </c>
      <c r="K24" s="289">
        <f t="shared" si="10"/>
        <v>519.94000000000005</v>
      </c>
      <c r="L24" s="166">
        <f t="shared" si="8"/>
        <v>-6.9</v>
      </c>
      <c r="M24" s="23">
        <f>IFERROR(100/'Skjema total MA'!I24*K24,0)</f>
        <v>1.374280286945925</v>
      </c>
    </row>
    <row r="25" spans="1:14" ht="15.75" x14ac:dyDescent="0.2">
      <c r="A25" s="753" t="s">
        <v>456</v>
      </c>
      <c r="B25" s="280">
        <v>2.5499999999999998</v>
      </c>
      <c r="C25" s="280">
        <v>0</v>
      </c>
      <c r="D25" s="166">
        <f t="shared" si="5"/>
        <v>-100</v>
      </c>
      <c r="E25" s="11">
        <f>IFERROR(100/'Skjema total MA'!C25*C25,0)</f>
        <v>0</v>
      </c>
      <c r="F25" s="289">
        <v>65053.774890000001</v>
      </c>
      <c r="G25" s="289">
        <v>947.88599999999997</v>
      </c>
      <c r="H25" s="166">
        <f t="shared" ref="H25:H26" si="11">IF(F25=0, "    ---- ", IF(ABS(ROUND(100/F25*G25-100,1))&lt;999,ROUND(100/F25*G25-100,1),IF(ROUND(100/F25*G25-100,1)&gt;999,999,-999)))</f>
        <v>-98.5</v>
      </c>
      <c r="I25" s="365">
        <f>IFERROR(100/'Skjema total MA'!F25*G25,0)</f>
        <v>3.4644779801460701</v>
      </c>
      <c r="J25" s="289">
        <f t="shared" si="9"/>
        <v>65056.324890000004</v>
      </c>
      <c r="K25" s="289">
        <f t="shared" si="10"/>
        <v>947.88599999999997</v>
      </c>
      <c r="L25" s="166">
        <f t="shared" si="8"/>
        <v>-98.5</v>
      </c>
      <c r="M25" s="23">
        <f>IFERROR(100/'Skjema total MA'!I25*K25,0)</f>
        <v>1.3951165788391038</v>
      </c>
    </row>
    <row r="26" spans="1:14" ht="15.75" x14ac:dyDescent="0.2">
      <c r="A26" s="753" t="s">
        <v>457</v>
      </c>
      <c r="B26" s="280"/>
      <c r="C26" s="280"/>
      <c r="D26" s="166"/>
      <c r="E26" s="11"/>
      <c r="F26" s="289">
        <v>226189.07842000001</v>
      </c>
      <c r="G26" s="289">
        <v>302933.39373000001</v>
      </c>
      <c r="H26" s="166">
        <f t="shared" si="11"/>
        <v>33.9</v>
      </c>
      <c r="I26" s="365">
        <f>IFERROR(100/'Skjema total MA'!F26*G26,0)</f>
        <v>25.360808885820269</v>
      </c>
      <c r="J26" s="289">
        <f t="shared" si="9"/>
        <v>226189.07842000001</v>
      </c>
      <c r="K26" s="289">
        <f t="shared" si="10"/>
        <v>302933.39373000001</v>
      </c>
      <c r="L26" s="166">
        <f t="shared" si="8"/>
        <v>33.9</v>
      </c>
      <c r="M26" s="23">
        <f>IFERROR(100/'Skjema total MA'!I26*K26,0)</f>
        <v>25.360808885820269</v>
      </c>
    </row>
    <row r="27" spans="1:14" x14ac:dyDescent="0.2">
      <c r="A27" s="753" t="s">
        <v>11</v>
      </c>
      <c r="B27" s="280"/>
      <c r="C27" s="280"/>
      <c r="D27" s="166"/>
      <c r="E27" s="11"/>
      <c r="F27" s="289"/>
      <c r="G27" s="289"/>
      <c r="H27" s="166"/>
      <c r="I27" s="365"/>
      <c r="J27" s="289"/>
      <c r="K27" s="289"/>
      <c r="L27" s="166"/>
      <c r="M27" s="23"/>
    </row>
    <row r="28" spans="1:14" ht="15.75" x14ac:dyDescent="0.2">
      <c r="A28" s="49" t="s">
        <v>279</v>
      </c>
      <c r="B28" s="44">
        <v>147381.08796388801</v>
      </c>
      <c r="C28" s="286">
        <v>159664.20974119499</v>
      </c>
      <c r="D28" s="166">
        <f t="shared" si="5"/>
        <v>8.3000000000000007</v>
      </c>
      <c r="E28" s="11">
        <f>IFERROR(100/'Skjema total MA'!C28*C28,0)</f>
        <v>8.4951088272549349</v>
      </c>
      <c r="F28" s="234"/>
      <c r="G28" s="286"/>
      <c r="H28" s="166"/>
      <c r="I28" s="27"/>
      <c r="J28" s="44">
        <f t="shared" si="7"/>
        <v>147381.08796388801</v>
      </c>
      <c r="K28" s="44">
        <f t="shared" si="7"/>
        <v>159664.20974119499</v>
      </c>
      <c r="L28" s="254">
        <f t="shared" si="8"/>
        <v>8.3000000000000007</v>
      </c>
      <c r="M28" s="23">
        <f>IFERROR(100/'Skjema total MA'!I28*K28,0)</f>
        <v>8.4951088272549349</v>
      </c>
    </row>
    <row r="29" spans="1:14" s="3" customFormat="1" ht="15.75" x14ac:dyDescent="0.2">
      <c r="A29" s="13" t="s">
        <v>451</v>
      </c>
      <c r="B29" s="236">
        <v>3880923.42</v>
      </c>
      <c r="C29" s="236">
        <v>3860288</v>
      </c>
      <c r="D29" s="171">
        <f t="shared" si="5"/>
        <v>-0.5</v>
      </c>
      <c r="E29" s="11">
        <f>IFERROR(100/'Skjema total MA'!C29*C29,0)</f>
        <v>8.2173890845635533</v>
      </c>
      <c r="F29" s="307">
        <v>3231146.09</v>
      </c>
      <c r="G29" s="307">
        <v>4316914.67</v>
      </c>
      <c r="H29" s="171">
        <f t="shared" si="6"/>
        <v>33.6</v>
      </c>
      <c r="I29" s="11">
        <f>IFERROR(100/'Skjema total MA'!F29*G29,0)</f>
        <v>19.325147078055039</v>
      </c>
      <c r="J29" s="236">
        <f t="shared" si="7"/>
        <v>7112069.5099999998</v>
      </c>
      <c r="K29" s="236">
        <f t="shared" si="7"/>
        <v>8177202.6699999999</v>
      </c>
      <c r="L29" s="373">
        <f t="shared" si="8"/>
        <v>15</v>
      </c>
      <c r="M29" s="24">
        <f>IFERROR(100/'Skjema total MA'!I29*K29,0)</f>
        <v>11.797095368016512</v>
      </c>
      <c r="N29" s="148"/>
    </row>
    <row r="30" spans="1:14" s="3" customFormat="1" ht="15.75" x14ac:dyDescent="0.2">
      <c r="A30" s="753" t="s">
        <v>454</v>
      </c>
      <c r="B30" s="280">
        <v>798902.32</v>
      </c>
      <c r="C30" s="280">
        <v>711663</v>
      </c>
      <c r="D30" s="166">
        <f t="shared" si="5"/>
        <v>-10.9</v>
      </c>
      <c r="E30" s="11">
        <f>IFERROR(100/'Skjema total MA'!C30*C30,0)</f>
        <v>4.0269774191921641</v>
      </c>
      <c r="F30" s="289">
        <v>463217.223</v>
      </c>
      <c r="G30" s="289">
        <v>503964.85911560501</v>
      </c>
      <c r="H30" s="166">
        <f t="shared" si="6"/>
        <v>8.8000000000000007</v>
      </c>
      <c r="I30" s="365">
        <f>IFERROR(100/'Skjema total MA'!F30*G30,0)</f>
        <v>11.317931545568305</v>
      </c>
      <c r="J30" s="289">
        <f t="shared" ref="J30:J33" si="12">SUM(B30,F30)</f>
        <v>1262119.5430000001</v>
      </c>
      <c r="K30" s="289">
        <f t="shared" ref="K30:K33" si="13">SUM(C30,G30)</f>
        <v>1215627.859115605</v>
      </c>
      <c r="L30" s="166">
        <f t="shared" si="8"/>
        <v>-3.7</v>
      </c>
      <c r="M30" s="23">
        <f>IFERROR(100/'Skjema total MA'!I30*K30,0)</f>
        <v>5.4943169692461087</v>
      </c>
      <c r="N30" s="148"/>
    </row>
    <row r="31" spans="1:14" s="3" customFormat="1" ht="15.75" x14ac:dyDescent="0.2">
      <c r="A31" s="753" t="s">
        <v>455</v>
      </c>
      <c r="B31" s="280">
        <v>2784671.36</v>
      </c>
      <c r="C31" s="280">
        <v>2725890</v>
      </c>
      <c r="D31" s="166">
        <f t="shared" si="5"/>
        <v>-2.1</v>
      </c>
      <c r="E31" s="11">
        <f>IFERROR(100/'Skjema total MA'!C31*C31,0)</f>
        <v>10.421334537435401</v>
      </c>
      <c r="F31" s="289">
        <v>564732.17700000003</v>
      </c>
      <c r="G31" s="289">
        <v>875988.96090387297</v>
      </c>
      <c r="H31" s="166">
        <f t="shared" si="6"/>
        <v>55.1</v>
      </c>
      <c r="I31" s="365">
        <f>IFERROR(100/'Skjema total MA'!F31*G31,0)</f>
        <v>8.9173206472378332</v>
      </c>
      <c r="J31" s="289">
        <f t="shared" si="12"/>
        <v>3349403.537</v>
      </c>
      <c r="K31" s="289">
        <f t="shared" si="13"/>
        <v>3601878.9609038727</v>
      </c>
      <c r="L31" s="166">
        <f t="shared" si="8"/>
        <v>7.5</v>
      </c>
      <c r="M31" s="23">
        <f>IFERROR(100/'Skjema total MA'!I31*K31,0)</f>
        <v>10.01070367353492</v>
      </c>
      <c r="N31" s="148"/>
    </row>
    <row r="32" spans="1:14" ht="15.75" x14ac:dyDescent="0.2">
      <c r="A32" s="753" t="s">
        <v>456</v>
      </c>
      <c r="B32" s="280">
        <v>297349.74</v>
      </c>
      <c r="C32" s="280">
        <v>422735</v>
      </c>
      <c r="D32" s="166">
        <f t="shared" si="5"/>
        <v>42.2</v>
      </c>
      <c r="E32" s="11">
        <f>IFERROR(100/'Skjema total MA'!C32*C32,0)</f>
        <v>14.01961522376962</v>
      </c>
      <c r="F32" s="289">
        <v>1763864.61</v>
      </c>
      <c r="G32" s="289">
        <v>2046803.0846958701</v>
      </c>
      <c r="H32" s="166">
        <f t="shared" si="6"/>
        <v>16</v>
      </c>
      <c r="I32" s="365">
        <f>IFERROR(100/'Skjema total MA'!F32*G32,0)</f>
        <v>43.889156546603061</v>
      </c>
      <c r="J32" s="289">
        <f t="shared" si="12"/>
        <v>2061214.35</v>
      </c>
      <c r="K32" s="289">
        <f t="shared" si="13"/>
        <v>2469538.0846958701</v>
      </c>
      <c r="L32" s="166">
        <f t="shared" si="8"/>
        <v>19.8</v>
      </c>
      <c r="M32" s="23">
        <f>IFERROR(100/'Skjema total MA'!I32*K32,0)</f>
        <v>32.160114882801878</v>
      </c>
    </row>
    <row r="33" spans="1:14" ht="15.75" x14ac:dyDescent="0.2">
      <c r="A33" s="753" t="s">
        <v>457</v>
      </c>
      <c r="B33" s="280"/>
      <c r="C33" s="280"/>
      <c r="D33" s="166"/>
      <c r="E33" s="11"/>
      <c r="F33" s="289">
        <v>439332.08</v>
      </c>
      <c r="G33" s="289">
        <v>890157.765284647</v>
      </c>
      <c r="H33" s="166">
        <f t="shared" si="6"/>
        <v>102.6</v>
      </c>
      <c r="I33" s="365">
        <f>IFERROR(100/'Skjema total MA'!F34*G33,0)</f>
        <v>1268.3969196640253</v>
      </c>
      <c r="J33" s="289">
        <f t="shared" si="12"/>
        <v>439332.08</v>
      </c>
      <c r="K33" s="289">
        <f t="shared" si="13"/>
        <v>890157.765284647</v>
      </c>
      <c r="L33" s="166">
        <f t="shared" si="8"/>
        <v>102.6</v>
      </c>
      <c r="M33" s="23">
        <f>IFERROR(100/'Skjema total MA'!I34*K33,0)</f>
        <v>920.19018469413106</v>
      </c>
    </row>
    <row r="34" spans="1:14" ht="15.75" x14ac:dyDescent="0.2">
      <c r="A34" s="13" t="s">
        <v>452</v>
      </c>
      <c r="B34" s="236">
        <v>1506.04241</v>
      </c>
      <c r="C34" s="308">
        <v>0</v>
      </c>
      <c r="D34" s="171">
        <f t="shared" si="5"/>
        <v>-100</v>
      </c>
      <c r="E34" s="11">
        <f>IFERROR(100/'Skjema total MA'!C34*C34,0)</f>
        <v>0</v>
      </c>
      <c r="F34" s="307">
        <v>8095.3934799999997</v>
      </c>
      <c r="G34" s="308">
        <v>6518.2304400000003</v>
      </c>
      <c r="H34" s="171">
        <f t="shared" si="6"/>
        <v>-19.5</v>
      </c>
      <c r="I34" s="11">
        <f>IFERROR(100/'Skjema total MA'!F34*G34,0)</f>
        <v>9.2879079801236237</v>
      </c>
      <c r="J34" s="236">
        <f t="shared" si="7"/>
        <v>9601.4358900000007</v>
      </c>
      <c r="K34" s="236">
        <f t="shared" si="7"/>
        <v>6518.2304400000003</v>
      </c>
      <c r="L34" s="373">
        <f t="shared" si="8"/>
        <v>-32.1</v>
      </c>
      <c r="M34" s="24">
        <f>IFERROR(100/'Skjema total MA'!I34*K34,0)</f>
        <v>6.7381445249140919</v>
      </c>
    </row>
    <row r="35" spans="1:14" ht="15.75" x14ac:dyDescent="0.2">
      <c r="A35" s="13" t="s">
        <v>453</v>
      </c>
      <c r="B35" s="236"/>
      <c r="C35" s="308"/>
      <c r="D35" s="171"/>
      <c r="E35" s="11"/>
      <c r="F35" s="307">
        <v>23997.255740000001</v>
      </c>
      <c r="G35" s="308">
        <v>27187.927619999999</v>
      </c>
      <c r="H35" s="171">
        <f t="shared" si="6"/>
        <v>13.3</v>
      </c>
      <c r="I35" s="11">
        <f>IFERROR(100/'Skjema total MA'!F35*G35,0)</f>
        <v>20.443845250665376</v>
      </c>
      <c r="J35" s="236">
        <f t="shared" si="7"/>
        <v>23997.255740000001</v>
      </c>
      <c r="K35" s="236">
        <f t="shared" si="7"/>
        <v>27187.927619999999</v>
      </c>
      <c r="L35" s="373">
        <f t="shared" si="8"/>
        <v>13.3</v>
      </c>
      <c r="M35" s="24">
        <f>IFERROR(100/'Skjema total MA'!I35*K35,0)</f>
        <v>26.193042637959604</v>
      </c>
    </row>
    <row r="36" spans="1:14" ht="15.75" x14ac:dyDescent="0.2">
      <c r="A36" s="12" t="s">
        <v>287</v>
      </c>
      <c r="B36" s="236"/>
      <c r="C36" s="308"/>
      <c r="D36" s="171"/>
      <c r="E36" s="11"/>
      <c r="F36" s="318"/>
      <c r="G36" s="319"/>
      <c r="H36" s="171"/>
      <c r="I36" s="379"/>
      <c r="J36" s="236"/>
      <c r="K36" s="236"/>
      <c r="L36" s="373"/>
      <c r="M36" s="24"/>
    </row>
    <row r="37" spans="1:14" ht="15.75" x14ac:dyDescent="0.2">
      <c r="A37" s="12" t="s">
        <v>459</v>
      </c>
      <c r="B37" s="236"/>
      <c r="C37" s="308"/>
      <c r="D37" s="171"/>
      <c r="E37" s="11"/>
      <c r="F37" s="318"/>
      <c r="G37" s="320"/>
      <c r="H37" s="171"/>
      <c r="I37" s="379"/>
      <c r="J37" s="236"/>
      <c r="K37" s="236"/>
      <c r="L37" s="373"/>
      <c r="M37" s="24"/>
    </row>
    <row r="38" spans="1:14" ht="15.75" x14ac:dyDescent="0.2">
      <c r="A38" s="12" t="s">
        <v>460</v>
      </c>
      <c r="B38" s="236"/>
      <c r="C38" s="308"/>
      <c r="D38" s="171"/>
      <c r="E38" s="24"/>
      <c r="F38" s="318"/>
      <c r="G38" s="319"/>
      <c r="H38" s="171"/>
      <c r="I38" s="379"/>
      <c r="J38" s="236"/>
      <c r="K38" s="236"/>
      <c r="L38" s="373"/>
      <c r="M38" s="24"/>
    </row>
    <row r="39" spans="1:14" ht="15.75" x14ac:dyDescent="0.2">
      <c r="A39" s="18" t="s">
        <v>461</v>
      </c>
      <c r="B39" s="275"/>
      <c r="C39" s="314"/>
      <c r="D39" s="169"/>
      <c r="E39" s="36"/>
      <c r="F39" s="321"/>
      <c r="G39" s="322"/>
      <c r="H39" s="169"/>
      <c r="I39" s="36"/>
      <c r="J39" s="236"/>
      <c r="K39" s="236"/>
      <c r="L39" s="374"/>
      <c r="M39" s="36"/>
    </row>
    <row r="40" spans="1:14" ht="15.75" x14ac:dyDescent="0.25">
      <c r="A40" s="47"/>
      <c r="B40" s="253"/>
      <c r="C40" s="253"/>
      <c r="D40" s="976"/>
      <c r="E40" s="976"/>
      <c r="F40" s="976"/>
      <c r="G40" s="976"/>
      <c r="H40" s="976"/>
      <c r="I40" s="976"/>
      <c r="J40" s="976"/>
      <c r="K40" s="976"/>
      <c r="L40" s="976"/>
      <c r="M40" s="301"/>
    </row>
    <row r="41" spans="1:14" x14ac:dyDescent="0.2">
      <c r="A41" s="155"/>
    </row>
    <row r="42" spans="1:14" ht="15.75" x14ac:dyDescent="0.25">
      <c r="A42" s="147" t="s">
        <v>276</v>
      </c>
      <c r="B42" s="972"/>
      <c r="C42" s="972"/>
      <c r="D42" s="972"/>
      <c r="E42" s="298"/>
      <c r="F42" s="977"/>
      <c r="G42" s="977"/>
      <c r="H42" s="977"/>
      <c r="I42" s="301"/>
      <c r="J42" s="977"/>
      <c r="K42" s="977"/>
      <c r="L42" s="977"/>
      <c r="M42" s="301"/>
    </row>
    <row r="43" spans="1:14" ht="15.75" x14ac:dyDescent="0.25">
      <c r="A43" s="163"/>
      <c r="B43" s="302"/>
      <c r="C43" s="302"/>
      <c r="D43" s="302"/>
      <c r="E43" s="302"/>
      <c r="F43" s="301"/>
      <c r="G43" s="301"/>
      <c r="H43" s="301"/>
      <c r="I43" s="301"/>
      <c r="J43" s="301"/>
      <c r="K43" s="301"/>
      <c r="L43" s="301"/>
      <c r="M43" s="301"/>
    </row>
    <row r="44" spans="1:14" ht="15.75" x14ac:dyDescent="0.25">
      <c r="A44" s="247"/>
      <c r="B44" s="973" t="s">
        <v>0</v>
      </c>
      <c r="C44" s="974"/>
      <c r="D44" s="974"/>
      <c r="E44" s="243"/>
      <c r="F44" s="301"/>
      <c r="G44" s="301"/>
      <c r="H44" s="301"/>
      <c r="I44" s="301"/>
      <c r="J44" s="301"/>
      <c r="K44" s="301"/>
      <c r="L44" s="301"/>
      <c r="M44" s="301"/>
    </row>
    <row r="45" spans="1:14" s="3" customFormat="1" x14ac:dyDescent="0.2">
      <c r="A45" s="140"/>
      <c r="B45" s="152" t="s">
        <v>492</v>
      </c>
      <c r="C45" s="152" t="s">
        <v>493</v>
      </c>
      <c r="D45" s="162" t="s">
        <v>3</v>
      </c>
      <c r="E45" s="162" t="s">
        <v>29</v>
      </c>
      <c r="F45" s="174"/>
      <c r="G45" s="174"/>
      <c r="H45" s="173"/>
      <c r="I45" s="173"/>
      <c r="J45" s="174"/>
      <c r="K45" s="174"/>
      <c r="L45" s="173"/>
      <c r="M45" s="173"/>
      <c r="N45" s="148"/>
    </row>
    <row r="46" spans="1:14" s="3" customFormat="1" x14ac:dyDescent="0.2">
      <c r="A46" s="947"/>
      <c r="B46" s="244"/>
      <c r="C46" s="244"/>
      <c r="D46" s="245" t="s">
        <v>4</v>
      </c>
      <c r="E46" s="156" t="s">
        <v>30</v>
      </c>
      <c r="F46" s="173"/>
      <c r="G46" s="173"/>
      <c r="H46" s="173"/>
      <c r="I46" s="173"/>
      <c r="J46" s="173"/>
      <c r="K46" s="173"/>
      <c r="L46" s="173"/>
      <c r="M46" s="173"/>
      <c r="N46" s="148"/>
    </row>
    <row r="47" spans="1:14" s="3" customFormat="1" ht="15.75" x14ac:dyDescent="0.2">
      <c r="A47" s="14" t="s">
        <v>23</v>
      </c>
      <c r="B47" s="309"/>
      <c r="C47" s="310"/>
      <c r="D47" s="372"/>
      <c r="E47" s="11"/>
      <c r="F47" s="145"/>
      <c r="G47" s="33"/>
      <c r="H47" s="159"/>
      <c r="I47" s="159"/>
      <c r="J47" s="37"/>
      <c r="K47" s="37"/>
      <c r="L47" s="159"/>
      <c r="M47" s="159"/>
      <c r="N47" s="148"/>
    </row>
    <row r="48" spans="1:14" s="3" customFormat="1" ht="15.75" x14ac:dyDescent="0.2">
      <c r="A48" s="38" t="s">
        <v>462</v>
      </c>
      <c r="B48" s="280"/>
      <c r="C48" s="281"/>
      <c r="D48" s="254"/>
      <c r="E48" s="27"/>
      <c r="F48" s="145"/>
      <c r="G48" s="33"/>
      <c r="H48" s="145"/>
      <c r="I48" s="145"/>
      <c r="J48" s="33"/>
      <c r="K48" s="33"/>
      <c r="L48" s="159"/>
      <c r="M48" s="159"/>
      <c r="N48" s="148"/>
    </row>
    <row r="49" spans="1:14" s="3" customFormat="1" ht="15.75" x14ac:dyDescent="0.2">
      <c r="A49" s="38" t="s">
        <v>463</v>
      </c>
      <c r="B49" s="44"/>
      <c r="C49" s="286"/>
      <c r="D49" s="254"/>
      <c r="E49" s="27"/>
      <c r="F49" s="145"/>
      <c r="G49" s="33"/>
      <c r="H49" s="145"/>
      <c r="I49" s="145"/>
      <c r="J49" s="37"/>
      <c r="K49" s="37"/>
      <c r="L49" s="159"/>
      <c r="M49" s="159"/>
      <c r="N49" s="148"/>
    </row>
    <row r="50" spans="1:14" s="3" customFormat="1" x14ac:dyDescent="0.2">
      <c r="A50" s="295" t="s">
        <v>6</v>
      </c>
      <c r="B50" s="289"/>
      <c r="C50" s="290"/>
      <c r="D50" s="254"/>
      <c r="E50" s="23"/>
      <c r="F50" s="145"/>
      <c r="G50" s="33"/>
      <c r="H50" s="145"/>
      <c r="I50" s="145"/>
      <c r="J50" s="33"/>
      <c r="K50" s="33"/>
      <c r="L50" s="159"/>
      <c r="M50" s="159"/>
      <c r="N50" s="148"/>
    </row>
    <row r="51" spans="1:14" s="3" customFormat="1" x14ac:dyDescent="0.2">
      <c r="A51" s="295" t="s">
        <v>7</v>
      </c>
      <c r="B51" s="289"/>
      <c r="C51" s="290"/>
      <c r="D51" s="254"/>
      <c r="E51" s="23"/>
      <c r="F51" s="145"/>
      <c r="G51" s="33"/>
      <c r="H51" s="145"/>
      <c r="I51" s="145"/>
      <c r="J51" s="33"/>
      <c r="K51" s="33"/>
      <c r="L51" s="159"/>
      <c r="M51" s="159"/>
      <c r="N51" s="148"/>
    </row>
    <row r="52" spans="1:14" s="3" customFormat="1" x14ac:dyDescent="0.2">
      <c r="A52" s="295" t="s">
        <v>8</v>
      </c>
      <c r="B52" s="289"/>
      <c r="C52" s="290"/>
      <c r="D52" s="254"/>
      <c r="E52" s="23"/>
      <c r="F52" s="145"/>
      <c r="G52" s="33"/>
      <c r="H52" s="145"/>
      <c r="I52" s="145"/>
      <c r="J52" s="33"/>
      <c r="K52" s="33"/>
      <c r="L52" s="159"/>
      <c r="M52" s="159"/>
      <c r="N52" s="148"/>
    </row>
    <row r="53" spans="1:14" s="3" customFormat="1" ht="15.75" x14ac:dyDescent="0.2">
      <c r="A53" s="39" t="s">
        <v>464</v>
      </c>
      <c r="B53" s="309"/>
      <c r="C53" s="310"/>
      <c r="D53" s="373"/>
      <c r="E53" s="11"/>
      <c r="F53" s="145"/>
      <c r="G53" s="33"/>
      <c r="H53" s="145"/>
      <c r="I53" s="145"/>
      <c r="J53" s="33"/>
      <c r="K53" s="33"/>
      <c r="L53" s="159"/>
      <c r="M53" s="159"/>
      <c r="N53" s="148"/>
    </row>
    <row r="54" spans="1:14" s="3" customFormat="1" ht="15.75" x14ac:dyDescent="0.2">
      <c r="A54" s="38" t="s">
        <v>462</v>
      </c>
      <c r="B54" s="280"/>
      <c r="C54" s="281"/>
      <c r="D54" s="254"/>
      <c r="E54" s="27"/>
      <c r="F54" s="145"/>
      <c r="G54" s="33"/>
      <c r="H54" s="145"/>
      <c r="I54" s="145"/>
      <c r="J54" s="33"/>
      <c r="K54" s="33"/>
      <c r="L54" s="159"/>
      <c r="M54" s="159"/>
      <c r="N54" s="148"/>
    </row>
    <row r="55" spans="1:14" s="3" customFormat="1" ht="15.75" x14ac:dyDescent="0.2">
      <c r="A55" s="38" t="s">
        <v>463</v>
      </c>
      <c r="B55" s="280"/>
      <c r="C55" s="281"/>
      <c r="D55" s="254"/>
      <c r="E55" s="27"/>
      <c r="F55" s="145"/>
      <c r="G55" s="33"/>
      <c r="H55" s="145"/>
      <c r="I55" s="145"/>
      <c r="J55" s="33"/>
      <c r="K55" s="33"/>
      <c r="L55" s="159"/>
      <c r="M55" s="159"/>
      <c r="N55" s="148"/>
    </row>
    <row r="56" spans="1:14" s="3" customFormat="1" ht="15.75" x14ac:dyDescent="0.2">
      <c r="A56" s="39" t="s">
        <v>465</v>
      </c>
      <c r="B56" s="309"/>
      <c r="C56" s="310"/>
      <c r="D56" s="373"/>
      <c r="E56" s="11"/>
      <c r="F56" s="145"/>
      <c r="G56" s="33"/>
      <c r="H56" s="145"/>
      <c r="I56" s="145"/>
      <c r="J56" s="33"/>
      <c r="K56" s="33"/>
      <c r="L56" s="159"/>
      <c r="M56" s="159"/>
      <c r="N56" s="148"/>
    </row>
    <row r="57" spans="1:14" s="3" customFormat="1" ht="15.75" x14ac:dyDescent="0.2">
      <c r="A57" s="38" t="s">
        <v>462</v>
      </c>
      <c r="B57" s="280"/>
      <c r="C57" s="281"/>
      <c r="D57" s="254"/>
      <c r="E57" s="27"/>
      <c r="F57" s="145"/>
      <c r="G57" s="33"/>
      <c r="H57" s="145"/>
      <c r="I57" s="145"/>
      <c r="J57" s="33"/>
      <c r="K57" s="33"/>
      <c r="L57" s="159"/>
      <c r="M57" s="159"/>
      <c r="N57" s="148"/>
    </row>
    <row r="58" spans="1:14" s="3" customFormat="1" ht="15.75" x14ac:dyDescent="0.2">
      <c r="A58" s="46" t="s">
        <v>463</v>
      </c>
      <c r="B58" s="282"/>
      <c r="C58" s="283"/>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975"/>
      <c r="C62" s="975"/>
      <c r="D62" s="975"/>
      <c r="E62" s="298"/>
      <c r="F62" s="975"/>
      <c r="G62" s="975"/>
      <c r="H62" s="975"/>
      <c r="I62" s="298"/>
      <c r="J62" s="975"/>
      <c r="K62" s="975"/>
      <c r="L62" s="975"/>
      <c r="M62" s="298"/>
    </row>
    <row r="63" spans="1:14" x14ac:dyDescent="0.2">
      <c r="A63" s="144"/>
      <c r="B63" s="973" t="s">
        <v>0</v>
      </c>
      <c r="C63" s="974"/>
      <c r="D63" s="978"/>
      <c r="E63" s="299"/>
      <c r="F63" s="974" t="s">
        <v>1</v>
      </c>
      <c r="G63" s="974"/>
      <c r="H63" s="974"/>
      <c r="I63" s="303"/>
      <c r="J63" s="973" t="s">
        <v>2</v>
      </c>
      <c r="K63" s="974"/>
      <c r="L63" s="974"/>
      <c r="M63" s="303"/>
    </row>
    <row r="64" spans="1:14" x14ac:dyDescent="0.2">
      <c r="A64" s="140"/>
      <c r="B64" s="152" t="s">
        <v>492</v>
      </c>
      <c r="C64" s="152" t="s">
        <v>493</v>
      </c>
      <c r="D64" s="245" t="s">
        <v>3</v>
      </c>
      <c r="E64" s="304" t="s">
        <v>29</v>
      </c>
      <c r="F64" s="152" t="s">
        <v>492</v>
      </c>
      <c r="G64" s="152" t="s">
        <v>493</v>
      </c>
      <c r="H64" s="245" t="s">
        <v>3</v>
      </c>
      <c r="I64" s="304" t="s">
        <v>29</v>
      </c>
      <c r="J64" s="152" t="s">
        <v>492</v>
      </c>
      <c r="K64" s="152" t="s">
        <v>493</v>
      </c>
      <c r="L64" s="245" t="s">
        <v>3</v>
      </c>
      <c r="M64" s="162" t="s">
        <v>29</v>
      </c>
    </row>
    <row r="65" spans="1:14" x14ac:dyDescent="0.2">
      <c r="A65" s="947"/>
      <c r="B65" s="156"/>
      <c r="C65" s="156"/>
      <c r="D65" s="246" t="s">
        <v>4</v>
      </c>
      <c r="E65" s="156" t="s">
        <v>30</v>
      </c>
      <c r="F65" s="161"/>
      <c r="G65" s="161"/>
      <c r="H65" s="245" t="s">
        <v>4</v>
      </c>
      <c r="I65" s="156" t="s">
        <v>30</v>
      </c>
      <c r="J65" s="161"/>
      <c r="K65" s="206"/>
      <c r="L65" s="156" t="s">
        <v>4</v>
      </c>
      <c r="M65" s="156" t="s">
        <v>30</v>
      </c>
    </row>
    <row r="66" spans="1:14" ht="15.75" x14ac:dyDescent="0.2">
      <c r="A66" s="14" t="s">
        <v>23</v>
      </c>
      <c r="B66" s="352">
        <v>940394</v>
      </c>
      <c r="C66" s="352">
        <v>915456</v>
      </c>
      <c r="D66" s="349">
        <f t="shared" ref="D66:D111" si="14">IF(B66=0, "    ---- ", IF(ABS(ROUND(100/B66*C66-100,1))&lt;999,ROUND(100/B66*C66-100,1),IF(ROUND(100/B66*C66-100,1)&gt;999,999,-999)))</f>
        <v>-2.7</v>
      </c>
      <c r="E66" s="11">
        <f>IFERROR(100/'Skjema total MA'!C66*C66,0)</f>
        <v>10.392319805088833</v>
      </c>
      <c r="F66" s="351">
        <v>3635377.3399277199</v>
      </c>
      <c r="G66" s="351">
        <v>4175866.2740000002</v>
      </c>
      <c r="H66" s="349">
        <f t="shared" ref="H66:H111" si="15">IF(F66=0, "    ---- ", IF(ABS(ROUND(100/F66*G66-100,1))&lt;999,ROUND(100/F66*G66-100,1),IF(ROUND(100/F66*G66-100,1)&gt;999,999,-999)))</f>
        <v>14.9</v>
      </c>
      <c r="I66" s="11">
        <f>IFERROR(100/'Skjema total MA'!F66*G66,0)</f>
        <v>12.932538165169724</v>
      </c>
      <c r="J66" s="308">
        <f t="shared" ref="J66:K86" si="16">SUM(B66,F66)</f>
        <v>4575771.3399277199</v>
      </c>
      <c r="K66" s="315">
        <f t="shared" si="16"/>
        <v>5091322.2740000002</v>
      </c>
      <c r="L66" s="373">
        <f t="shared" ref="L66:L111" si="17">IF(J66=0, "    ---- ", IF(ABS(ROUND(100/J66*K66-100,1))&lt;999,ROUND(100/J66*K66-100,1),IF(ROUND(100/J66*K66-100,1)&gt;999,999,-999)))</f>
        <v>11.3</v>
      </c>
      <c r="M66" s="11">
        <f>IFERROR(100/'Skjema total MA'!I66*K66,0)</f>
        <v>12.388074090348381</v>
      </c>
    </row>
    <row r="67" spans="1:14" x14ac:dyDescent="0.2">
      <c r="A67" s="367" t="s">
        <v>9</v>
      </c>
      <c r="B67" s="44">
        <v>695384.24300000002</v>
      </c>
      <c r="C67" s="145">
        <v>683396.17791398603</v>
      </c>
      <c r="D67" s="166">
        <f t="shared" si="14"/>
        <v>-1.7</v>
      </c>
      <c r="E67" s="27">
        <f>IFERROR(100/'Skjema total MA'!C67*C67,0)</f>
        <v>10.300458609110107</v>
      </c>
      <c r="F67" s="234"/>
      <c r="G67" s="145"/>
      <c r="H67" s="166"/>
      <c r="I67" s="27"/>
      <c r="J67" s="286">
        <f t="shared" si="16"/>
        <v>695384.24300000002</v>
      </c>
      <c r="K67" s="44">
        <f t="shared" si="16"/>
        <v>683396.17791398603</v>
      </c>
      <c r="L67" s="254">
        <f t="shared" si="17"/>
        <v>-1.7</v>
      </c>
      <c r="M67" s="27">
        <f>IFERROR(100/'Skjema total MA'!I67*K67,0)</f>
        <v>10.300458609110107</v>
      </c>
    </row>
    <row r="68" spans="1:14" x14ac:dyDescent="0.2">
      <c r="A68" s="21" t="s">
        <v>10</v>
      </c>
      <c r="B68" s="291">
        <v>22138</v>
      </c>
      <c r="C68" s="292">
        <v>18017</v>
      </c>
      <c r="D68" s="166">
        <f t="shared" si="14"/>
        <v>-18.600000000000001</v>
      </c>
      <c r="E68" s="27">
        <f>IFERROR(100/'Skjema total MA'!C68*C68,0)</f>
        <v>12.340126993987267</v>
      </c>
      <c r="F68" s="291">
        <v>3635377.3399277199</v>
      </c>
      <c r="G68" s="292">
        <v>4175866.2740000002</v>
      </c>
      <c r="H68" s="166">
        <f t="shared" si="15"/>
        <v>14.9</v>
      </c>
      <c r="I68" s="27">
        <f>IFERROR(100/'Skjema total MA'!F68*G68,0)</f>
        <v>13.110224883075027</v>
      </c>
      <c r="J68" s="286">
        <f t="shared" si="16"/>
        <v>3657515.3399277199</v>
      </c>
      <c r="K68" s="44">
        <f t="shared" si="16"/>
        <v>4193883.2740000002</v>
      </c>
      <c r="L68" s="254">
        <f t="shared" si="17"/>
        <v>14.7</v>
      </c>
      <c r="M68" s="27">
        <f>IFERROR(100/'Skjema total MA'!I68*K68,0)</f>
        <v>13.106711009214642</v>
      </c>
    </row>
    <row r="69" spans="1:14" ht="15.75" x14ac:dyDescent="0.2">
      <c r="A69" s="295" t="s">
        <v>466</v>
      </c>
      <c r="B69" s="280">
        <v>15709</v>
      </c>
      <c r="C69" s="280">
        <v>12362</v>
      </c>
      <c r="D69" s="166">
        <f t="shared" ref="D69" si="18">IF(B69=0, "    ---- ", IF(ABS(ROUND(100/B69*C69-100,1))&lt;999,ROUND(100/B69*C69-100,1),IF(ROUND(100/B69*C69-100,1)&gt;999,999,-999)))</f>
        <v>-21.3</v>
      </c>
      <c r="E69" s="27">
        <f>IFERROR(100/'Skjema total MA'!C69*C69,0)</f>
        <v>100</v>
      </c>
      <c r="F69" s="280">
        <v>3899.8900000000003</v>
      </c>
      <c r="G69" s="280">
        <v>3938.8940000000025</v>
      </c>
      <c r="H69" s="166">
        <f t="shared" si="15"/>
        <v>1</v>
      </c>
      <c r="I69" s="365">
        <f>IFERROR(100/'Skjema total MA'!F69*G69,0)</f>
        <v>100</v>
      </c>
      <c r="J69" s="286">
        <f t="shared" si="16"/>
        <v>19608.89</v>
      </c>
      <c r="K69" s="44">
        <f t="shared" si="16"/>
        <v>16300.894000000002</v>
      </c>
      <c r="L69" s="254">
        <f t="shared" si="17"/>
        <v>-16.899999999999999</v>
      </c>
      <c r="M69" s="23">
        <f>IFERROR(100/'Skjema total MA'!I69*K69,0)</f>
        <v>100</v>
      </c>
    </row>
    <row r="70" spans="1:14" x14ac:dyDescent="0.2">
      <c r="A70" s="295" t="s">
        <v>12</v>
      </c>
      <c r="B70" s="293"/>
      <c r="C70" s="294"/>
      <c r="D70" s="166"/>
      <c r="E70" s="365"/>
      <c r="F70" s="280">
        <v>319.77999999999997</v>
      </c>
      <c r="G70" s="280">
        <v>10.2583379079623</v>
      </c>
      <c r="H70" s="166">
        <f t="shared" si="15"/>
        <v>-96.8</v>
      </c>
      <c r="I70" s="365">
        <f>IFERROR(100/'Skjema total MA'!F70*G70,0)</f>
        <v>100</v>
      </c>
      <c r="J70" s="286">
        <f t="shared" si="16"/>
        <v>319.77999999999997</v>
      </c>
      <c r="K70" s="44">
        <f t="shared" si="16"/>
        <v>10.2583379079623</v>
      </c>
      <c r="L70" s="254">
        <f t="shared" si="17"/>
        <v>-96.8</v>
      </c>
      <c r="M70" s="23">
        <f>IFERROR(100/'Skjema total MA'!I70*K70,0)</f>
        <v>100</v>
      </c>
    </row>
    <row r="71" spans="1:14" x14ac:dyDescent="0.2">
      <c r="A71" s="295" t="s">
        <v>13</v>
      </c>
      <c r="B71" s="235"/>
      <c r="C71" s="288"/>
      <c r="D71" s="166"/>
      <c r="E71" s="365"/>
      <c r="F71" s="280">
        <v>3580.11</v>
      </c>
      <c r="G71" s="280">
        <v>3928.6356620920401</v>
      </c>
      <c r="H71" s="166">
        <f t="shared" si="15"/>
        <v>9.6999999999999993</v>
      </c>
      <c r="I71" s="365">
        <f>IFERROR(100/'Skjema total MA'!F71*G71,0)</f>
        <v>100</v>
      </c>
      <c r="J71" s="286">
        <f t="shared" si="16"/>
        <v>3580.11</v>
      </c>
      <c r="K71" s="44">
        <f t="shared" si="16"/>
        <v>3928.6356620920401</v>
      </c>
      <c r="L71" s="254">
        <f t="shared" si="17"/>
        <v>9.6999999999999993</v>
      </c>
      <c r="M71" s="23">
        <f>IFERROR(100/'Skjema total MA'!I71*K71,0)</f>
        <v>100</v>
      </c>
    </row>
    <row r="72" spans="1:14" ht="15.75" x14ac:dyDescent="0.2">
      <c r="A72" s="295" t="s">
        <v>467</v>
      </c>
      <c r="B72" s="280">
        <v>6429</v>
      </c>
      <c r="C72" s="280">
        <v>5655</v>
      </c>
      <c r="D72" s="166">
        <f t="shared" ref="D72" si="19">IF(B72=0, "    ---- ", IF(ABS(ROUND(100/B72*C72-100,1))&lt;999,ROUND(100/B72*C72-100,1),IF(ROUND(100/B72*C72-100,1)&gt;999,999,-999)))</f>
        <v>-12</v>
      </c>
      <c r="E72" s="27">
        <f>IFERROR(100/'Skjema total MA'!C72*C72,0)</f>
        <v>4.2314744578629844</v>
      </c>
      <c r="F72" s="280">
        <v>3631477.4499277198</v>
      </c>
      <c r="G72" s="280">
        <v>4171927.3800000004</v>
      </c>
      <c r="H72" s="166">
        <f t="shared" si="15"/>
        <v>14.9</v>
      </c>
      <c r="I72" s="365">
        <f>IFERROR(100/'Skjema total MA'!F72*G72,0)</f>
        <v>13.099478551540955</v>
      </c>
      <c r="J72" s="286">
        <f t="shared" si="16"/>
        <v>3637906.4499277198</v>
      </c>
      <c r="K72" s="44">
        <f t="shared" si="16"/>
        <v>4177582.3800000004</v>
      </c>
      <c r="L72" s="254">
        <f t="shared" si="17"/>
        <v>14.8</v>
      </c>
      <c r="M72" s="23">
        <f>IFERROR(100/'Skjema total MA'!I72*K72,0)</f>
        <v>13.062421961186079</v>
      </c>
    </row>
    <row r="73" spans="1:14" x14ac:dyDescent="0.2">
      <c r="A73" s="295" t="s">
        <v>12</v>
      </c>
      <c r="B73" s="235"/>
      <c r="C73" s="288"/>
      <c r="D73" s="166"/>
      <c r="E73" s="365"/>
      <c r="F73" s="280">
        <v>297767.19</v>
      </c>
      <c r="G73" s="280">
        <v>10865.243083850401</v>
      </c>
      <c r="H73" s="166">
        <f t="shared" si="15"/>
        <v>-96.4</v>
      </c>
      <c r="I73" s="365">
        <f>IFERROR(100/'Skjema total MA'!F73*G73,0)</f>
        <v>100.00000000000001</v>
      </c>
      <c r="J73" s="286">
        <f t="shared" si="16"/>
        <v>297767.19</v>
      </c>
      <c r="K73" s="44">
        <f t="shared" si="16"/>
        <v>10865.243083850401</v>
      </c>
      <c r="L73" s="254">
        <f t="shared" si="17"/>
        <v>-96.4</v>
      </c>
      <c r="M73" s="23">
        <f>IFERROR(100/'Skjema total MA'!I73*K73,0)</f>
        <v>100.00000000000001</v>
      </c>
    </row>
    <row r="74" spans="1:14" s="3" customFormat="1" x14ac:dyDescent="0.2">
      <c r="A74" s="295" t="s">
        <v>13</v>
      </c>
      <c r="B74" s="235"/>
      <c r="C74" s="288"/>
      <c r="D74" s="166"/>
      <c r="E74" s="365"/>
      <c r="F74" s="280">
        <v>3333710.2599277198</v>
      </c>
      <c r="G74" s="280">
        <v>4161062.1369161499</v>
      </c>
      <c r="H74" s="166">
        <f t="shared" si="15"/>
        <v>24.8</v>
      </c>
      <c r="I74" s="365">
        <f>IFERROR(100/'Skjema total MA'!F74*G74,0)</f>
        <v>13.069821546826681</v>
      </c>
      <c r="J74" s="286">
        <f t="shared" si="16"/>
        <v>3333710.2599277198</v>
      </c>
      <c r="K74" s="44">
        <f t="shared" si="16"/>
        <v>4161062.1369161499</v>
      </c>
      <c r="L74" s="254">
        <f t="shared" si="17"/>
        <v>24.8</v>
      </c>
      <c r="M74" s="23">
        <f>IFERROR(100/'Skjema total MA'!I74*K74,0)</f>
        <v>13.069821546826681</v>
      </c>
      <c r="N74" s="148"/>
    </row>
    <row r="75" spans="1:14" s="3" customFormat="1" x14ac:dyDescent="0.2">
      <c r="A75" s="21" t="s">
        <v>353</v>
      </c>
      <c r="B75" s="234"/>
      <c r="C75" s="145"/>
      <c r="D75" s="166"/>
      <c r="E75" s="27"/>
      <c r="F75" s="234"/>
      <c r="G75" s="145"/>
      <c r="H75" s="166"/>
      <c r="I75" s="27"/>
      <c r="J75" s="286"/>
      <c r="K75" s="44"/>
      <c r="L75" s="254"/>
      <c r="M75" s="27"/>
      <c r="N75" s="148"/>
    </row>
    <row r="76" spans="1:14" s="3" customFormat="1" x14ac:dyDescent="0.2">
      <c r="A76" s="21" t="s">
        <v>352</v>
      </c>
      <c r="B76" s="234">
        <v>222871.75700000001</v>
      </c>
      <c r="C76" s="145">
        <v>214042.822086014</v>
      </c>
      <c r="D76" s="166">
        <f t="shared" ref="D76" si="20">IF(B76=0, "    ---- ", IF(ABS(ROUND(100/B76*C76-100,1))&lt;999,ROUND(100/B76*C76-100,1),IF(ROUND(100/B76*C76-100,1)&gt;999,999,-999)))</f>
        <v>-4</v>
      </c>
      <c r="E76" s="27">
        <f>IFERROR(100/'Skjema total MA'!C77*C76,0)</f>
        <v>3.2215673553269459</v>
      </c>
      <c r="F76" s="234"/>
      <c r="G76" s="145"/>
      <c r="H76" s="166"/>
      <c r="I76" s="27"/>
      <c r="J76" s="286">
        <f t="shared" ref="J76" si="21">SUM(B76,F76)</f>
        <v>222871.75700000001</v>
      </c>
      <c r="K76" s="44">
        <f t="shared" ref="K76" si="22">SUM(C76,G76)</f>
        <v>214042.822086014</v>
      </c>
      <c r="L76" s="254">
        <f t="shared" ref="L76" si="23">IF(J76=0, "    ---- ", IF(ABS(ROUND(100/J76*K76-100,1))&lt;999,ROUND(100/J76*K76-100,1),IF(ROUND(100/J76*K76-100,1)&gt;999,999,-999)))</f>
        <v>-4</v>
      </c>
      <c r="M76" s="27">
        <f>IFERROR(100/'Skjema total MA'!I77*K76,0)</f>
        <v>0.5562083194940165</v>
      </c>
      <c r="N76" s="148"/>
    </row>
    <row r="77" spans="1:14" ht="15.75" x14ac:dyDescent="0.2">
      <c r="A77" s="21" t="s">
        <v>468</v>
      </c>
      <c r="B77" s="234">
        <v>705091.19900000002</v>
      </c>
      <c r="C77" s="234">
        <v>690764.468913986</v>
      </c>
      <c r="D77" s="166">
        <f t="shared" si="14"/>
        <v>-2</v>
      </c>
      <c r="E77" s="27">
        <f>IFERROR(100/'Skjema total MA'!C77*C77,0)</f>
        <v>10.39672455065458</v>
      </c>
      <c r="F77" s="234">
        <v>3631477.4539999999</v>
      </c>
      <c r="G77" s="145">
        <v>4171927.3800000004</v>
      </c>
      <c r="H77" s="166">
        <f t="shared" si="15"/>
        <v>14.9</v>
      </c>
      <c r="I77" s="27">
        <f>IFERROR(100/'Skjema total MA'!F77*G77,0)</f>
        <v>13.103431702751772</v>
      </c>
      <c r="J77" s="286">
        <f t="shared" si="16"/>
        <v>4336568.6529999999</v>
      </c>
      <c r="K77" s="44">
        <f t="shared" si="16"/>
        <v>4862691.8489139862</v>
      </c>
      <c r="L77" s="254">
        <f t="shared" si="17"/>
        <v>12.1</v>
      </c>
      <c r="M77" s="27">
        <f>IFERROR(100/'Skjema total MA'!I77*K77,0)</f>
        <v>12.636114750976407</v>
      </c>
    </row>
    <row r="78" spans="1:14" x14ac:dyDescent="0.2">
      <c r="A78" s="21" t="s">
        <v>9</v>
      </c>
      <c r="B78" s="234">
        <v>686858.72</v>
      </c>
      <c r="C78" s="145">
        <v>676692.34191398602</v>
      </c>
      <c r="D78" s="166">
        <f t="shared" si="14"/>
        <v>-1.5</v>
      </c>
      <c r="E78" s="27">
        <f>IFERROR(100/'Skjema total MA'!C78*C78,0)</f>
        <v>10.407448982392392</v>
      </c>
      <c r="F78" s="234"/>
      <c r="G78" s="145"/>
      <c r="H78" s="166"/>
      <c r="I78" s="27"/>
      <c r="J78" s="286">
        <f t="shared" si="16"/>
        <v>686858.72</v>
      </c>
      <c r="K78" s="44">
        <f t="shared" si="16"/>
        <v>676692.34191398602</v>
      </c>
      <c r="L78" s="254">
        <f t="shared" si="17"/>
        <v>-1.5</v>
      </c>
      <c r="M78" s="27">
        <f>IFERROR(100/'Skjema total MA'!I78*K78,0)</f>
        <v>10.407448982392392</v>
      </c>
    </row>
    <row r="79" spans="1:14" x14ac:dyDescent="0.2">
      <c r="A79" s="21" t="s">
        <v>10</v>
      </c>
      <c r="B79" s="291">
        <v>18232.478999999999</v>
      </c>
      <c r="C79" s="292">
        <v>14072.127</v>
      </c>
      <c r="D79" s="166">
        <f t="shared" si="14"/>
        <v>-22.8</v>
      </c>
      <c r="E79" s="27">
        <f>IFERROR(100/'Skjema total MA'!C79*C79,0)</f>
        <v>9.9058685819304699</v>
      </c>
      <c r="F79" s="291">
        <v>3631477.4539999999</v>
      </c>
      <c r="G79" s="292">
        <v>4171927.3800000004</v>
      </c>
      <c r="H79" s="166">
        <f t="shared" si="15"/>
        <v>14.9</v>
      </c>
      <c r="I79" s="27">
        <f>IFERROR(100/'Skjema total MA'!F79*G79,0)</f>
        <v>13.103431702751772</v>
      </c>
      <c r="J79" s="286">
        <f t="shared" si="16"/>
        <v>3649709.9329999997</v>
      </c>
      <c r="K79" s="44">
        <f t="shared" si="16"/>
        <v>4185999.5070000002</v>
      </c>
      <c r="L79" s="254">
        <f t="shared" si="17"/>
        <v>14.7</v>
      </c>
      <c r="M79" s="27">
        <f>IFERROR(100/'Skjema total MA'!I79*K79,0)</f>
        <v>13.089228013228754</v>
      </c>
    </row>
    <row r="80" spans="1:14" ht="15.75" x14ac:dyDescent="0.2">
      <c r="A80" s="295" t="s">
        <v>466</v>
      </c>
      <c r="B80" s="280"/>
      <c r="C80" s="280"/>
      <c r="D80" s="166"/>
      <c r="E80" s="365"/>
      <c r="F80" s="280"/>
      <c r="G80" s="280"/>
      <c r="H80" s="166"/>
      <c r="I80" s="365"/>
      <c r="J80" s="289"/>
      <c r="K80" s="289"/>
      <c r="L80" s="166"/>
      <c r="M80" s="23"/>
    </row>
    <row r="81" spans="1:13" x14ac:dyDescent="0.2">
      <c r="A81" s="295" t="s">
        <v>12</v>
      </c>
      <c r="B81" s="235"/>
      <c r="C81" s="288"/>
      <c r="D81" s="166"/>
      <c r="E81" s="365"/>
      <c r="F81" s="280"/>
      <c r="G81" s="280"/>
      <c r="H81" s="166"/>
      <c r="I81" s="365"/>
      <c r="J81" s="289"/>
      <c r="K81" s="289"/>
      <c r="L81" s="166"/>
      <c r="M81" s="23"/>
    </row>
    <row r="82" spans="1:13" x14ac:dyDescent="0.2">
      <c r="A82" s="295" t="s">
        <v>13</v>
      </c>
      <c r="B82" s="235"/>
      <c r="C82" s="288"/>
      <c r="D82" s="166"/>
      <c r="E82" s="365"/>
      <c r="F82" s="280"/>
      <c r="G82" s="280"/>
      <c r="H82" s="166"/>
      <c r="I82" s="365"/>
      <c r="J82" s="289"/>
      <c r="K82" s="289"/>
      <c r="L82" s="166"/>
      <c r="M82" s="23"/>
    </row>
    <row r="83" spans="1:13" ht="15.75" x14ac:dyDescent="0.2">
      <c r="A83" s="295" t="s">
        <v>467</v>
      </c>
      <c r="B83" s="280">
        <v>18232.478999999999</v>
      </c>
      <c r="C83" s="280">
        <v>14072.127</v>
      </c>
      <c r="D83" s="166">
        <f t="shared" ref="D83" si="24">IF(B83=0, "    ---- ", IF(ABS(ROUND(100/B83*C83-100,1))&lt;999,ROUND(100/B83*C83-100,1),IF(ROUND(100/B83*C83-100,1)&gt;999,999,-999)))</f>
        <v>-22.8</v>
      </c>
      <c r="E83" s="27">
        <f>IFERROR(100/'Skjema total MA'!C83*C83,0)</f>
        <v>9.9058685819304699</v>
      </c>
      <c r="F83" s="280">
        <v>3631477.4539999999</v>
      </c>
      <c r="G83" s="280">
        <v>4171927.3800000004</v>
      </c>
      <c r="H83" s="166">
        <f t="shared" si="15"/>
        <v>14.9</v>
      </c>
      <c r="I83" s="365">
        <f>IFERROR(100/'Skjema total MA'!F83*G83,0)</f>
        <v>13.103431702751772</v>
      </c>
      <c r="J83" s="286">
        <f t="shared" ref="J83:J85" si="25">SUM(B83,F83)</f>
        <v>3649709.9329999997</v>
      </c>
      <c r="K83" s="44">
        <f t="shared" ref="K83:K85" si="26">SUM(C83,G83)</f>
        <v>4185999.5070000002</v>
      </c>
      <c r="L83" s="254">
        <f t="shared" ref="L83:L85" si="27">IF(J83=0, "    ---- ", IF(ABS(ROUND(100/J83*K83-100,1))&lt;999,ROUND(100/J83*K83-100,1),IF(ROUND(100/J83*K83-100,1)&gt;999,999,-999)))</f>
        <v>14.7</v>
      </c>
      <c r="M83" s="23">
        <f>IFERROR(100/'Skjema total MA'!I83*K83,0)</f>
        <v>13.089228013228754</v>
      </c>
    </row>
    <row r="84" spans="1:13" x14ac:dyDescent="0.2">
      <c r="A84" s="295" t="s">
        <v>12</v>
      </c>
      <c r="B84" s="235"/>
      <c r="C84" s="288"/>
      <c r="D84" s="166"/>
      <c r="E84" s="365"/>
      <c r="F84" s="280">
        <v>297767.19407228002</v>
      </c>
      <c r="G84" s="280">
        <v>10865.243083850401</v>
      </c>
      <c r="H84" s="166">
        <f t="shared" si="15"/>
        <v>-96.4</v>
      </c>
      <c r="I84" s="365">
        <f>IFERROR(100/'Skjema total MA'!F84*G84,0)</f>
        <v>100.00000000000001</v>
      </c>
      <c r="J84" s="286">
        <f t="shared" si="25"/>
        <v>297767.19407228002</v>
      </c>
      <c r="K84" s="44">
        <f t="shared" si="26"/>
        <v>10865.243083850401</v>
      </c>
      <c r="L84" s="254">
        <f t="shared" si="27"/>
        <v>-96.4</v>
      </c>
      <c r="M84" s="23">
        <f>IFERROR(100/'Skjema total MA'!I84*K84,0)</f>
        <v>100.00000000000001</v>
      </c>
    </row>
    <row r="85" spans="1:13" x14ac:dyDescent="0.2">
      <c r="A85" s="295" t="s">
        <v>13</v>
      </c>
      <c r="B85" s="235"/>
      <c r="C85" s="288"/>
      <c r="D85" s="166"/>
      <c r="E85" s="365"/>
      <c r="F85" s="280">
        <v>3333710.2599277198</v>
      </c>
      <c r="G85" s="280">
        <v>4161062.1369161499</v>
      </c>
      <c r="H85" s="166">
        <f t="shared" si="15"/>
        <v>24.8</v>
      </c>
      <c r="I85" s="365">
        <f>IFERROR(100/'Skjema total MA'!F85*G85,0)</f>
        <v>13.073767094632949</v>
      </c>
      <c r="J85" s="286">
        <f t="shared" si="25"/>
        <v>3333710.2599277198</v>
      </c>
      <c r="K85" s="44">
        <f t="shared" si="26"/>
        <v>4161062.1369161499</v>
      </c>
      <c r="L85" s="254">
        <f t="shared" si="27"/>
        <v>24.8</v>
      </c>
      <c r="M85" s="23">
        <f>IFERROR(100/'Skjema total MA'!I85*K85,0)</f>
        <v>13.073767094632949</v>
      </c>
    </row>
    <row r="86" spans="1:13" ht="15.75" x14ac:dyDescent="0.2">
      <c r="A86" s="21" t="s">
        <v>469</v>
      </c>
      <c r="B86" s="234">
        <v>12431.044</v>
      </c>
      <c r="C86" s="145">
        <v>10648.709000000001</v>
      </c>
      <c r="D86" s="166">
        <f t="shared" si="14"/>
        <v>-14.3</v>
      </c>
      <c r="E86" s="27">
        <f>IFERROR(100/'Skjema total MA'!C86*C86,0)</f>
        <v>7.7976115868601035</v>
      </c>
      <c r="F86" s="234">
        <v>3899.8879999999999</v>
      </c>
      <c r="G86" s="145">
        <v>3938.8939999999998</v>
      </c>
      <c r="H86" s="166">
        <f t="shared" si="15"/>
        <v>1</v>
      </c>
      <c r="I86" s="27">
        <f>IFERROR(100/'Skjema total MA'!F86*G86,0)</f>
        <v>29.074534943675626</v>
      </c>
      <c r="J86" s="286">
        <f t="shared" si="16"/>
        <v>16330.932000000001</v>
      </c>
      <c r="K86" s="44">
        <f t="shared" si="16"/>
        <v>14587.603000000001</v>
      </c>
      <c r="L86" s="254">
        <f t="shared" si="17"/>
        <v>-10.7</v>
      </c>
      <c r="M86" s="27">
        <f>IFERROR(100/'Skjema total MA'!I86*K86,0)</f>
        <v>9.717857981707807</v>
      </c>
    </row>
    <row r="87" spans="1:13" ht="15.75" x14ac:dyDescent="0.2">
      <c r="A87" s="13" t="s">
        <v>451</v>
      </c>
      <c r="B87" s="352">
        <v>45319479.785622202</v>
      </c>
      <c r="C87" s="352">
        <v>47006042.648000002</v>
      </c>
      <c r="D87" s="171">
        <f t="shared" si="14"/>
        <v>3.7</v>
      </c>
      <c r="E87" s="11">
        <f>IFERROR(100/'Skjema total MA'!C87*C87,0)</f>
        <v>11.990576653037897</v>
      </c>
      <c r="F87" s="351">
        <v>32133848.854715649</v>
      </c>
      <c r="G87" s="351">
        <v>41490894.208999999</v>
      </c>
      <c r="H87" s="171">
        <f t="shared" si="15"/>
        <v>29.1</v>
      </c>
      <c r="I87" s="11">
        <f>IFERROR(100/'Skjema total MA'!F87*G87,0)</f>
        <v>13.188902127902917</v>
      </c>
      <c r="J87" s="308">
        <f t="shared" ref="J87:K111" si="28">SUM(B87,F87)</f>
        <v>77453328.640337855</v>
      </c>
      <c r="K87" s="236">
        <f t="shared" si="28"/>
        <v>88496936.856999993</v>
      </c>
      <c r="L87" s="373">
        <f t="shared" si="17"/>
        <v>14.3</v>
      </c>
      <c r="M87" s="11">
        <f>IFERROR(100/'Skjema total MA'!I87*K87,0)</f>
        <v>12.524079213900574</v>
      </c>
    </row>
    <row r="88" spans="1:13" x14ac:dyDescent="0.2">
      <c r="A88" s="21" t="s">
        <v>9</v>
      </c>
      <c r="B88" s="234">
        <v>44137553.0236222</v>
      </c>
      <c r="C88" s="145">
        <v>45674890</v>
      </c>
      <c r="D88" s="166">
        <f t="shared" si="14"/>
        <v>3.5</v>
      </c>
      <c r="E88" s="27">
        <f>IFERROR(100/'Skjema total MA'!C88*C88,0)</f>
        <v>11.949104208217545</v>
      </c>
      <c r="F88" s="234"/>
      <c r="G88" s="145"/>
      <c r="H88" s="166"/>
      <c r="I88" s="27"/>
      <c r="J88" s="286">
        <f t="shared" si="28"/>
        <v>44137553.0236222</v>
      </c>
      <c r="K88" s="44">
        <f t="shared" si="28"/>
        <v>45674890</v>
      </c>
      <c r="L88" s="254">
        <f t="shared" si="17"/>
        <v>3.5</v>
      </c>
      <c r="M88" s="27">
        <f>IFERROR(100/'Skjema total MA'!I88*K88,0)</f>
        <v>11.949104208217545</v>
      </c>
    </row>
    <row r="89" spans="1:13" x14ac:dyDescent="0.2">
      <c r="A89" s="21" t="s">
        <v>10</v>
      </c>
      <c r="B89" s="234">
        <v>1061688.3899999999</v>
      </c>
      <c r="C89" s="145">
        <v>1148304</v>
      </c>
      <c r="D89" s="166">
        <f t="shared" si="14"/>
        <v>8.1999999999999993</v>
      </c>
      <c r="E89" s="27">
        <f>IFERROR(100/'Skjema total MA'!C89*C89,0)</f>
        <v>38.488197504386783</v>
      </c>
      <c r="F89" s="234">
        <v>32133848.854715649</v>
      </c>
      <c r="G89" s="145">
        <v>41490894.208999999</v>
      </c>
      <c r="H89" s="166">
        <f t="shared" si="15"/>
        <v>29.1</v>
      </c>
      <c r="I89" s="27">
        <f>IFERROR(100/'Skjema total MA'!F89*G89,0)</f>
        <v>13.255382064749854</v>
      </c>
      <c r="J89" s="286">
        <f t="shared" si="28"/>
        <v>33195537.24471565</v>
      </c>
      <c r="K89" s="44">
        <f t="shared" si="28"/>
        <v>42639198.208999999</v>
      </c>
      <c r="L89" s="254">
        <f t="shared" si="17"/>
        <v>28.4</v>
      </c>
      <c r="M89" s="27">
        <f>IFERROR(100/'Skjema total MA'!I89*K89,0)</f>
        <v>13.493621980077851</v>
      </c>
    </row>
    <row r="90" spans="1:13" ht="15.75" x14ac:dyDescent="0.2">
      <c r="A90" s="295" t="s">
        <v>466</v>
      </c>
      <c r="B90" s="280"/>
      <c r="C90" s="280"/>
      <c r="D90" s="166"/>
      <c r="E90" s="365"/>
      <c r="F90" s="280">
        <v>20800.458999999963</v>
      </c>
      <c r="G90" s="280">
        <v>12984.904</v>
      </c>
      <c r="H90" s="166">
        <f t="shared" si="15"/>
        <v>-37.6</v>
      </c>
      <c r="I90" s="365">
        <f>IFERROR(100/'Skjema total MA'!F90*G90,0)</f>
        <v>10.593372420678305</v>
      </c>
      <c r="J90" s="286">
        <f t="shared" si="28"/>
        <v>20800.458999999963</v>
      </c>
      <c r="K90" s="44">
        <f t="shared" si="28"/>
        <v>12984.904</v>
      </c>
      <c r="L90" s="254">
        <f t="shared" si="17"/>
        <v>-37.6</v>
      </c>
      <c r="M90" s="23">
        <f>IFERROR(100/'Skjema total MA'!I90*K90,0)</f>
        <v>10.593372420678305</v>
      </c>
    </row>
    <row r="91" spans="1:13" x14ac:dyDescent="0.2">
      <c r="A91" s="295" t="s">
        <v>12</v>
      </c>
      <c r="B91" s="235"/>
      <c r="C91" s="288"/>
      <c r="D91" s="166"/>
      <c r="E91" s="365"/>
      <c r="F91" s="280">
        <v>524.28477846126395</v>
      </c>
      <c r="G91" s="280">
        <v>0</v>
      </c>
      <c r="H91" s="166">
        <f t="shared" si="15"/>
        <v>-100</v>
      </c>
      <c r="I91" s="365">
        <f>IFERROR(100/'Skjema total MA'!F91*G91,0)</f>
        <v>0</v>
      </c>
      <c r="J91" s="286">
        <f t="shared" si="28"/>
        <v>524.28477846126395</v>
      </c>
      <c r="K91" s="44">
        <f t="shared" si="28"/>
        <v>0</v>
      </c>
      <c r="L91" s="254">
        <f t="shared" si="17"/>
        <v>-100</v>
      </c>
      <c r="M91" s="23">
        <f>IFERROR(100/'Skjema total MA'!I91*K91,0)</f>
        <v>0</v>
      </c>
    </row>
    <row r="92" spans="1:13" x14ac:dyDescent="0.2">
      <c r="A92" s="295" t="s">
        <v>13</v>
      </c>
      <c r="B92" s="235"/>
      <c r="C92" s="288"/>
      <c r="D92" s="166"/>
      <c r="E92" s="365"/>
      <c r="F92" s="280">
        <v>20276.174221538698</v>
      </c>
      <c r="G92" s="280">
        <v>12984.904</v>
      </c>
      <c r="H92" s="166">
        <f t="shared" si="15"/>
        <v>-36</v>
      </c>
      <c r="I92" s="365">
        <f>IFERROR(100/'Skjema total MA'!F92*G92,0)</f>
        <v>100</v>
      </c>
      <c r="J92" s="286">
        <f t="shared" si="28"/>
        <v>20276.174221538698</v>
      </c>
      <c r="K92" s="44">
        <f t="shared" si="28"/>
        <v>12984.904</v>
      </c>
      <c r="L92" s="254">
        <f t="shared" si="17"/>
        <v>-36</v>
      </c>
      <c r="M92" s="23">
        <f>IFERROR(100/'Skjema total MA'!I92*K92,0)</f>
        <v>100</v>
      </c>
    </row>
    <row r="93" spans="1:13" ht="15.75" x14ac:dyDescent="0.2">
      <c r="A93" s="295" t="s">
        <v>467</v>
      </c>
      <c r="B93" s="280">
        <v>1061688.3899999999</v>
      </c>
      <c r="C93" s="280">
        <v>1148304</v>
      </c>
      <c r="D93" s="166">
        <f t="shared" ref="D93" si="29">IF(B93=0, "    ---- ", IF(ABS(ROUND(100/B93*C93-100,1))&lt;999,ROUND(100/B93*C93-100,1),IF(ROUND(100/B93*C93-100,1)&gt;999,999,-999)))</f>
        <v>8.1999999999999993</v>
      </c>
      <c r="E93" s="27">
        <f>IFERROR(100/'Skjema total MA'!C93*C93,0)</f>
        <v>38.488197504386783</v>
      </c>
      <c r="F93" s="280">
        <v>32113048.39571565</v>
      </c>
      <c r="G93" s="280">
        <v>41477909.305</v>
      </c>
      <c r="H93" s="166">
        <f t="shared" si="15"/>
        <v>29.2</v>
      </c>
      <c r="I93" s="365">
        <f>IFERROR(100/'Skjema total MA'!F93*G93,0)</f>
        <v>13.256424919169078</v>
      </c>
      <c r="J93" s="286">
        <f t="shared" ref="J93:J95" si="30">SUM(B93,F93)</f>
        <v>33174736.785715651</v>
      </c>
      <c r="K93" s="44">
        <f t="shared" ref="K93:K95" si="31">SUM(C93,G93)</f>
        <v>42626213.305</v>
      </c>
      <c r="L93" s="254">
        <f t="shared" ref="L93:L95" si="32">IF(J93=0, "    ---- ", IF(ABS(ROUND(100/J93*K93-100,1))&lt;999,ROUND(100/J93*K93-100,1),IF(ROUND(100/J93*K93-100,1)&gt;999,999,-999)))</f>
        <v>28.5</v>
      </c>
      <c r="M93" s="23">
        <f>IFERROR(100/'Skjema total MA'!I93*K93,0)</f>
        <v>13.494747434414498</v>
      </c>
    </row>
    <row r="94" spans="1:13" x14ac:dyDescent="0.2">
      <c r="A94" s="295" t="s">
        <v>12</v>
      </c>
      <c r="B94" s="235"/>
      <c r="C94" s="288"/>
      <c r="D94" s="166"/>
      <c r="E94" s="365"/>
      <c r="F94" s="280">
        <v>2633146.5457308502</v>
      </c>
      <c r="G94" s="280">
        <v>108023.828355498</v>
      </c>
      <c r="H94" s="166">
        <f t="shared" si="15"/>
        <v>-95.9</v>
      </c>
      <c r="I94" s="365">
        <f>IFERROR(100/'Skjema total MA'!F94*G94,0)</f>
        <v>14.06736421497417</v>
      </c>
      <c r="J94" s="286">
        <f t="shared" si="30"/>
        <v>2633146.5457308502</v>
      </c>
      <c r="K94" s="44">
        <f t="shared" si="31"/>
        <v>108023.828355498</v>
      </c>
      <c r="L94" s="254">
        <f t="shared" si="32"/>
        <v>-95.9</v>
      </c>
      <c r="M94" s="23">
        <f>IFERROR(100/'Skjema total MA'!I94*K94,0)</f>
        <v>14.06736421497417</v>
      </c>
    </row>
    <row r="95" spans="1:13" x14ac:dyDescent="0.2">
      <c r="A95" s="295" t="s">
        <v>13</v>
      </c>
      <c r="B95" s="235"/>
      <c r="C95" s="288"/>
      <c r="D95" s="166"/>
      <c r="E95" s="365"/>
      <c r="F95" s="280">
        <v>29479901.849984799</v>
      </c>
      <c r="G95" s="280">
        <v>41369885.476644501</v>
      </c>
      <c r="H95" s="166">
        <f t="shared" si="15"/>
        <v>40.299999999999997</v>
      </c>
      <c r="I95" s="365">
        <f>IFERROR(100/'Skjema total MA'!F95*G95,0)</f>
        <v>13.254429785909407</v>
      </c>
      <c r="J95" s="286">
        <f t="shared" si="30"/>
        <v>29479901.849984799</v>
      </c>
      <c r="K95" s="44">
        <f t="shared" si="31"/>
        <v>41369885.476644501</v>
      </c>
      <c r="L95" s="254">
        <f t="shared" si="32"/>
        <v>40.299999999999997</v>
      </c>
      <c r="M95" s="23">
        <f>IFERROR(100/'Skjema total MA'!I95*K95,0)</f>
        <v>13.254429785909407</v>
      </c>
    </row>
    <row r="96" spans="1:13" x14ac:dyDescent="0.2">
      <c r="A96" s="21" t="s">
        <v>351</v>
      </c>
      <c r="B96" s="234"/>
      <c r="C96" s="145"/>
      <c r="D96" s="166"/>
      <c r="E96" s="27"/>
      <c r="F96" s="234"/>
      <c r="G96" s="145"/>
      <c r="H96" s="166"/>
      <c r="I96" s="27"/>
      <c r="J96" s="286"/>
      <c r="K96" s="44"/>
      <c r="L96" s="254"/>
      <c r="M96" s="27"/>
    </row>
    <row r="97" spans="1:13" x14ac:dyDescent="0.2">
      <c r="A97" s="21" t="s">
        <v>350</v>
      </c>
      <c r="B97" s="234">
        <v>120238.372</v>
      </c>
      <c r="C97" s="145">
        <v>182848.64799999999</v>
      </c>
      <c r="D97" s="166">
        <f t="shared" ref="D97" si="33">IF(B97=0, "    ---- ", IF(ABS(ROUND(100/B97*C97-100,1))&lt;999,ROUND(100/B97*C97-100,1),IF(ROUND(100/B97*C97-100,1)&gt;999,999,-999)))</f>
        <v>52.1</v>
      </c>
      <c r="E97" s="27">
        <f>IFERROR(100/'Skjema total MA'!C98*C97,0)</f>
        <v>4.8037832397672134E-2</v>
      </c>
      <c r="F97" s="234"/>
      <c r="G97" s="145"/>
      <c r="H97" s="166"/>
      <c r="I97" s="27"/>
      <c r="J97" s="286">
        <f t="shared" ref="J97" si="34">SUM(B97,F97)</f>
        <v>120238.372</v>
      </c>
      <c r="K97" s="44">
        <f t="shared" ref="K97" si="35">SUM(C97,G97)</f>
        <v>182848.64799999999</v>
      </c>
      <c r="L97" s="254">
        <f t="shared" ref="L97" si="36">IF(J97=0, "    ---- ", IF(ABS(ROUND(100/J97*K97-100,1))&lt;999,ROUND(100/J97*K97-100,1),IF(ROUND(100/J97*K97-100,1)&gt;999,999,-999)))</f>
        <v>52.1</v>
      </c>
      <c r="M97" s="27">
        <f>IFERROR(100/'Skjema total MA'!I98*K97,0)</f>
        <v>2.6394040205815143E-2</v>
      </c>
    </row>
    <row r="98" spans="1:13" ht="15.75" x14ac:dyDescent="0.2">
      <c r="A98" s="21" t="s">
        <v>468</v>
      </c>
      <c r="B98" s="234">
        <v>45183165.923622198</v>
      </c>
      <c r="C98" s="234">
        <v>46796833.184081599</v>
      </c>
      <c r="D98" s="166">
        <f t="shared" si="14"/>
        <v>3.6</v>
      </c>
      <c r="E98" s="27">
        <f>IFERROR(100/'Skjema total MA'!C98*C98,0)</f>
        <v>12.294421937638464</v>
      </c>
      <c r="F98" s="291">
        <v>32113048.39571565</v>
      </c>
      <c r="G98" s="291">
        <v>41477909.305</v>
      </c>
      <c r="H98" s="166">
        <f t="shared" si="15"/>
        <v>29.2</v>
      </c>
      <c r="I98" s="27">
        <f>IFERROR(100/'Skjema total MA'!F98*G98,0)</f>
        <v>13.288654962028918</v>
      </c>
      <c r="J98" s="286">
        <f t="shared" si="28"/>
        <v>77296214.319337845</v>
      </c>
      <c r="K98" s="44">
        <f t="shared" si="28"/>
        <v>88274742.489081591</v>
      </c>
      <c r="L98" s="254">
        <f t="shared" si="17"/>
        <v>14.2</v>
      </c>
      <c r="M98" s="27">
        <f>IFERROR(100/'Skjema total MA'!I98*K98,0)</f>
        <v>12.742380804559177</v>
      </c>
    </row>
    <row r="99" spans="1:13" x14ac:dyDescent="0.2">
      <c r="A99" s="21" t="s">
        <v>9</v>
      </c>
      <c r="B99" s="291">
        <v>44121477.533622198</v>
      </c>
      <c r="C99" s="292">
        <v>45648528.860081598</v>
      </c>
      <c r="D99" s="166">
        <f t="shared" si="14"/>
        <v>3.5</v>
      </c>
      <c r="E99" s="27">
        <f>IFERROR(100/'Skjema total MA'!C99*C99,0)</f>
        <v>12.087485604533899</v>
      </c>
      <c r="F99" s="234"/>
      <c r="G99" s="145"/>
      <c r="H99" s="166"/>
      <c r="I99" s="27"/>
      <c r="J99" s="286">
        <f t="shared" si="28"/>
        <v>44121477.533622198</v>
      </c>
      <c r="K99" s="44">
        <f t="shared" si="28"/>
        <v>45648528.860081598</v>
      </c>
      <c r="L99" s="254">
        <f t="shared" si="17"/>
        <v>3.5</v>
      </c>
      <c r="M99" s="27">
        <f>IFERROR(100/'Skjema total MA'!I99*K99,0)</f>
        <v>12.087485604533899</v>
      </c>
    </row>
    <row r="100" spans="1:13" x14ac:dyDescent="0.2">
      <c r="A100" s="21" t="s">
        <v>10</v>
      </c>
      <c r="B100" s="291">
        <v>1061688.3899999999</v>
      </c>
      <c r="C100" s="292">
        <v>1148304.324</v>
      </c>
      <c r="D100" s="166">
        <f t="shared" si="14"/>
        <v>8.1999999999999993</v>
      </c>
      <c r="E100" s="27">
        <f>IFERROR(100/'Skjema total MA'!C100*C100,0)</f>
        <v>38.488204184350622</v>
      </c>
      <c r="F100" s="234">
        <v>32113048.39571565</v>
      </c>
      <c r="G100" s="234">
        <v>41477909.305</v>
      </c>
      <c r="H100" s="166">
        <f t="shared" si="15"/>
        <v>29.2</v>
      </c>
      <c r="I100" s="27">
        <f>IFERROR(100/'Skjema total MA'!F100*G100,0)</f>
        <v>13.288654962028918</v>
      </c>
      <c r="J100" s="286">
        <f t="shared" si="28"/>
        <v>33174736.785715651</v>
      </c>
      <c r="K100" s="44">
        <f t="shared" si="28"/>
        <v>42626213.629000001</v>
      </c>
      <c r="L100" s="254">
        <f t="shared" si="17"/>
        <v>28.5</v>
      </c>
      <c r="M100" s="27">
        <f>IFERROR(100/'Skjema total MA'!I100*K100,0)</f>
        <v>13.527246351552529</v>
      </c>
    </row>
    <row r="101" spans="1:13" ht="15.75" x14ac:dyDescent="0.2">
      <c r="A101" s="295" t="s">
        <v>466</v>
      </c>
      <c r="B101" s="280"/>
      <c r="C101" s="280"/>
      <c r="D101" s="166"/>
      <c r="E101" s="365"/>
      <c r="F101" s="280"/>
      <c r="G101" s="280"/>
      <c r="H101" s="166"/>
      <c r="I101" s="365"/>
      <c r="J101" s="289"/>
      <c r="K101" s="289"/>
      <c r="L101" s="166"/>
      <c r="M101" s="23"/>
    </row>
    <row r="102" spans="1:13" x14ac:dyDescent="0.2">
      <c r="A102" s="295" t="s">
        <v>12</v>
      </c>
      <c r="B102" s="235"/>
      <c r="C102" s="288"/>
      <c r="D102" s="166"/>
      <c r="E102" s="365"/>
      <c r="F102" s="280"/>
      <c r="G102" s="280"/>
      <c r="H102" s="166"/>
      <c r="I102" s="365"/>
      <c r="J102" s="289"/>
      <c r="K102" s="289"/>
      <c r="L102" s="166"/>
      <c r="M102" s="23"/>
    </row>
    <row r="103" spans="1:13" x14ac:dyDescent="0.2">
      <c r="A103" s="295" t="s">
        <v>13</v>
      </c>
      <c r="B103" s="235"/>
      <c r="C103" s="288"/>
      <c r="D103" s="166"/>
      <c r="E103" s="365"/>
      <c r="F103" s="280"/>
      <c r="G103" s="280"/>
      <c r="H103" s="166"/>
      <c r="I103" s="365"/>
      <c r="J103" s="289"/>
      <c r="K103" s="289"/>
      <c r="L103" s="166"/>
      <c r="M103" s="23"/>
    </row>
    <row r="104" spans="1:13" ht="15.75" x14ac:dyDescent="0.2">
      <c r="A104" s="295" t="s">
        <v>467</v>
      </c>
      <c r="B104" s="280">
        <v>1061688.3899999999</v>
      </c>
      <c r="C104" s="280">
        <v>1148304.324</v>
      </c>
      <c r="D104" s="166">
        <f t="shared" ref="D104" si="37">IF(B104=0, "    ---- ", IF(ABS(ROUND(100/B104*C104-100,1))&lt;999,ROUND(100/B104*C104-100,1),IF(ROUND(100/B104*C104-100,1)&gt;999,999,-999)))</f>
        <v>8.1999999999999993</v>
      </c>
      <c r="E104" s="27">
        <f>IFERROR(100/'Skjema total MA'!C104*C104,0)</f>
        <v>38.488204184350622</v>
      </c>
      <c r="F104" s="280">
        <v>32113048.39571565</v>
      </c>
      <c r="G104" s="280">
        <v>41477909.305</v>
      </c>
      <c r="H104" s="166">
        <f t="shared" si="15"/>
        <v>29.2</v>
      </c>
      <c r="I104" s="365">
        <f>IFERROR(100/'Skjema total MA'!F104*G104,0)</f>
        <v>13.288654962028918</v>
      </c>
      <c r="J104" s="286">
        <f t="shared" ref="J104:J106" si="38">SUM(B104,F104)</f>
        <v>33174736.785715651</v>
      </c>
      <c r="K104" s="44">
        <f t="shared" ref="K104:K106" si="39">SUM(C104,G104)</f>
        <v>42626213.629000001</v>
      </c>
      <c r="L104" s="254">
        <f t="shared" ref="L104:L106" si="40">IF(J104=0, "    ---- ", IF(ABS(ROUND(100/J104*K104-100,1))&lt;999,ROUND(100/J104*K104-100,1),IF(ROUND(100/J104*K104-100,1)&gt;999,999,-999)))</f>
        <v>28.5</v>
      </c>
      <c r="M104" s="23">
        <f>IFERROR(100/'Skjema total MA'!I104*K104,0)</f>
        <v>13.527246351552529</v>
      </c>
    </row>
    <row r="105" spans="1:13" x14ac:dyDescent="0.2">
      <c r="A105" s="295" t="s">
        <v>12</v>
      </c>
      <c r="B105" s="235"/>
      <c r="C105" s="288"/>
      <c r="D105" s="166"/>
      <c r="E105" s="365"/>
      <c r="F105" s="280">
        <v>2633146.5457308502</v>
      </c>
      <c r="G105" s="280">
        <v>108023.828355498</v>
      </c>
      <c r="H105" s="166">
        <f t="shared" si="15"/>
        <v>-95.9</v>
      </c>
      <c r="I105" s="365">
        <f>IFERROR(100/'Skjema total MA'!F105*G105,0)</f>
        <v>100</v>
      </c>
      <c r="J105" s="286">
        <f t="shared" si="38"/>
        <v>2633146.5457308502</v>
      </c>
      <c r="K105" s="44">
        <f t="shared" si="39"/>
        <v>108023.828355498</v>
      </c>
      <c r="L105" s="254">
        <f t="shared" si="40"/>
        <v>-95.9</v>
      </c>
      <c r="M105" s="23">
        <f>IFERROR(100/'Skjema total MA'!I105*K105,0)</f>
        <v>100</v>
      </c>
    </row>
    <row r="106" spans="1:13" x14ac:dyDescent="0.2">
      <c r="A106" s="295" t="s">
        <v>13</v>
      </c>
      <c r="B106" s="235"/>
      <c r="C106" s="288"/>
      <c r="D106" s="166"/>
      <c r="E106" s="365"/>
      <c r="F106" s="280">
        <v>29479901.849984799</v>
      </c>
      <c r="G106" s="280">
        <v>41369885.476644501</v>
      </c>
      <c r="H106" s="166">
        <f t="shared" si="15"/>
        <v>40.299999999999997</v>
      </c>
      <c r="I106" s="365">
        <f>IFERROR(100/'Skjema total MA'!F106*G106,0)</f>
        <v>13.258635010673691</v>
      </c>
      <c r="J106" s="286">
        <f t="shared" si="38"/>
        <v>29479901.849984799</v>
      </c>
      <c r="K106" s="44">
        <f t="shared" si="39"/>
        <v>41369885.476644501</v>
      </c>
      <c r="L106" s="254">
        <f t="shared" si="40"/>
        <v>40.299999999999997</v>
      </c>
      <c r="M106" s="23">
        <f>IFERROR(100/'Skjema total MA'!I106*K106,0)</f>
        <v>13.258635010673691</v>
      </c>
    </row>
    <row r="107" spans="1:13" ht="15.75" x14ac:dyDescent="0.2">
      <c r="A107" s="21" t="s">
        <v>469</v>
      </c>
      <c r="B107" s="234">
        <v>16075.49</v>
      </c>
      <c r="C107" s="145">
        <v>26360.73</v>
      </c>
      <c r="D107" s="166">
        <f t="shared" si="14"/>
        <v>64</v>
      </c>
      <c r="E107" s="27">
        <f>IFERROR(100/'Skjema total MA'!C107*C107,0)</f>
        <v>0.57378882014733412</v>
      </c>
      <c r="F107" s="234">
        <v>20800.458999999999</v>
      </c>
      <c r="G107" s="145">
        <v>12984.904</v>
      </c>
      <c r="H107" s="166">
        <f t="shared" si="15"/>
        <v>-37.6</v>
      </c>
      <c r="I107" s="27">
        <f>IFERROR(100/'Skjema total MA'!F107*G107,0)</f>
        <v>1.4731285742768458</v>
      </c>
      <c r="J107" s="286">
        <f t="shared" si="28"/>
        <v>36875.949000000001</v>
      </c>
      <c r="K107" s="44">
        <f t="shared" si="28"/>
        <v>39345.633999999998</v>
      </c>
      <c r="L107" s="254">
        <f t="shared" si="17"/>
        <v>6.7</v>
      </c>
      <c r="M107" s="27">
        <f>IFERROR(100/'Skjema total MA'!I107*K107,0)</f>
        <v>0.71856261201694738</v>
      </c>
    </row>
    <row r="108" spans="1:13" ht="15.75" x14ac:dyDescent="0.2">
      <c r="A108" s="21" t="s">
        <v>470</v>
      </c>
      <c r="B108" s="234">
        <v>34758516.609994002</v>
      </c>
      <c r="C108" s="234">
        <v>35746757.746002004</v>
      </c>
      <c r="D108" s="166">
        <f t="shared" si="14"/>
        <v>2.8</v>
      </c>
      <c r="E108" s="27">
        <f>IFERROR(100/'Skjema total MA'!C108*C108,0)</f>
        <v>11.253376174157848</v>
      </c>
      <c r="F108" s="234"/>
      <c r="G108" s="234"/>
      <c r="H108" s="166"/>
      <c r="I108" s="27"/>
      <c r="J108" s="286">
        <f t="shared" si="28"/>
        <v>34758516.609994002</v>
      </c>
      <c r="K108" s="44">
        <f t="shared" si="28"/>
        <v>35746757.746002004</v>
      </c>
      <c r="L108" s="254">
        <f t="shared" si="17"/>
        <v>2.8</v>
      </c>
      <c r="M108" s="27">
        <f>IFERROR(100/'Skjema total MA'!I108*K108,0)</f>
        <v>10.678241754034886</v>
      </c>
    </row>
    <row r="109" spans="1:13" ht="15.75" x14ac:dyDescent="0.2">
      <c r="A109" s="21" t="s">
        <v>471</v>
      </c>
      <c r="B109" s="234">
        <v>473791.04191715899</v>
      </c>
      <c r="C109" s="234">
        <v>506116.59461770201</v>
      </c>
      <c r="D109" s="166">
        <f t="shared" si="14"/>
        <v>6.8</v>
      </c>
      <c r="E109" s="27">
        <f>IFERROR(100/'Skjema total MA'!C109*C109,0)</f>
        <v>53.043826065771341</v>
      </c>
      <c r="F109" s="234">
        <v>13711786.726317</v>
      </c>
      <c r="G109" s="234">
        <v>17010221.502445899</v>
      </c>
      <c r="H109" s="166">
        <f t="shared" si="15"/>
        <v>24.1</v>
      </c>
      <c r="I109" s="27">
        <f>IFERROR(100/'Skjema total MA'!F109*G109,0)</f>
        <v>15.83305102991039</v>
      </c>
      <c r="J109" s="286">
        <f t="shared" si="28"/>
        <v>14185577.768234158</v>
      </c>
      <c r="K109" s="44">
        <f t="shared" si="28"/>
        <v>17516338.097063601</v>
      </c>
      <c r="L109" s="254">
        <f t="shared" si="17"/>
        <v>23.5</v>
      </c>
      <c r="M109" s="27">
        <f>IFERROR(100/'Skjema total MA'!I109*K109,0)</f>
        <v>16.160617224316361</v>
      </c>
    </row>
    <row r="110" spans="1:13" ht="15.75" x14ac:dyDescent="0.2">
      <c r="A110" s="21" t="s">
        <v>472</v>
      </c>
      <c r="B110" s="234"/>
      <c r="C110" s="234"/>
      <c r="D110" s="166"/>
      <c r="E110" s="27"/>
      <c r="F110" s="234"/>
      <c r="G110" s="234"/>
      <c r="H110" s="166"/>
      <c r="I110" s="27"/>
      <c r="J110" s="286"/>
      <c r="K110" s="44"/>
      <c r="L110" s="254"/>
      <c r="M110" s="27"/>
    </row>
    <row r="111" spans="1:13" ht="15.75" x14ac:dyDescent="0.2">
      <c r="A111" s="13" t="s">
        <v>452</v>
      </c>
      <c r="B111" s="307">
        <v>11838.325000000001</v>
      </c>
      <c r="C111" s="159">
        <v>301</v>
      </c>
      <c r="D111" s="171">
        <f t="shared" si="14"/>
        <v>-97.5</v>
      </c>
      <c r="E111" s="11">
        <f>IFERROR(100/'Skjema total MA'!C111*C111,0)</f>
        <v>6.315336987066246E-2</v>
      </c>
      <c r="F111" s="307">
        <v>2285949.7395100002</v>
      </c>
      <c r="G111" s="159">
        <v>2868806.122</v>
      </c>
      <c r="H111" s="171">
        <f t="shared" si="15"/>
        <v>25.5</v>
      </c>
      <c r="I111" s="11">
        <f>IFERROR(100/'Skjema total MA'!F111*G111,0)</f>
        <v>21.673076586483536</v>
      </c>
      <c r="J111" s="308">
        <f t="shared" si="28"/>
        <v>2297788.0645100004</v>
      </c>
      <c r="K111" s="236">
        <f t="shared" si="28"/>
        <v>2869107.122</v>
      </c>
      <c r="L111" s="373">
        <f t="shared" si="17"/>
        <v>24.9</v>
      </c>
      <c r="M111" s="11">
        <f>IFERROR(100/'Skjema total MA'!I111*K111,0)</f>
        <v>20.922007679122125</v>
      </c>
    </row>
    <row r="112" spans="1:13" x14ac:dyDescent="0.2">
      <c r="A112" s="21" t="s">
        <v>9</v>
      </c>
      <c r="B112" s="234">
        <v>11838.325000000001</v>
      </c>
      <c r="C112" s="145">
        <v>301</v>
      </c>
      <c r="D112" s="166">
        <f t="shared" ref="D112:D120" si="41">IF(B112=0, "    ---- ", IF(ABS(ROUND(100/B112*C112-100,1))&lt;999,ROUND(100/B112*C112-100,1),IF(ROUND(100/B112*C112-100,1)&gt;999,999,-999)))</f>
        <v>-97.5</v>
      </c>
      <c r="E112" s="27">
        <f>IFERROR(100/'Skjema total MA'!C112*C112,0)</f>
        <v>8.3280691057461512E-2</v>
      </c>
      <c r="F112" s="234"/>
      <c r="G112" s="145"/>
      <c r="H112" s="166"/>
      <c r="I112" s="27"/>
      <c r="J112" s="286">
        <f t="shared" ref="J112:K125" si="42">SUM(B112,F112)</f>
        <v>11838.325000000001</v>
      </c>
      <c r="K112" s="44">
        <f t="shared" si="42"/>
        <v>301</v>
      </c>
      <c r="L112" s="254">
        <f t="shared" ref="L112:L125" si="43">IF(J112=0, "    ---- ", IF(ABS(ROUND(100/J112*K112-100,1))&lt;999,ROUND(100/J112*K112-100,1),IF(ROUND(100/J112*K112-100,1)&gt;999,999,-999)))</f>
        <v>-97.5</v>
      </c>
      <c r="M112" s="27">
        <f>IFERROR(100/'Skjema total MA'!I112*K112,0)</f>
        <v>8.1922995420028441E-2</v>
      </c>
    </row>
    <row r="113" spans="1:14" x14ac:dyDescent="0.2">
      <c r="A113" s="21" t="s">
        <v>10</v>
      </c>
      <c r="B113" s="234"/>
      <c r="C113" s="145"/>
      <c r="D113" s="166"/>
      <c r="E113" s="27"/>
      <c r="F113" s="234">
        <v>2285949.7395100002</v>
      </c>
      <c r="G113" s="145">
        <v>2868806.122</v>
      </c>
      <c r="H113" s="166">
        <f t="shared" ref="H113:H125" si="44">IF(F113=0, "    ---- ", IF(ABS(ROUND(100/F113*G113-100,1))&lt;999,ROUND(100/F113*G113-100,1),IF(ROUND(100/F113*G113-100,1)&gt;999,999,-999)))</f>
        <v>25.5</v>
      </c>
      <c r="I113" s="27">
        <f>IFERROR(100/'Skjema total MA'!F113*G113,0)</f>
        <v>21.734597103689151</v>
      </c>
      <c r="J113" s="286">
        <f t="shared" si="42"/>
        <v>2285949.7395100002</v>
      </c>
      <c r="K113" s="44">
        <f t="shared" si="42"/>
        <v>2868806.122</v>
      </c>
      <c r="L113" s="254">
        <f t="shared" si="43"/>
        <v>25.5</v>
      </c>
      <c r="M113" s="27">
        <f>IFERROR(100/'Skjema total MA'!I113*K113,0)</f>
        <v>21.731695120489228</v>
      </c>
    </row>
    <row r="114" spans="1:14" x14ac:dyDescent="0.2">
      <c r="A114" s="21" t="s">
        <v>26</v>
      </c>
      <c r="B114" s="234"/>
      <c r="C114" s="145"/>
      <c r="D114" s="166"/>
      <c r="E114" s="27"/>
      <c r="F114" s="234"/>
      <c r="G114" s="145"/>
      <c r="H114" s="166"/>
      <c r="I114" s="27"/>
      <c r="J114" s="286"/>
      <c r="K114" s="44"/>
      <c r="L114" s="254"/>
      <c r="M114" s="27"/>
    </row>
    <row r="115" spans="1:14" x14ac:dyDescent="0.2">
      <c r="A115" s="295" t="s">
        <v>15</v>
      </c>
      <c r="B115" s="280">
        <v>2970.64</v>
      </c>
      <c r="C115" s="280">
        <v>41</v>
      </c>
      <c r="D115" s="166">
        <f t="shared" ref="D115" si="45">IF(B115=0, "    ---- ", IF(ABS(ROUND(100/B115*C115-100,1))&lt;999,ROUND(100/B115*C115-100,1),IF(ROUND(100/B115*C115-100,1)&gt;999,999,-999)))</f>
        <v>-98.6</v>
      </c>
      <c r="E115" s="27">
        <f>IFERROR(100/'Skjema total MA'!C115*C115,0)</f>
        <v>100</v>
      </c>
      <c r="F115" s="280"/>
      <c r="G115" s="280"/>
      <c r="H115" s="166"/>
      <c r="I115" s="365"/>
      <c r="J115" s="286">
        <f t="shared" ref="J115" si="46">SUM(B115,F115)</f>
        <v>2970.64</v>
      </c>
      <c r="K115" s="44">
        <f t="shared" ref="K115" si="47">SUM(C115,G115)</f>
        <v>41</v>
      </c>
      <c r="L115" s="254">
        <f t="shared" ref="L115" si="48">IF(J115=0, "    ---- ", IF(ABS(ROUND(100/J115*K115-100,1))&lt;999,ROUND(100/J115*K115-100,1),IF(ROUND(100/J115*K115-100,1)&gt;999,999,-999)))</f>
        <v>-98.6</v>
      </c>
      <c r="M115" s="23">
        <f>IFERROR(100/'Skjema total MA'!I115*K115,0)</f>
        <v>100</v>
      </c>
    </row>
    <row r="116" spans="1:14" ht="15.75" x14ac:dyDescent="0.2">
      <c r="A116" s="21" t="s">
        <v>473</v>
      </c>
      <c r="B116" s="234">
        <v>2970.6379999999999</v>
      </c>
      <c r="C116" s="234">
        <v>301</v>
      </c>
      <c r="D116" s="166">
        <f t="shared" si="41"/>
        <v>-89.9</v>
      </c>
      <c r="E116" s="27">
        <f>IFERROR(100/'Skjema total MA'!C116*C116,0)</f>
        <v>0.22797594263309659</v>
      </c>
      <c r="F116" s="234"/>
      <c r="G116" s="234"/>
      <c r="H116" s="166"/>
      <c r="I116" s="27"/>
      <c r="J116" s="286">
        <f t="shared" si="42"/>
        <v>2970.6379999999999</v>
      </c>
      <c r="K116" s="44">
        <f t="shared" si="42"/>
        <v>301</v>
      </c>
      <c r="L116" s="254">
        <f t="shared" si="43"/>
        <v>-89.9</v>
      </c>
      <c r="M116" s="27">
        <f>IFERROR(100/'Skjema total MA'!I116*K116,0)</f>
        <v>0.21808218017356587</v>
      </c>
    </row>
    <row r="117" spans="1:14" ht="15.75" x14ac:dyDescent="0.2">
      <c r="A117" s="21" t="s">
        <v>474</v>
      </c>
      <c r="B117" s="234"/>
      <c r="C117" s="234"/>
      <c r="D117" s="166"/>
      <c r="E117" s="27"/>
      <c r="F117" s="234">
        <v>234287.43900000001</v>
      </c>
      <c r="G117" s="234">
        <v>380710.95400000003</v>
      </c>
      <c r="H117" s="166">
        <f t="shared" si="44"/>
        <v>62.5</v>
      </c>
      <c r="I117" s="27">
        <f>IFERROR(100/'Skjema total MA'!F117*G117,0)</f>
        <v>12.147310044922843</v>
      </c>
      <c r="J117" s="286">
        <f t="shared" si="42"/>
        <v>234287.43900000001</v>
      </c>
      <c r="K117" s="44">
        <f t="shared" si="42"/>
        <v>380710.95400000003</v>
      </c>
      <c r="L117" s="254">
        <f t="shared" si="43"/>
        <v>62.5</v>
      </c>
      <c r="M117" s="27">
        <f>IFERROR(100/'Skjema total MA'!I117*K117,0)</f>
        <v>12.147310044922843</v>
      </c>
    </row>
    <row r="118" spans="1:14" ht="15.75" x14ac:dyDescent="0.2">
      <c r="A118" s="21" t="s">
        <v>472</v>
      </c>
      <c r="B118" s="234"/>
      <c r="C118" s="234"/>
      <c r="D118" s="166"/>
      <c r="E118" s="27"/>
      <c r="F118" s="234"/>
      <c r="G118" s="234"/>
      <c r="H118" s="166"/>
      <c r="I118" s="27"/>
      <c r="J118" s="286"/>
      <c r="K118" s="44"/>
      <c r="L118" s="254"/>
      <c r="M118" s="27"/>
    </row>
    <row r="119" spans="1:14" ht="15.75" x14ac:dyDescent="0.2">
      <c r="A119" s="13" t="s">
        <v>453</v>
      </c>
      <c r="B119" s="307">
        <v>152178.98306999999</v>
      </c>
      <c r="C119" s="159">
        <v>22071</v>
      </c>
      <c r="D119" s="171">
        <f t="shared" si="41"/>
        <v>-85.5</v>
      </c>
      <c r="E119" s="11">
        <f>IFERROR(100/'Skjema total MA'!C119*C119,0)</f>
        <v>4.4889328987685797</v>
      </c>
      <c r="F119" s="307">
        <v>3357332.38</v>
      </c>
      <c r="G119" s="159">
        <v>1825250.635</v>
      </c>
      <c r="H119" s="171">
        <f t="shared" si="44"/>
        <v>-45.6</v>
      </c>
      <c r="I119" s="11">
        <f>IFERROR(100/'Skjema total MA'!F119*G119,0)</f>
        <v>13.460314847514002</v>
      </c>
      <c r="J119" s="308">
        <f t="shared" si="42"/>
        <v>3509511.36307</v>
      </c>
      <c r="K119" s="236">
        <f t="shared" si="42"/>
        <v>1847321.635</v>
      </c>
      <c r="L119" s="373">
        <f t="shared" si="43"/>
        <v>-47.4</v>
      </c>
      <c r="M119" s="11">
        <f>IFERROR(100/'Skjema total MA'!I119*K119,0)</f>
        <v>13.146406556664635</v>
      </c>
    </row>
    <row r="120" spans="1:14" x14ac:dyDescent="0.2">
      <c r="A120" s="21" t="s">
        <v>9</v>
      </c>
      <c r="B120" s="234">
        <v>152178.98306999999</v>
      </c>
      <c r="C120" s="145">
        <v>22071</v>
      </c>
      <c r="D120" s="166">
        <f t="shared" si="41"/>
        <v>-85.5</v>
      </c>
      <c r="E120" s="27">
        <f>IFERROR(100/'Skjema total MA'!C120*C120,0)</f>
        <v>7.8251605325425535</v>
      </c>
      <c r="F120" s="234"/>
      <c r="G120" s="145"/>
      <c r="H120" s="166"/>
      <c r="I120" s="27"/>
      <c r="J120" s="286">
        <f t="shared" si="42"/>
        <v>152178.98306999999</v>
      </c>
      <c r="K120" s="44">
        <f t="shared" si="42"/>
        <v>22071</v>
      </c>
      <c r="L120" s="254">
        <f t="shared" si="43"/>
        <v>-85.5</v>
      </c>
      <c r="M120" s="27">
        <f>IFERROR(100/'Skjema total MA'!I120*K120,0)</f>
        <v>7.8251605325425535</v>
      </c>
    </row>
    <row r="121" spans="1:14" x14ac:dyDescent="0.2">
      <c r="A121" s="21" t="s">
        <v>10</v>
      </c>
      <c r="B121" s="234"/>
      <c r="C121" s="145"/>
      <c r="D121" s="166"/>
      <c r="E121" s="27"/>
      <c r="F121" s="234">
        <v>3357332.38</v>
      </c>
      <c r="G121" s="145">
        <v>1825250.635</v>
      </c>
      <c r="H121" s="166">
        <f t="shared" si="44"/>
        <v>-45.6</v>
      </c>
      <c r="I121" s="27">
        <f>IFERROR(100/'Skjema total MA'!F121*G121,0)</f>
        <v>13.460314847514002</v>
      </c>
      <c r="J121" s="286">
        <f t="shared" si="42"/>
        <v>3357332.38</v>
      </c>
      <c r="K121" s="44">
        <f t="shared" si="42"/>
        <v>1825250.635</v>
      </c>
      <c r="L121" s="254">
        <f t="shared" si="43"/>
        <v>-45.6</v>
      </c>
      <c r="M121" s="27">
        <f>IFERROR(100/'Skjema total MA'!I121*K121,0)</f>
        <v>13.421564139302804</v>
      </c>
    </row>
    <row r="122" spans="1:14" x14ac:dyDescent="0.2">
      <c r="A122" s="21" t="s">
        <v>26</v>
      </c>
      <c r="B122" s="234"/>
      <c r="C122" s="145"/>
      <c r="D122" s="166"/>
      <c r="E122" s="27"/>
      <c r="F122" s="234"/>
      <c r="G122" s="145"/>
      <c r="H122" s="166"/>
      <c r="I122" s="27"/>
      <c r="J122" s="286"/>
      <c r="K122" s="44"/>
      <c r="L122" s="254"/>
      <c r="M122" s="27"/>
    </row>
    <row r="123" spans="1:14" x14ac:dyDescent="0.2">
      <c r="A123" s="295" t="s">
        <v>14</v>
      </c>
      <c r="B123" s="280"/>
      <c r="C123" s="280"/>
      <c r="D123" s="166"/>
      <c r="E123" s="365"/>
      <c r="F123" s="280"/>
      <c r="G123" s="280"/>
      <c r="H123" s="166"/>
      <c r="I123" s="365"/>
      <c r="J123" s="289"/>
      <c r="K123" s="289"/>
      <c r="L123" s="166"/>
      <c r="M123" s="23"/>
    </row>
    <row r="124" spans="1:14" ht="15.75" x14ac:dyDescent="0.2">
      <c r="A124" s="21" t="s">
        <v>479</v>
      </c>
      <c r="B124" s="234"/>
      <c r="C124" s="234"/>
      <c r="D124" s="166"/>
      <c r="E124" s="27"/>
      <c r="F124" s="234"/>
      <c r="G124" s="234"/>
      <c r="H124" s="166"/>
      <c r="I124" s="27"/>
      <c r="J124" s="286"/>
      <c r="K124" s="44"/>
      <c r="L124" s="254"/>
      <c r="M124" s="27"/>
    </row>
    <row r="125" spans="1:14" ht="15.75" x14ac:dyDescent="0.2">
      <c r="A125" s="21" t="s">
        <v>471</v>
      </c>
      <c r="B125" s="234"/>
      <c r="C125" s="234"/>
      <c r="D125" s="166"/>
      <c r="E125" s="27"/>
      <c r="F125" s="234">
        <v>291338.87900000002</v>
      </c>
      <c r="G125" s="234">
        <v>552244.30200000003</v>
      </c>
      <c r="H125" s="166">
        <f t="shared" si="44"/>
        <v>89.6</v>
      </c>
      <c r="I125" s="27">
        <f>IFERROR(100/'Skjema total MA'!F125*G125,0)</f>
        <v>17.743088743603728</v>
      </c>
      <c r="J125" s="286">
        <f t="shared" si="42"/>
        <v>291338.87900000002</v>
      </c>
      <c r="K125" s="44">
        <f t="shared" si="42"/>
        <v>552244.30200000003</v>
      </c>
      <c r="L125" s="254">
        <f t="shared" si="43"/>
        <v>89.6</v>
      </c>
      <c r="M125" s="27">
        <f>IFERROR(100/'Skjema total MA'!I125*K125,0)</f>
        <v>17.72259190750135</v>
      </c>
    </row>
    <row r="126" spans="1:14" ht="15.75" x14ac:dyDescent="0.2">
      <c r="A126" s="10" t="s">
        <v>472</v>
      </c>
      <c r="B126" s="45"/>
      <c r="C126" s="45"/>
      <c r="D126" s="167"/>
      <c r="E126" s="366"/>
      <c r="F126" s="45"/>
      <c r="G126" s="45"/>
      <c r="H126" s="167"/>
      <c r="I126" s="22"/>
      <c r="J126" s="287"/>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975"/>
      <c r="C130" s="975"/>
      <c r="D130" s="975"/>
      <c r="E130" s="298"/>
      <c r="F130" s="975"/>
      <c r="G130" s="975"/>
      <c r="H130" s="975"/>
      <c r="I130" s="298"/>
      <c r="J130" s="975"/>
      <c r="K130" s="975"/>
      <c r="L130" s="975"/>
      <c r="M130" s="298"/>
    </row>
    <row r="131" spans="1:14" s="3" customFormat="1" x14ac:dyDescent="0.2">
      <c r="A131" s="144"/>
      <c r="B131" s="973" t="s">
        <v>0</v>
      </c>
      <c r="C131" s="974"/>
      <c r="D131" s="974"/>
      <c r="E131" s="300"/>
      <c r="F131" s="973" t="s">
        <v>1</v>
      </c>
      <c r="G131" s="974"/>
      <c r="H131" s="974"/>
      <c r="I131" s="303"/>
      <c r="J131" s="973" t="s">
        <v>2</v>
      </c>
      <c r="K131" s="974"/>
      <c r="L131" s="974"/>
      <c r="M131" s="303"/>
      <c r="N131" s="148"/>
    </row>
    <row r="132" spans="1:14" s="3" customFormat="1" x14ac:dyDescent="0.2">
      <c r="A132" s="140"/>
      <c r="B132" s="152" t="s">
        <v>492</v>
      </c>
      <c r="C132" s="152" t="s">
        <v>493</v>
      </c>
      <c r="D132" s="245" t="s">
        <v>3</v>
      </c>
      <c r="E132" s="304" t="s">
        <v>29</v>
      </c>
      <c r="F132" s="152" t="s">
        <v>492</v>
      </c>
      <c r="G132" s="152" t="s">
        <v>493</v>
      </c>
      <c r="H132" s="206" t="s">
        <v>3</v>
      </c>
      <c r="I132" s="162" t="s">
        <v>29</v>
      </c>
      <c r="J132" s="152" t="s">
        <v>492</v>
      </c>
      <c r="K132" s="152" t="s">
        <v>493</v>
      </c>
      <c r="L132" s="246" t="s">
        <v>3</v>
      </c>
      <c r="M132" s="162" t="s">
        <v>29</v>
      </c>
      <c r="N132" s="148"/>
    </row>
    <row r="133" spans="1:14" s="3" customFormat="1" x14ac:dyDescent="0.2">
      <c r="A133" s="947"/>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475</v>
      </c>
      <c r="B134" s="236"/>
      <c r="C134" s="308"/>
      <c r="D134" s="349"/>
      <c r="E134" s="11"/>
      <c r="F134" s="315"/>
      <c r="G134" s="316"/>
      <c r="H134" s="376"/>
      <c r="I134" s="24"/>
      <c r="J134" s="317"/>
      <c r="K134" s="317"/>
      <c r="L134" s="372"/>
      <c r="M134" s="11"/>
      <c r="N134" s="148"/>
    </row>
    <row r="135" spans="1:14" s="3" customFormat="1" ht="15.75" x14ac:dyDescent="0.2">
      <c r="A135" s="13" t="s">
        <v>480</v>
      </c>
      <c r="B135" s="236"/>
      <c r="C135" s="308"/>
      <c r="D135" s="171"/>
      <c r="E135" s="11"/>
      <c r="F135" s="236"/>
      <c r="G135" s="308"/>
      <c r="H135" s="377"/>
      <c r="I135" s="24"/>
      <c r="J135" s="307"/>
      <c r="K135" s="307"/>
      <c r="L135" s="373"/>
      <c r="M135" s="11"/>
      <c r="N135" s="148"/>
    </row>
    <row r="136" spans="1:14" s="3" customFormat="1" ht="15.75" x14ac:dyDescent="0.2">
      <c r="A136" s="13" t="s">
        <v>477</v>
      </c>
      <c r="B136" s="236"/>
      <c r="C136" s="308"/>
      <c r="D136" s="171"/>
      <c r="E136" s="11"/>
      <c r="F136" s="236"/>
      <c r="G136" s="308"/>
      <c r="H136" s="377"/>
      <c r="I136" s="24"/>
      <c r="J136" s="307"/>
      <c r="K136" s="307"/>
      <c r="L136" s="373"/>
      <c r="M136" s="11"/>
      <c r="N136" s="148"/>
    </row>
    <row r="137" spans="1:14" s="3" customFormat="1" ht="15.75" x14ac:dyDescent="0.2">
      <c r="A137" s="41" t="s">
        <v>478</v>
      </c>
      <c r="B137" s="275"/>
      <c r="C137" s="314"/>
      <c r="D137" s="169"/>
      <c r="E137" s="9"/>
      <c r="F137" s="275"/>
      <c r="G137" s="314"/>
      <c r="H137" s="378"/>
      <c r="I137" s="36"/>
      <c r="J137" s="313"/>
      <c r="K137" s="313"/>
      <c r="L137" s="374"/>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626" priority="132">
      <formula>kvartal &lt; 4</formula>
    </cfRule>
  </conditionalFormatting>
  <conditionalFormatting sqref="B69">
    <cfRule type="expression" dxfId="625" priority="100">
      <formula>kvartal &lt; 4</formula>
    </cfRule>
  </conditionalFormatting>
  <conditionalFormatting sqref="C69">
    <cfRule type="expression" dxfId="624" priority="99">
      <formula>kvartal &lt; 4</formula>
    </cfRule>
  </conditionalFormatting>
  <conditionalFormatting sqref="B72">
    <cfRule type="expression" dxfId="623" priority="98">
      <formula>kvartal &lt; 4</formula>
    </cfRule>
  </conditionalFormatting>
  <conditionalFormatting sqref="C72">
    <cfRule type="expression" dxfId="622" priority="97">
      <formula>kvartal &lt; 4</formula>
    </cfRule>
  </conditionalFormatting>
  <conditionalFormatting sqref="B80">
    <cfRule type="expression" dxfId="621" priority="96">
      <formula>kvartal &lt; 4</formula>
    </cfRule>
  </conditionalFormatting>
  <conditionalFormatting sqref="C80">
    <cfRule type="expression" dxfId="620" priority="95">
      <formula>kvartal &lt; 4</formula>
    </cfRule>
  </conditionalFormatting>
  <conditionalFormatting sqref="B83">
    <cfRule type="expression" dxfId="619" priority="94">
      <formula>kvartal &lt; 4</formula>
    </cfRule>
  </conditionalFormatting>
  <conditionalFormatting sqref="C83">
    <cfRule type="expression" dxfId="618" priority="93">
      <formula>kvartal &lt; 4</formula>
    </cfRule>
  </conditionalFormatting>
  <conditionalFormatting sqref="B90">
    <cfRule type="expression" dxfId="617" priority="84">
      <formula>kvartal &lt; 4</formula>
    </cfRule>
  </conditionalFormatting>
  <conditionalFormatting sqref="C90">
    <cfRule type="expression" dxfId="616" priority="83">
      <formula>kvartal &lt; 4</formula>
    </cfRule>
  </conditionalFormatting>
  <conditionalFormatting sqref="B93">
    <cfRule type="expression" dxfId="615" priority="82">
      <formula>kvartal &lt; 4</formula>
    </cfRule>
  </conditionalFormatting>
  <conditionalFormatting sqref="C93">
    <cfRule type="expression" dxfId="614" priority="81">
      <formula>kvartal &lt; 4</formula>
    </cfRule>
  </conditionalFormatting>
  <conditionalFormatting sqref="B101">
    <cfRule type="expression" dxfId="613" priority="80">
      <formula>kvartal &lt; 4</formula>
    </cfRule>
  </conditionalFormatting>
  <conditionalFormatting sqref="C101">
    <cfRule type="expression" dxfId="612" priority="79">
      <formula>kvartal &lt; 4</formula>
    </cfRule>
  </conditionalFormatting>
  <conditionalFormatting sqref="B104">
    <cfRule type="expression" dxfId="611" priority="78">
      <formula>kvartal &lt; 4</formula>
    </cfRule>
  </conditionalFormatting>
  <conditionalFormatting sqref="C104">
    <cfRule type="expression" dxfId="610" priority="77">
      <formula>kvartal &lt; 4</formula>
    </cfRule>
  </conditionalFormatting>
  <conditionalFormatting sqref="B115">
    <cfRule type="expression" dxfId="609" priority="76">
      <formula>kvartal &lt; 4</formula>
    </cfRule>
  </conditionalFormatting>
  <conditionalFormatting sqref="C115">
    <cfRule type="expression" dxfId="608" priority="75">
      <formula>kvartal &lt; 4</formula>
    </cfRule>
  </conditionalFormatting>
  <conditionalFormatting sqref="B123">
    <cfRule type="expression" dxfId="607" priority="74">
      <formula>kvartal &lt; 4</formula>
    </cfRule>
  </conditionalFormatting>
  <conditionalFormatting sqref="C123">
    <cfRule type="expression" dxfId="606" priority="73">
      <formula>kvartal &lt; 4</formula>
    </cfRule>
  </conditionalFormatting>
  <conditionalFormatting sqref="F70">
    <cfRule type="expression" dxfId="605" priority="72">
      <formula>kvartal &lt; 4</formula>
    </cfRule>
  </conditionalFormatting>
  <conditionalFormatting sqref="G70">
    <cfRule type="expression" dxfId="604" priority="71">
      <formula>kvartal &lt; 4</formula>
    </cfRule>
  </conditionalFormatting>
  <conditionalFormatting sqref="F71:G71">
    <cfRule type="expression" dxfId="603" priority="70">
      <formula>kvartal &lt; 4</formula>
    </cfRule>
  </conditionalFormatting>
  <conditionalFormatting sqref="F73:G74">
    <cfRule type="expression" dxfId="602" priority="69">
      <formula>kvartal &lt; 4</formula>
    </cfRule>
  </conditionalFormatting>
  <conditionalFormatting sqref="F81:G82">
    <cfRule type="expression" dxfId="601" priority="68">
      <formula>kvartal &lt; 4</formula>
    </cfRule>
  </conditionalFormatting>
  <conditionalFormatting sqref="F84:G85">
    <cfRule type="expression" dxfId="600" priority="67">
      <formula>kvartal &lt; 4</formula>
    </cfRule>
  </conditionalFormatting>
  <conditionalFormatting sqref="F91:G92">
    <cfRule type="expression" dxfId="599" priority="62">
      <formula>kvartal &lt; 4</formula>
    </cfRule>
  </conditionalFormatting>
  <conditionalFormatting sqref="F94:G95">
    <cfRule type="expression" dxfId="598" priority="61">
      <formula>kvartal &lt; 4</formula>
    </cfRule>
  </conditionalFormatting>
  <conditionalFormatting sqref="F102:G103">
    <cfRule type="expression" dxfId="597" priority="60">
      <formula>kvartal &lt; 4</formula>
    </cfRule>
  </conditionalFormatting>
  <conditionalFormatting sqref="F105:G106">
    <cfRule type="expression" dxfId="596" priority="59">
      <formula>kvartal &lt; 4</formula>
    </cfRule>
  </conditionalFormatting>
  <conditionalFormatting sqref="F115">
    <cfRule type="expression" dxfId="595" priority="58">
      <formula>kvartal &lt; 4</formula>
    </cfRule>
  </conditionalFormatting>
  <conditionalFormatting sqref="G115">
    <cfRule type="expression" dxfId="594" priority="57">
      <formula>kvartal &lt; 4</formula>
    </cfRule>
  </conditionalFormatting>
  <conditionalFormatting sqref="F123:G123">
    <cfRule type="expression" dxfId="593" priority="56">
      <formula>kvartal &lt; 4</formula>
    </cfRule>
  </conditionalFormatting>
  <conditionalFormatting sqref="F69:G69">
    <cfRule type="expression" dxfId="592" priority="55">
      <formula>kvartal &lt; 4</formula>
    </cfRule>
  </conditionalFormatting>
  <conditionalFormatting sqref="F72:G72">
    <cfRule type="expression" dxfId="591" priority="54">
      <formula>kvartal &lt; 4</formula>
    </cfRule>
  </conditionalFormatting>
  <conditionalFormatting sqref="F80:G80">
    <cfRule type="expression" dxfId="590" priority="53">
      <formula>kvartal &lt; 4</formula>
    </cfRule>
  </conditionalFormatting>
  <conditionalFormatting sqref="F83:G83">
    <cfRule type="expression" dxfId="589" priority="52">
      <formula>kvartal &lt; 4</formula>
    </cfRule>
  </conditionalFormatting>
  <conditionalFormatting sqref="F90:G90">
    <cfRule type="expression" dxfId="588" priority="46">
      <formula>kvartal &lt; 4</formula>
    </cfRule>
  </conditionalFormatting>
  <conditionalFormatting sqref="F93">
    <cfRule type="expression" dxfId="587" priority="45">
      <formula>kvartal &lt; 4</formula>
    </cfRule>
  </conditionalFormatting>
  <conditionalFormatting sqref="G93">
    <cfRule type="expression" dxfId="586" priority="44">
      <formula>kvartal &lt; 4</formula>
    </cfRule>
  </conditionalFormatting>
  <conditionalFormatting sqref="F101">
    <cfRule type="expression" dxfId="585" priority="43">
      <formula>kvartal &lt; 4</formula>
    </cfRule>
  </conditionalFormatting>
  <conditionalFormatting sqref="G101">
    <cfRule type="expression" dxfId="584" priority="42">
      <formula>kvartal &lt; 4</formula>
    </cfRule>
  </conditionalFormatting>
  <conditionalFormatting sqref="G104">
    <cfRule type="expression" dxfId="583" priority="41">
      <formula>kvartal &lt; 4</formula>
    </cfRule>
  </conditionalFormatting>
  <conditionalFormatting sqref="F104">
    <cfRule type="expression" dxfId="582" priority="40">
      <formula>kvartal &lt; 4</formula>
    </cfRule>
  </conditionalFormatting>
  <conditionalFormatting sqref="J80:K82">
    <cfRule type="expression" dxfId="581" priority="37">
      <formula>kvartal &lt; 4</formula>
    </cfRule>
  </conditionalFormatting>
  <conditionalFormatting sqref="J101:K103">
    <cfRule type="expression" dxfId="580" priority="33">
      <formula>kvartal &lt; 4</formula>
    </cfRule>
  </conditionalFormatting>
  <conditionalFormatting sqref="J123:K123">
    <cfRule type="expression" dxfId="579" priority="31">
      <formula>kvartal &lt; 4</formula>
    </cfRule>
  </conditionalFormatting>
  <conditionalFormatting sqref="A50:A52">
    <cfRule type="expression" dxfId="578" priority="12">
      <formula>kvartal &lt; 4</formula>
    </cfRule>
  </conditionalFormatting>
  <conditionalFormatting sqref="A69:A74">
    <cfRule type="expression" dxfId="577" priority="10">
      <formula>kvartal &lt; 4</formula>
    </cfRule>
  </conditionalFormatting>
  <conditionalFormatting sqref="A80:A85">
    <cfRule type="expression" dxfId="576" priority="9">
      <formula>kvartal &lt; 4</formula>
    </cfRule>
  </conditionalFormatting>
  <conditionalFormatting sqref="A90:A95">
    <cfRule type="expression" dxfId="575" priority="6">
      <formula>kvartal &lt; 4</formula>
    </cfRule>
  </conditionalFormatting>
  <conditionalFormatting sqref="A101:A106">
    <cfRule type="expression" dxfId="574" priority="5">
      <formula>kvartal &lt; 4</formula>
    </cfRule>
  </conditionalFormatting>
  <conditionalFormatting sqref="A115">
    <cfRule type="expression" dxfId="573" priority="4">
      <formula>kvartal &lt; 4</formula>
    </cfRule>
  </conditionalFormatting>
  <conditionalFormatting sqref="A123">
    <cfRule type="expression" dxfId="572" priority="3">
      <formula>kvartal &lt; 4</formula>
    </cfRule>
  </conditionalFormatting>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139</v>
      </c>
      <c r="B1" s="945"/>
      <c r="C1" s="248" t="s">
        <v>98</v>
      </c>
      <c r="D1" s="26"/>
      <c r="E1" s="26"/>
      <c r="F1" s="26"/>
      <c r="G1" s="26"/>
      <c r="H1" s="26"/>
      <c r="I1" s="26"/>
      <c r="J1" s="26"/>
      <c r="K1" s="26"/>
      <c r="L1" s="26"/>
      <c r="M1" s="26"/>
    </row>
    <row r="2" spans="1:14" ht="15.75" x14ac:dyDescent="0.25">
      <c r="A2" s="165" t="s">
        <v>28</v>
      </c>
      <c r="B2" s="972"/>
      <c r="C2" s="972"/>
      <c r="D2" s="972"/>
      <c r="E2" s="298"/>
      <c r="F2" s="972"/>
      <c r="G2" s="972"/>
      <c r="H2" s="972"/>
      <c r="I2" s="298"/>
      <c r="J2" s="972"/>
      <c r="K2" s="972"/>
      <c r="L2" s="972"/>
      <c r="M2" s="298"/>
    </row>
    <row r="3" spans="1:14" ht="15.75" x14ac:dyDescent="0.25">
      <c r="A3" s="163"/>
      <c r="B3" s="298"/>
      <c r="C3" s="298"/>
      <c r="D3" s="298"/>
      <c r="E3" s="298"/>
      <c r="F3" s="298"/>
      <c r="G3" s="298"/>
      <c r="H3" s="298"/>
      <c r="I3" s="298"/>
      <c r="J3" s="298"/>
      <c r="K3" s="298"/>
      <c r="L3" s="298"/>
      <c r="M3" s="298"/>
    </row>
    <row r="4" spans="1:14" x14ac:dyDescent="0.2">
      <c r="A4" s="144"/>
      <c r="B4" s="973" t="s">
        <v>0</v>
      </c>
      <c r="C4" s="974"/>
      <c r="D4" s="974"/>
      <c r="E4" s="300"/>
      <c r="F4" s="973" t="s">
        <v>1</v>
      </c>
      <c r="G4" s="974"/>
      <c r="H4" s="974"/>
      <c r="I4" s="303"/>
      <c r="J4" s="973" t="s">
        <v>2</v>
      </c>
      <c r="K4" s="974"/>
      <c r="L4" s="974"/>
      <c r="M4" s="303"/>
    </row>
    <row r="5" spans="1:14" x14ac:dyDescent="0.2">
      <c r="A5" s="158"/>
      <c r="B5" s="152" t="s">
        <v>492</v>
      </c>
      <c r="C5" s="152" t="s">
        <v>493</v>
      </c>
      <c r="D5" s="245" t="s">
        <v>3</v>
      </c>
      <c r="E5" s="304" t="s">
        <v>29</v>
      </c>
      <c r="F5" s="152" t="s">
        <v>492</v>
      </c>
      <c r="G5" s="152" t="s">
        <v>493</v>
      </c>
      <c r="H5" s="245" t="s">
        <v>3</v>
      </c>
      <c r="I5" s="162" t="s">
        <v>29</v>
      </c>
      <c r="J5" s="152" t="s">
        <v>492</v>
      </c>
      <c r="K5" s="152" t="s">
        <v>493</v>
      </c>
      <c r="L5" s="245" t="s">
        <v>3</v>
      </c>
      <c r="M5" s="162" t="s">
        <v>29</v>
      </c>
    </row>
    <row r="6" spans="1:14" x14ac:dyDescent="0.2">
      <c r="A6" s="946"/>
      <c r="B6" s="156"/>
      <c r="C6" s="156"/>
      <c r="D6" s="246" t="s">
        <v>4</v>
      </c>
      <c r="E6" s="156" t="s">
        <v>30</v>
      </c>
      <c r="F6" s="161"/>
      <c r="G6" s="161"/>
      <c r="H6" s="245" t="s">
        <v>4</v>
      </c>
      <c r="I6" s="156" t="s">
        <v>30</v>
      </c>
      <c r="J6" s="161"/>
      <c r="K6" s="161"/>
      <c r="L6" s="245" t="s">
        <v>4</v>
      </c>
      <c r="M6" s="156" t="s">
        <v>30</v>
      </c>
    </row>
    <row r="7" spans="1:14" ht="15.75" x14ac:dyDescent="0.2">
      <c r="A7" s="14" t="s">
        <v>23</v>
      </c>
      <c r="B7" s="305"/>
      <c r="C7" s="306"/>
      <c r="D7" s="349"/>
      <c r="E7" s="11"/>
      <c r="F7" s="305"/>
      <c r="G7" s="306"/>
      <c r="H7" s="349"/>
      <c r="I7" s="160"/>
      <c r="J7" s="307"/>
      <c r="K7" s="308"/>
      <c r="L7" s="372"/>
      <c r="M7" s="11"/>
    </row>
    <row r="8" spans="1:14" ht="15.75" x14ac:dyDescent="0.2">
      <c r="A8" s="21" t="s">
        <v>25</v>
      </c>
      <c r="B8" s="280"/>
      <c r="C8" s="281"/>
      <c r="D8" s="166"/>
      <c r="E8" s="27"/>
      <c r="F8" s="284"/>
      <c r="G8" s="285"/>
      <c r="H8" s="166"/>
      <c r="I8" s="175"/>
      <c r="J8" s="234"/>
      <c r="K8" s="286"/>
      <c r="L8" s="254"/>
      <c r="M8" s="27"/>
    </row>
    <row r="9" spans="1:14" ht="15.75" x14ac:dyDescent="0.2">
      <c r="A9" s="21" t="s">
        <v>24</v>
      </c>
      <c r="B9" s="280"/>
      <c r="C9" s="281"/>
      <c r="D9" s="166"/>
      <c r="E9" s="27"/>
      <c r="F9" s="284"/>
      <c r="G9" s="285"/>
      <c r="H9" s="166"/>
      <c r="I9" s="175"/>
      <c r="J9" s="234"/>
      <c r="K9" s="286"/>
      <c r="L9" s="254"/>
      <c r="M9" s="27"/>
    </row>
    <row r="10" spans="1:14" ht="15.75" x14ac:dyDescent="0.2">
      <c r="A10" s="13" t="s">
        <v>451</v>
      </c>
      <c r="B10" s="309"/>
      <c r="C10" s="310"/>
      <c r="D10" s="171"/>
      <c r="E10" s="11"/>
      <c r="F10" s="309"/>
      <c r="G10" s="310"/>
      <c r="H10" s="171"/>
      <c r="I10" s="160"/>
      <c r="J10" s="307"/>
      <c r="K10" s="308"/>
      <c r="L10" s="373"/>
      <c r="M10" s="11"/>
    </row>
    <row r="11" spans="1:14" s="43" customFormat="1" ht="15.75" x14ac:dyDescent="0.2">
      <c r="A11" s="13" t="s">
        <v>452</v>
      </c>
      <c r="B11" s="309"/>
      <c r="C11" s="310"/>
      <c r="D11" s="171"/>
      <c r="E11" s="11"/>
      <c r="F11" s="309"/>
      <c r="G11" s="310"/>
      <c r="H11" s="171"/>
      <c r="I11" s="160"/>
      <c r="J11" s="307"/>
      <c r="K11" s="308"/>
      <c r="L11" s="373"/>
      <c r="M11" s="11"/>
      <c r="N11" s="143"/>
    </row>
    <row r="12" spans="1:14" s="43" customFormat="1" ht="15.75" x14ac:dyDescent="0.2">
      <c r="A12" s="41" t="s">
        <v>453</v>
      </c>
      <c r="B12" s="311"/>
      <c r="C12" s="312"/>
      <c r="D12" s="169"/>
      <c r="E12" s="36"/>
      <c r="F12" s="311"/>
      <c r="G12" s="312"/>
      <c r="H12" s="169"/>
      <c r="I12" s="169"/>
      <c r="J12" s="313"/>
      <c r="K12" s="314"/>
      <c r="L12" s="374"/>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975"/>
      <c r="C18" s="975"/>
      <c r="D18" s="975"/>
      <c r="E18" s="298"/>
      <c r="F18" s="975"/>
      <c r="G18" s="975"/>
      <c r="H18" s="975"/>
      <c r="I18" s="298"/>
      <c r="J18" s="975"/>
      <c r="K18" s="975"/>
      <c r="L18" s="975"/>
      <c r="M18" s="298"/>
    </row>
    <row r="19" spans="1:14" x14ac:dyDescent="0.2">
      <c r="A19" s="144"/>
      <c r="B19" s="973" t="s">
        <v>0</v>
      </c>
      <c r="C19" s="974"/>
      <c r="D19" s="974"/>
      <c r="E19" s="300"/>
      <c r="F19" s="973" t="s">
        <v>1</v>
      </c>
      <c r="G19" s="974"/>
      <c r="H19" s="974"/>
      <c r="I19" s="303"/>
      <c r="J19" s="973" t="s">
        <v>2</v>
      </c>
      <c r="K19" s="974"/>
      <c r="L19" s="974"/>
      <c r="M19" s="303"/>
    </row>
    <row r="20" spans="1:14" x14ac:dyDescent="0.2">
      <c r="A20" s="140" t="s">
        <v>5</v>
      </c>
      <c r="B20" s="152" t="s">
        <v>492</v>
      </c>
      <c r="C20" s="152" t="s">
        <v>493</v>
      </c>
      <c r="D20" s="162" t="s">
        <v>3</v>
      </c>
      <c r="E20" s="304" t="s">
        <v>29</v>
      </c>
      <c r="F20" s="152" t="s">
        <v>492</v>
      </c>
      <c r="G20" s="152" t="s">
        <v>493</v>
      </c>
      <c r="H20" s="162" t="s">
        <v>3</v>
      </c>
      <c r="I20" s="162" t="s">
        <v>29</v>
      </c>
      <c r="J20" s="152" t="s">
        <v>492</v>
      </c>
      <c r="K20" s="152" t="s">
        <v>493</v>
      </c>
      <c r="L20" s="162" t="s">
        <v>3</v>
      </c>
      <c r="M20" s="162" t="s">
        <v>29</v>
      </c>
    </row>
    <row r="21" spans="1:14" x14ac:dyDescent="0.2">
      <c r="A21" s="947"/>
      <c r="B21" s="156"/>
      <c r="C21" s="156"/>
      <c r="D21" s="246" t="s">
        <v>4</v>
      </c>
      <c r="E21" s="156" t="s">
        <v>30</v>
      </c>
      <c r="F21" s="161"/>
      <c r="G21" s="161"/>
      <c r="H21" s="245"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372"/>
      <c r="M22" s="24"/>
    </row>
    <row r="23" spans="1:14" ht="15.75" x14ac:dyDescent="0.2">
      <c r="A23" s="753" t="s">
        <v>454</v>
      </c>
      <c r="B23" s="280"/>
      <c r="C23" s="280"/>
      <c r="D23" s="166"/>
      <c r="E23" s="11"/>
      <c r="F23" s="289"/>
      <c r="G23" s="289"/>
      <c r="H23" s="166"/>
      <c r="I23" s="365"/>
      <c r="J23" s="289"/>
      <c r="K23" s="289"/>
      <c r="L23" s="166"/>
      <c r="M23" s="23"/>
    </row>
    <row r="24" spans="1:14" ht="15.75" x14ac:dyDescent="0.2">
      <c r="A24" s="753" t="s">
        <v>455</v>
      </c>
      <c r="B24" s="280"/>
      <c r="C24" s="280"/>
      <c r="D24" s="166"/>
      <c r="E24" s="11"/>
      <c r="F24" s="289"/>
      <c r="G24" s="289"/>
      <c r="H24" s="166"/>
      <c r="I24" s="365"/>
      <c r="J24" s="289"/>
      <c r="K24" s="289"/>
      <c r="L24" s="166"/>
      <c r="M24" s="23"/>
    </row>
    <row r="25" spans="1:14" ht="15.75" x14ac:dyDescent="0.2">
      <c r="A25" s="753" t="s">
        <v>456</v>
      </c>
      <c r="B25" s="280"/>
      <c r="C25" s="280"/>
      <c r="D25" s="166"/>
      <c r="E25" s="11"/>
      <c r="F25" s="289"/>
      <c r="G25" s="289"/>
      <c r="H25" s="166"/>
      <c r="I25" s="365"/>
      <c r="J25" s="289"/>
      <c r="K25" s="289"/>
      <c r="L25" s="166"/>
      <c r="M25" s="23"/>
    </row>
    <row r="26" spans="1:14" ht="15.75" x14ac:dyDescent="0.2">
      <c r="A26" s="753" t="s">
        <v>457</v>
      </c>
      <c r="B26" s="280"/>
      <c r="C26" s="280"/>
      <c r="D26" s="166"/>
      <c r="E26" s="11"/>
      <c r="F26" s="289"/>
      <c r="G26" s="289"/>
      <c r="H26" s="166"/>
      <c r="I26" s="365"/>
      <c r="J26" s="289"/>
      <c r="K26" s="289"/>
      <c r="L26" s="166"/>
      <c r="M26" s="23"/>
    </row>
    <row r="27" spans="1:14" x14ac:dyDescent="0.2">
      <c r="A27" s="753" t="s">
        <v>11</v>
      </c>
      <c r="B27" s="280"/>
      <c r="C27" s="280"/>
      <c r="D27" s="166"/>
      <c r="E27" s="11"/>
      <c r="F27" s="289"/>
      <c r="G27" s="289"/>
      <c r="H27" s="166"/>
      <c r="I27" s="365"/>
      <c r="J27" s="289"/>
      <c r="K27" s="289"/>
      <c r="L27" s="166"/>
      <c r="M27" s="23"/>
    </row>
    <row r="28" spans="1:14" ht="15.75" x14ac:dyDescent="0.2">
      <c r="A28" s="49" t="s">
        <v>279</v>
      </c>
      <c r="B28" s="44"/>
      <c r="C28" s="286"/>
      <c r="D28" s="166"/>
      <c r="E28" s="11"/>
      <c r="F28" s="234"/>
      <c r="G28" s="286"/>
      <c r="H28" s="166"/>
      <c r="I28" s="27"/>
      <c r="J28" s="44"/>
      <c r="K28" s="44"/>
      <c r="L28" s="254"/>
      <c r="M28" s="23"/>
    </row>
    <row r="29" spans="1:14" s="3" customFormat="1" ht="15.75" x14ac:dyDescent="0.2">
      <c r="A29" s="13" t="s">
        <v>451</v>
      </c>
      <c r="B29" s="236"/>
      <c r="C29" s="236"/>
      <c r="D29" s="171"/>
      <c r="E29" s="11"/>
      <c r="F29" s="307"/>
      <c r="G29" s="307"/>
      <c r="H29" s="171"/>
      <c r="I29" s="11"/>
      <c r="J29" s="236"/>
      <c r="K29" s="236"/>
      <c r="L29" s="373"/>
      <c r="M29" s="24"/>
      <c r="N29" s="148"/>
    </row>
    <row r="30" spans="1:14" s="3" customFormat="1" ht="15.75" x14ac:dyDescent="0.2">
      <c r="A30" s="753" t="s">
        <v>454</v>
      </c>
      <c r="B30" s="280"/>
      <c r="C30" s="280"/>
      <c r="D30" s="166"/>
      <c r="E30" s="11"/>
      <c r="F30" s="289"/>
      <c r="G30" s="289"/>
      <c r="H30" s="166"/>
      <c r="I30" s="365"/>
      <c r="J30" s="289"/>
      <c r="K30" s="289"/>
      <c r="L30" s="166"/>
      <c r="M30" s="23"/>
      <c r="N30" s="148"/>
    </row>
    <row r="31" spans="1:14" s="3" customFormat="1" ht="15.75" x14ac:dyDescent="0.2">
      <c r="A31" s="753" t="s">
        <v>455</v>
      </c>
      <c r="B31" s="280"/>
      <c r="C31" s="280"/>
      <c r="D31" s="166"/>
      <c r="E31" s="11"/>
      <c r="F31" s="289"/>
      <c r="G31" s="289"/>
      <c r="H31" s="166"/>
      <c r="I31" s="365"/>
      <c r="J31" s="289"/>
      <c r="K31" s="289"/>
      <c r="L31" s="166"/>
      <c r="M31" s="23"/>
      <c r="N31" s="148"/>
    </row>
    <row r="32" spans="1:14" ht="15.75" x14ac:dyDescent="0.2">
      <c r="A32" s="753" t="s">
        <v>456</v>
      </c>
      <c r="B32" s="280"/>
      <c r="C32" s="280"/>
      <c r="D32" s="166"/>
      <c r="E32" s="11"/>
      <c r="F32" s="289"/>
      <c r="G32" s="289"/>
      <c r="H32" s="166"/>
      <c r="I32" s="365"/>
      <c r="J32" s="289"/>
      <c r="K32" s="289"/>
      <c r="L32" s="166"/>
      <c r="M32" s="23"/>
    </row>
    <row r="33" spans="1:14" ht="15.75" x14ac:dyDescent="0.2">
      <c r="A33" s="753" t="s">
        <v>457</v>
      </c>
      <c r="B33" s="280"/>
      <c r="C33" s="280"/>
      <c r="D33" s="166"/>
      <c r="E33" s="11"/>
      <c r="F33" s="289"/>
      <c r="G33" s="289"/>
      <c r="H33" s="166"/>
      <c r="I33" s="365"/>
      <c r="J33" s="289"/>
      <c r="K33" s="289"/>
      <c r="L33" s="166"/>
      <c r="M33" s="23"/>
    </row>
    <row r="34" spans="1:14" ht="15.75" x14ac:dyDescent="0.2">
      <c r="A34" s="13" t="s">
        <v>452</v>
      </c>
      <c r="B34" s="236"/>
      <c r="C34" s="308"/>
      <c r="D34" s="171"/>
      <c r="E34" s="11"/>
      <c r="F34" s="307"/>
      <c r="G34" s="308"/>
      <c r="H34" s="171"/>
      <c r="I34" s="11"/>
      <c r="J34" s="236"/>
      <c r="K34" s="236"/>
      <c r="L34" s="373"/>
      <c r="M34" s="24"/>
    </row>
    <row r="35" spans="1:14" ht="15.75" x14ac:dyDescent="0.2">
      <c r="A35" s="13" t="s">
        <v>453</v>
      </c>
      <c r="B35" s="236"/>
      <c r="C35" s="308"/>
      <c r="D35" s="171"/>
      <c r="E35" s="11"/>
      <c r="F35" s="307"/>
      <c r="G35" s="308"/>
      <c r="H35" s="171"/>
      <c r="I35" s="11"/>
      <c r="J35" s="236"/>
      <c r="K35" s="236"/>
      <c r="L35" s="373"/>
      <c r="M35" s="24"/>
    </row>
    <row r="36" spans="1:14" ht="15.75" x14ac:dyDescent="0.2">
      <c r="A36" s="12" t="s">
        <v>287</v>
      </c>
      <c r="B36" s="236"/>
      <c r="C36" s="308"/>
      <c r="D36" s="171"/>
      <c r="E36" s="11"/>
      <c r="F36" s="318"/>
      <c r="G36" s="319"/>
      <c r="H36" s="171"/>
      <c r="I36" s="379"/>
      <c r="J36" s="236"/>
      <c r="K36" s="236"/>
      <c r="L36" s="373"/>
      <c r="M36" s="24"/>
    </row>
    <row r="37" spans="1:14" ht="15.75" x14ac:dyDescent="0.2">
      <c r="A37" s="12" t="s">
        <v>459</v>
      </c>
      <c r="B37" s="236"/>
      <c r="C37" s="308"/>
      <c r="D37" s="171"/>
      <c r="E37" s="11"/>
      <c r="F37" s="318"/>
      <c r="G37" s="320"/>
      <c r="H37" s="171"/>
      <c r="I37" s="379"/>
      <c r="J37" s="236"/>
      <c r="K37" s="236"/>
      <c r="L37" s="373"/>
      <c r="M37" s="24"/>
    </row>
    <row r="38" spans="1:14" ht="15.75" x14ac:dyDescent="0.2">
      <c r="A38" s="12" t="s">
        <v>460</v>
      </c>
      <c r="B38" s="236"/>
      <c r="C38" s="308"/>
      <c r="D38" s="171"/>
      <c r="E38" s="24"/>
      <c r="F38" s="318"/>
      <c r="G38" s="319"/>
      <c r="H38" s="171"/>
      <c r="I38" s="379"/>
      <c r="J38" s="236"/>
      <c r="K38" s="236"/>
      <c r="L38" s="373"/>
      <c r="M38" s="24"/>
    </row>
    <row r="39" spans="1:14" ht="15.75" x14ac:dyDescent="0.2">
      <c r="A39" s="18" t="s">
        <v>461</v>
      </c>
      <c r="B39" s="275"/>
      <c r="C39" s="314"/>
      <c r="D39" s="169"/>
      <c r="E39" s="36"/>
      <c r="F39" s="321"/>
      <c r="G39" s="322"/>
      <c r="H39" s="169"/>
      <c r="I39" s="36"/>
      <c r="J39" s="236"/>
      <c r="K39" s="236"/>
      <c r="L39" s="374"/>
      <c r="M39" s="36"/>
    </row>
    <row r="40" spans="1:14" ht="15.75" x14ac:dyDescent="0.25">
      <c r="A40" s="47"/>
      <c r="B40" s="253"/>
      <c r="C40" s="253"/>
      <c r="D40" s="976"/>
      <c r="E40" s="976"/>
      <c r="F40" s="976"/>
      <c r="G40" s="976"/>
      <c r="H40" s="976"/>
      <c r="I40" s="976"/>
      <c r="J40" s="976"/>
      <c r="K40" s="976"/>
      <c r="L40" s="976"/>
      <c r="M40" s="301"/>
    </row>
    <row r="41" spans="1:14" x14ac:dyDescent="0.2">
      <c r="A41" s="155"/>
    </row>
    <row r="42" spans="1:14" ht="15.75" x14ac:dyDescent="0.25">
      <c r="A42" s="147" t="s">
        <v>276</v>
      </c>
      <c r="B42" s="972"/>
      <c r="C42" s="972"/>
      <c r="D42" s="972"/>
      <c r="E42" s="298"/>
      <c r="F42" s="977"/>
      <c r="G42" s="977"/>
      <c r="H42" s="977"/>
      <c r="I42" s="301"/>
      <c r="J42" s="977"/>
      <c r="K42" s="977"/>
      <c r="L42" s="977"/>
      <c r="M42" s="301"/>
    </row>
    <row r="43" spans="1:14" ht="15.75" x14ac:dyDescent="0.25">
      <c r="A43" s="163"/>
      <c r="B43" s="302"/>
      <c r="C43" s="302"/>
      <c r="D43" s="302"/>
      <c r="E43" s="302"/>
      <c r="F43" s="301"/>
      <c r="G43" s="301"/>
      <c r="H43" s="301"/>
      <c r="I43" s="301"/>
      <c r="J43" s="301"/>
      <c r="K43" s="301"/>
      <c r="L43" s="301"/>
      <c r="M43" s="301"/>
    </row>
    <row r="44" spans="1:14" ht="15.75" x14ac:dyDescent="0.25">
      <c r="A44" s="247"/>
      <c r="B44" s="973" t="s">
        <v>0</v>
      </c>
      <c r="C44" s="974"/>
      <c r="D44" s="974"/>
      <c r="E44" s="243"/>
      <c r="F44" s="301"/>
      <c r="G44" s="301"/>
      <c r="H44" s="301"/>
      <c r="I44" s="301"/>
      <c r="J44" s="301"/>
      <c r="K44" s="301"/>
      <c r="L44" s="301"/>
      <c r="M44" s="301"/>
    </row>
    <row r="45" spans="1:14" s="3" customFormat="1" x14ac:dyDescent="0.2">
      <c r="A45" s="140"/>
      <c r="B45" s="152" t="s">
        <v>492</v>
      </c>
      <c r="C45" s="152" t="s">
        <v>493</v>
      </c>
      <c r="D45" s="162" t="s">
        <v>3</v>
      </c>
      <c r="E45" s="162" t="s">
        <v>29</v>
      </c>
      <c r="F45" s="174"/>
      <c r="G45" s="174"/>
      <c r="H45" s="173"/>
      <c r="I45" s="173"/>
      <c r="J45" s="174"/>
      <c r="K45" s="174"/>
      <c r="L45" s="173"/>
      <c r="M45" s="173"/>
      <c r="N45" s="148"/>
    </row>
    <row r="46" spans="1:14" s="3" customFormat="1" x14ac:dyDescent="0.2">
      <c r="A46" s="947"/>
      <c r="B46" s="244"/>
      <c r="C46" s="244"/>
      <c r="D46" s="245" t="s">
        <v>4</v>
      </c>
      <c r="E46" s="156" t="s">
        <v>30</v>
      </c>
      <c r="F46" s="173"/>
      <c r="G46" s="173"/>
      <c r="H46" s="173"/>
      <c r="I46" s="173"/>
      <c r="J46" s="173"/>
      <c r="K46" s="173"/>
      <c r="L46" s="173"/>
      <c r="M46" s="173"/>
      <c r="N46" s="148"/>
    </row>
    <row r="47" spans="1:14" s="3" customFormat="1" ht="15.75" x14ac:dyDescent="0.2">
      <c r="A47" s="14" t="s">
        <v>23</v>
      </c>
      <c r="B47" s="309">
        <v>32000</v>
      </c>
      <c r="C47" s="310">
        <v>31900</v>
      </c>
      <c r="D47" s="372">
        <f t="shared" ref="D47:D48" si="0">IF(B47=0, "    ---- ", IF(ABS(ROUND(100/B47*C47-100,1))&lt;999,ROUND(100/B47*C47-100,1),IF(ROUND(100/B47*C47-100,1)&gt;999,999,-999)))</f>
        <v>-0.3</v>
      </c>
      <c r="E47" s="11">
        <f>IFERROR(100/'Skjema total MA'!C47*C47,0)</f>
        <v>0.73705363469650464</v>
      </c>
      <c r="F47" s="145"/>
      <c r="G47" s="33"/>
      <c r="H47" s="159"/>
      <c r="I47" s="159"/>
      <c r="J47" s="37"/>
      <c r="K47" s="37"/>
      <c r="L47" s="159"/>
      <c r="M47" s="159"/>
      <c r="N47" s="148"/>
    </row>
    <row r="48" spans="1:14" s="3" customFormat="1" ht="15.75" x14ac:dyDescent="0.2">
      <c r="A48" s="38" t="s">
        <v>462</v>
      </c>
      <c r="B48" s="280">
        <v>32000</v>
      </c>
      <c r="C48" s="281">
        <v>31900</v>
      </c>
      <c r="D48" s="254">
        <f t="shared" si="0"/>
        <v>-0.3</v>
      </c>
      <c r="E48" s="27">
        <f>IFERROR(100/'Skjema total MA'!C48*C48,0)</f>
        <v>1.329479936517463</v>
      </c>
      <c r="F48" s="145"/>
      <c r="G48" s="33"/>
      <c r="H48" s="145"/>
      <c r="I48" s="145"/>
      <c r="J48" s="33"/>
      <c r="K48" s="33"/>
      <c r="L48" s="159"/>
      <c r="M48" s="159"/>
      <c r="N48" s="148"/>
    </row>
    <row r="49" spans="1:14" s="3" customFormat="1" ht="15.75" x14ac:dyDescent="0.2">
      <c r="A49" s="38" t="s">
        <v>463</v>
      </c>
      <c r="B49" s="44"/>
      <c r="C49" s="286"/>
      <c r="D49" s="254"/>
      <c r="E49" s="27"/>
      <c r="F49" s="145"/>
      <c r="G49" s="33"/>
      <c r="H49" s="145"/>
      <c r="I49" s="145"/>
      <c r="J49" s="37"/>
      <c r="K49" s="37"/>
      <c r="L49" s="159"/>
      <c r="M49" s="159"/>
      <c r="N49" s="148"/>
    </row>
    <row r="50" spans="1:14" s="3" customFormat="1" x14ac:dyDescent="0.2">
      <c r="A50" s="295" t="s">
        <v>6</v>
      </c>
      <c r="B50" s="289"/>
      <c r="C50" s="290"/>
      <c r="D50" s="254"/>
      <c r="E50" s="23"/>
      <c r="F50" s="145"/>
      <c r="G50" s="33"/>
      <c r="H50" s="145"/>
      <c r="I50" s="145"/>
      <c r="J50" s="33"/>
      <c r="K50" s="33"/>
      <c r="L50" s="159"/>
      <c r="M50" s="159"/>
      <c r="N50" s="148"/>
    </row>
    <row r="51" spans="1:14" s="3" customFormat="1" x14ac:dyDescent="0.2">
      <c r="A51" s="295" t="s">
        <v>7</v>
      </c>
      <c r="B51" s="289"/>
      <c r="C51" s="290"/>
      <c r="D51" s="254"/>
      <c r="E51" s="23"/>
      <c r="F51" s="145"/>
      <c r="G51" s="33"/>
      <c r="H51" s="145"/>
      <c r="I51" s="145"/>
      <c r="J51" s="33"/>
      <c r="K51" s="33"/>
      <c r="L51" s="159"/>
      <c r="M51" s="159"/>
      <c r="N51" s="148"/>
    </row>
    <row r="52" spans="1:14" s="3" customFormat="1" x14ac:dyDescent="0.2">
      <c r="A52" s="295" t="s">
        <v>8</v>
      </c>
      <c r="B52" s="289"/>
      <c r="C52" s="290"/>
      <c r="D52" s="254"/>
      <c r="E52" s="23"/>
      <c r="F52" s="145"/>
      <c r="G52" s="33"/>
      <c r="H52" s="145"/>
      <c r="I52" s="145"/>
      <c r="J52" s="33"/>
      <c r="K52" s="33"/>
      <c r="L52" s="159"/>
      <c r="M52" s="159"/>
      <c r="N52" s="148"/>
    </row>
    <row r="53" spans="1:14" s="3" customFormat="1" ht="15.75" x14ac:dyDescent="0.2">
      <c r="A53" s="39" t="s">
        <v>464</v>
      </c>
      <c r="B53" s="309"/>
      <c r="C53" s="310"/>
      <c r="D53" s="373"/>
      <c r="E53" s="11"/>
      <c r="F53" s="145"/>
      <c r="G53" s="33"/>
      <c r="H53" s="145"/>
      <c r="I53" s="145"/>
      <c r="J53" s="33"/>
      <c r="K53" s="33"/>
      <c r="L53" s="159"/>
      <c r="M53" s="159"/>
      <c r="N53" s="148"/>
    </row>
    <row r="54" spans="1:14" s="3" customFormat="1" ht="15.75" x14ac:dyDescent="0.2">
      <c r="A54" s="38" t="s">
        <v>462</v>
      </c>
      <c r="B54" s="280"/>
      <c r="C54" s="281"/>
      <c r="D54" s="254"/>
      <c r="E54" s="27"/>
      <c r="F54" s="145"/>
      <c r="G54" s="33"/>
      <c r="H54" s="145"/>
      <c r="I54" s="145"/>
      <c r="J54" s="33"/>
      <c r="K54" s="33"/>
      <c r="L54" s="159"/>
      <c r="M54" s="159"/>
      <c r="N54" s="148"/>
    </row>
    <row r="55" spans="1:14" s="3" customFormat="1" ht="15.75" x14ac:dyDescent="0.2">
      <c r="A55" s="38" t="s">
        <v>463</v>
      </c>
      <c r="B55" s="280"/>
      <c r="C55" s="281"/>
      <c r="D55" s="254"/>
      <c r="E55" s="27"/>
      <c r="F55" s="145"/>
      <c r="G55" s="33"/>
      <c r="H55" s="145"/>
      <c r="I55" s="145"/>
      <c r="J55" s="33"/>
      <c r="K55" s="33"/>
      <c r="L55" s="159"/>
      <c r="M55" s="159"/>
      <c r="N55" s="148"/>
    </row>
    <row r="56" spans="1:14" s="3" customFormat="1" ht="15.75" x14ac:dyDescent="0.2">
      <c r="A56" s="39" t="s">
        <v>465</v>
      </c>
      <c r="B56" s="309"/>
      <c r="C56" s="310"/>
      <c r="D56" s="373"/>
      <c r="E56" s="11"/>
      <c r="F56" s="145"/>
      <c r="G56" s="33"/>
      <c r="H56" s="145"/>
      <c r="I56" s="145"/>
      <c r="J56" s="33"/>
      <c r="K56" s="33"/>
      <c r="L56" s="159"/>
      <c r="M56" s="159"/>
      <c r="N56" s="148"/>
    </row>
    <row r="57" spans="1:14" s="3" customFormat="1" ht="15.75" x14ac:dyDescent="0.2">
      <c r="A57" s="38" t="s">
        <v>462</v>
      </c>
      <c r="B57" s="280"/>
      <c r="C57" s="281"/>
      <c r="D57" s="254"/>
      <c r="E57" s="27"/>
      <c r="F57" s="145"/>
      <c r="G57" s="33"/>
      <c r="H57" s="145"/>
      <c r="I57" s="145"/>
      <c r="J57" s="33"/>
      <c r="K57" s="33"/>
      <c r="L57" s="159"/>
      <c r="M57" s="159"/>
      <c r="N57" s="148"/>
    </row>
    <row r="58" spans="1:14" s="3" customFormat="1" ht="15.75" x14ac:dyDescent="0.2">
      <c r="A58" s="46" t="s">
        <v>463</v>
      </c>
      <c r="B58" s="282"/>
      <c r="C58" s="283"/>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975"/>
      <c r="C62" s="975"/>
      <c r="D62" s="975"/>
      <c r="E62" s="298"/>
      <c r="F62" s="975"/>
      <c r="G62" s="975"/>
      <c r="H62" s="975"/>
      <c r="I62" s="298"/>
      <c r="J62" s="975"/>
      <c r="K62" s="975"/>
      <c r="L62" s="975"/>
      <c r="M62" s="298"/>
    </row>
    <row r="63" spans="1:14" x14ac:dyDescent="0.2">
      <c r="A63" s="144"/>
      <c r="B63" s="973" t="s">
        <v>0</v>
      </c>
      <c r="C63" s="974"/>
      <c r="D63" s="978"/>
      <c r="E63" s="299"/>
      <c r="F63" s="974" t="s">
        <v>1</v>
      </c>
      <c r="G63" s="974"/>
      <c r="H63" s="974"/>
      <c r="I63" s="303"/>
      <c r="J63" s="973" t="s">
        <v>2</v>
      </c>
      <c r="K63" s="974"/>
      <c r="L63" s="974"/>
      <c r="M63" s="303"/>
    </row>
    <row r="64" spans="1:14" x14ac:dyDescent="0.2">
      <c r="A64" s="140"/>
      <c r="B64" s="152" t="s">
        <v>492</v>
      </c>
      <c r="C64" s="152" t="s">
        <v>493</v>
      </c>
      <c r="D64" s="245" t="s">
        <v>3</v>
      </c>
      <c r="E64" s="304" t="s">
        <v>29</v>
      </c>
      <c r="F64" s="152" t="s">
        <v>492</v>
      </c>
      <c r="G64" s="152" t="s">
        <v>493</v>
      </c>
      <c r="H64" s="245" t="s">
        <v>3</v>
      </c>
      <c r="I64" s="304" t="s">
        <v>29</v>
      </c>
      <c r="J64" s="152" t="s">
        <v>492</v>
      </c>
      <c r="K64" s="152" t="s">
        <v>493</v>
      </c>
      <c r="L64" s="245" t="s">
        <v>3</v>
      </c>
      <c r="M64" s="162" t="s">
        <v>29</v>
      </c>
    </row>
    <row r="65" spans="1:14" x14ac:dyDescent="0.2">
      <c r="A65" s="947"/>
      <c r="B65" s="156"/>
      <c r="C65" s="156"/>
      <c r="D65" s="246" t="s">
        <v>4</v>
      </c>
      <c r="E65" s="156" t="s">
        <v>30</v>
      </c>
      <c r="F65" s="161"/>
      <c r="G65" s="161"/>
      <c r="H65" s="245" t="s">
        <v>4</v>
      </c>
      <c r="I65" s="156" t="s">
        <v>30</v>
      </c>
      <c r="J65" s="161"/>
      <c r="K65" s="206"/>
      <c r="L65" s="156" t="s">
        <v>4</v>
      </c>
      <c r="M65" s="156" t="s">
        <v>30</v>
      </c>
    </row>
    <row r="66" spans="1:14" ht="15.75" x14ac:dyDescent="0.2">
      <c r="A66" s="14" t="s">
        <v>23</v>
      </c>
      <c r="B66" s="352"/>
      <c r="C66" s="352"/>
      <c r="D66" s="349"/>
      <c r="E66" s="11"/>
      <c r="F66" s="351"/>
      <c r="G66" s="351"/>
      <c r="H66" s="349"/>
      <c r="I66" s="11"/>
      <c r="J66" s="308"/>
      <c r="K66" s="315"/>
      <c r="L66" s="373"/>
      <c r="M66" s="11"/>
    </row>
    <row r="67" spans="1:14" x14ac:dyDescent="0.2">
      <c r="A67" s="367" t="s">
        <v>9</v>
      </c>
      <c r="B67" s="44"/>
      <c r="C67" s="145"/>
      <c r="D67" s="166"/>
      <c r="E67" s="27"/>
      <c r="F67" s="234"/>
      <c r="G67" s="145"/>
      <c r="H67" s="166"/>
      <c r="I67" s="27"/>
      <c r="J67" s="286"/>
      <c r="K67" s="44"/>
      <c r="L67" s="254"/>
      <c r="M67" s="27"/>
    </row>
    <row r="68" spans="1:14" x14ac:dyDescent="0.2">
      <c r="A68" s="21" t="s">
        <v>10</v>
      </c>
      <c r="B68" s="291"/>
      <c r="C68" s="292"/>
      <c r="D68" s="166"/>
      <c r="E68" s="27"/>
      <c r="F68" s="291"/>
      <c r="G68" s="292"/>
      <c r="H68" s="166"/>
      <c r="I68" s="27"/>
      <c r="J68" s="286"/>
      <c r="K68" s="44"/>
      <c r="L68" s="254"/>
      <c r="M68" s="27"/>
    </row>
    <row r="69" spans="1:14" ht="15.75" x14ac:dyDescent="0.2">
      <c r="A69" s="295" t="s">
        <v>466</v>
      </c>
      <c r="B69" s="280"/>
      <c r="C69" s="280"/>
      <c r="D69" s="166"/>
      <c r="E69" s="365"/>
      <c r="F69" s="280"/>
      <c r="G69" s="280"/>
      <c r="H69" s="166"/>
      <c r="I69" s="365"/>
      <c r="J69" s="289"/>
      <c r="K69" s="289"/>
      <c r="L69" s="166"/>
      <c r="M69" s="23"/>
    </row>
    <row r="70" spans="1:14" x14ac:dyDescent="0.2">
      <c r="A70" s="295" t="s">
        <v>12</v>
      </c>
      <c r="B70" s="293"/>
      <c r="C70" s="294"/>
      <c r="D70" s="166"/>
      <c r="E70" s="365"/>
      <c r="F70" s="280"/>
      <c r="G70" s="280"/>
      <c r="H70" s="166"/>
      <c r="I70" s="365"/>
      <c r="J70" s="289"/>
      <c r="K70" s="289"/>
      <c r="L70" s="166"/>
      <c r="M70" s="23"/>
    </row>
    <row r="71" spans="1:14" x14ac:dyDescent="0.2">
      <c r="A71" s="295" t="s">
        <v>13</v>
      </c>
      <c r="B71" s="235"/>
      <c r="C71" s="288"/>
      <c r="D71" s="166"/>
      <c r="E71" s="365"/>
      <c r="F71" s="280"/>
      <c r="G71" s="280"/>
      <c r="H71" s="166"/>
      <c r="I71" s="365"/>
      <c r="J71" s="289"/>
      <c r="K71" s="289"/>
      <c r="L71" s="166"/>
      <c r="M71" s="23"/>
    </row>
    <row r="72" spans="1:14" ht="15.75" x14ac:dyDescent="0.2">
      <c r="A72" s="295" t="s">
        <v>467</v>
      </c>
      <c r="B72" s="280"/>
      <c r="C72" s="280"/>
      <c r="D72" s="166"/>
      <c r="E72" s="365"/>
      <c r="F72" s="280"/>
      <c r="G72" s="280"/>
      <c r="H72" s="166"/>
      <c r="I72" s="365"/>
      <c r="J72" s="289"/>
      <c r="K72" s="289"/>
      <c r="L72" s="166"/>
      <c r="M72" s="23"/>
    </row>
    <row r="73" spans="1:14" x14ac:dyDescent="0.2">
      <c r="A73" s="295" t="s">
        <v>12</v>
      </c>
      <c r="B73" s="235"/>
      <c r="C73" s="288"/>
      <c r="D73" s="166"/>
      <c r="E73" s="365"/>
      <c r="F73" s="280"/>
      <c r="G73" s="280"/>
      <c r="H73" s="166"/>
      <c r="I73" s="365"/>
      <c r="J73" s="289"/>
      <c r="K73" s="289"/>
      <c r="L73" s="166"/>
      <c r="M73" s="23"/>
    </row>
    <row r="74" spans="1:14" s="3" customFormat="1" x14ac:dyDescent="0.2">
      <c r="A74" s="295" t="s">
        <v>13</v>
      </c>
      <c r="B74" s="235"/>
      <c r="C74" s="288"/>
      <c r="D74" s="166"/>
      <c r="E74" s="365"/>
      <c r="F74" s="280"/>
      <c r="G74" s="280"/>
      <c r="H74" s="166"/>
      <c r="I74" s="365"/>
      <c r="J74" s="289"/>
      <c r="K74" s="289"/>
      <c r="L74" s="166"/>
      <c r="M74" s="23"/>
      <c r="N74" s="148"/>
    </row>
    <row r="75" spans="1:14" s="3" customFormat="1" x14ac:dyDescent="0.2">
      <c r="A75" s="21" t="s">
        <v>353</v>
      </c>
      <c r="B75" s="234"/>
      <c r="C75" s="145"/>
      <c r="D75" s="166"/>
      <c r="E75" s="27"/>
      <c r="F75" s="234"/>
      <c r="G75" s="145"/>
      <c r="H75" s="166"/>
      <c r="I75" s="27"/>
      <c r="J75" s="286"/>
      <c r="K75" s="44"/>
      <c r="L75" s="254"/>
      <c r="M75" s="27"/>
      <c r="N75" s="148"/>
    </row>
    <row r="76" spans="1:14" s="3" customFormat="1" x14ac:dyDescent="0.2">
      <c r="A76" s="21" t="s">
        <v>352</v>
      </c>
      <c r="B76" s="234"/>
      <c r="C76" s="145"/>
      <c r="D76" s="166"/>
      <c r="E76" s="27"/>
      <c r="F76" s="234"/>
      <c r="G76" s="145"/>
      <c r="H76" s="166"/>
      <c r="I76" s="27"/>
      <c r="J76" s="286"/>
      <c r="K76" s="44"/>
      <c r="L76" s="254"/>
      <c r="M76" s="27"/>
      <c r="N76" s="148"/>
    </row>
    <row r="77" spans="1:14" ht="15.75" x14ac:dyDescent="0.2">
      <c r="A77" s="21" t="s">
        <v>468</v>
      </c>
      <c r="B77" s="234"/>
      <c r="C77" s="234"/>
      <c r="D77" s="166"/>
      <c r="E77" s="27"/>
      <c r="F77" s="234"/>
      <c r="G77" s="145"/>
      <c r="H77" s="166"/>
      <c r="I77" s="27"/>
      <c r="J77" s="286"/>
      <c r="K77" s="44"/>
      <c r="L77" s="254"/>
      <c r="M77" s="27"/>
    </row>
    <row r="78" spans="1:14" x14ac:dyDescent="0.2">
      <c r="A78" s="21" t="s">
        <v>9</v>
      </c>
      <c r="B78" s="234"/>
      <c r="C78" s="145"/>
      <c r="D78" s="166"/>
      <c r="E78" s="27"/>
      <c r="F78" s="234"/>
      <c r="G78" s="145"/>
      <c r="H78" s="166"/>
      <c r="I78" s="27"/>
      <c r="J78" s="286"/>
      <c r="K78" s="44"/>
      <c r="L78" s="254"/>
      <c r="M78" s="27"/>
    </row>
    <row r="79" spans="1:14" x14ac:dyDescent="0.2">
      <c r="A79" s="21" t="s">
        <v>10</v>
      </c>
      <c r="B79" s="291"/>
      <c r="C79" s="292"/>
      <c r="D79" s="166"/>
      <c r="E79" s="27"/>
      <c r="F79" s="291"/>
      <c r="G79" s="292"/>
      <c r="H79" s="166"/>
      <c r="I79" s="27"/>
      <c r="J79" s="286"/>
      <c r="K79" s="44"/>
      <c r="L79" s="254"/>
      <c r="M79" s="27"/>
    </row>
    <row r="80" spans="1:14" ht="15.75" x14ac:dyDescent="0.2">
      <c r="A80" s="295" t="s">
        <v>466</v>
      </c>
      <c r="B80" s="280"/>
      <c r="C80" s="280"/>
      <c r="D80" s="166"/>
      <c r="E80" s="365"/>
      <c r="F80" s="280"/>
      <c r="G80" s="280"/>
      <c r="H80" s="166"/>
      <c r="I80" s="365"/>
      <c r="J80" s="289"/>
      <c r="K80" s="289"/>
      <c r="L80" s="166"/>
      <c r="M80" s="23"/>
    </row>
    <row r="81" spans="1:13" x14ac:dyDescent="0.2">
      <c r="A81" s="295" t="s">
        <v>12</v>
      </c>
      <c r="B81" s="235"/>
      <c r="C81" s="288"/>
      <c r="D81" s="166"/>
      <c r="E81" s="365"/>
      <c r="F81" s="280"/>
      <c r="G81" s="280"/>
      <c r="H81" s="166"/>
      <c r="I81" s="365"/>
      <c r="J81" s="289"/>
      <c r="K81" s="289"/>
      <c r="L81" s="166"/>
      <c r="M81" s="23"/>
    </row>
    <row r="82" spans="1:13" x14ac:dyDescent="0.2">
      <c r="A82" s="295" t="s">
        <v>13</v>
      </c>
      <c r="B82" s="235"/>
      <c r="C82" s="288"/>
      <c r="D82" s="166"/>
      <c r="E82" s="365"/>
      <c r="F82" s="280"/>
      <c r="G82" s="280"/>
      <c r="H82" s="166"/>
      <c r="I82" s="365"/>
      <c r="J82" s="289"/>
      <c r="K82" s="289"/>
      <c r="L82" s="166"/>
      <c r="M82" s="23"/>
    </row>
    <row r="83" spans="1:13" ht="15.75" x14ac:dyDescent="0.2">
      <c r="A83" s="295" t="s">
        <v>467</v>
      </c>
      <c r="B83" s="280"/>
      <c r="C83" s="280"/>
      <c r="D83" s="166"/>
      <c r="E83" s="365"/>
      <c r="F83" s="280"/>
      <c r="G83" s="280"/>
      <c r="H83" s="166"/>
      <c r="I83" s="365"/>
      <c r="J83" s="289"/>
      <c r="K83" s="289"/>
      <c r="L83" s="166"/>
      <c r="M83" s="23"/>
    </row>
    <row r="84" spans="1:13" x14ac:dyDescent="0.2">
      <c r="A84" s="295" t="s">
        <v>12</v>
      </c>
      <c r="B84" s="235"/>
      <c r="C84" s="288"/>
      <c r="D84" s="166"/>
      <c r="E84" s="365"/>
      <c r="F84" s="280"/>
      <c r="G84" s="280"/>
      <c r="H84" s="166"/>
      <c r="I84" s="365"/>
      <c r="J84" s="289"/>
      <c r="K84" s="289"/>
      <c r="L84" s="166"/>
      <c r="M84" s="23"/>
    </row>
    <row r="85" spans="1:13" x14ac:dyDescent="0.2">
      <c r="A85" s="295" t="s">
        <v>13</v>
      </c>
      <c r="B85" s="235"/>
      <c r="C85" s="288"/>
      <c r="D85" s="166"/>
      <c r="E85" s="365"/>
      <c r="F85" s="280"/>
      <c r="G85" s="280"/>
      <c r="H85" s="166"/>
      <c r="I85" s="365"/>
      <c r="J85" s="289"/>
      <c r="K85" s="289"/>
      <c r="L85" s="166"/>
      <c r="M85" s="23"/>
    </row>
    <row r="86" spans="1:13" ht="15.75" x14ac:dyDescent="0.2">
      <c r="A86" s="21" t="s">
        <v>469</v>
      </c>
      <c r="B86" s="234"/>
      <c r="C86" s="145"/>
      <c r="D86" s="166"/>
      <c r="E86" s="27"/>
      <c r="F86" s="234"/>
      <c r="G86" s="145"/>
      <c r="H86" s="166"/>
      <c r="I86" s="27"/>
      <c r="J86" s="286"/>
      <c r="K86" s="44"/>
      <c r="L86" s="254"/>
      <c r="M86" s="27"/>
    </row>
    <row r="87" spans="1:13" ht="15.75" x14ac:dyDescent="0.2">
      <c r="A87" s="13" t="s">
        <v>451</v>
      </c>
      <c r="B87" s="352"/>
      <c r="C87" s="352"/>
      <c r="D87" s="171"/>
      <c r="E87" s="11"/>
      <c r="F87" s="351"/>
      <c r="G87" s="351"/>
      <c r="H87" s="171"/>
      <c r="I87" s="11"/>
      <c r="J87" s="308"/>
      <c r="K87" s="236"/>
      <c r="L87" s="373"/>
      <c r="M87" s="11"/>
    </row>
    <row r="88" spans="1:13" x14ac:dyDescent="0.2">
      <c r="A88" s="21" t="s">
        <v>9</v>
      </c>
      <c r="B88" s="234"/>
      <c r="C88" s="145"/>
      <c r="D88" s="166"/>
      <c r="E88" s="27"/>
      <c r="F88" s="234"/>
      <c r="G88" s="145"/>
      <c r="H88" s="166"/>
      <c r="I88" s="27"/>
      <c r="J88" s="286"/>
      <c r="K88" s="44"/>
      <c r="L88" s="254"/>
      <c r="M88" s="27"/>
    </row>
    <row r="89" spans="1:13" x14ac:dyDescent="0.2">
      <c r="A89" s="21" t="s">
        <v>10</v>
      </c>
      <c r="B89" s="234"/>
      <c r="C89" s="145"/>
      <c r="D89" s="166"/>
      <c r="E89" s="27"/>
      <c r="F89" s="234"/>
      <c r="G89" s="145"/>
      <c r="H89" s="166"/>
      <c r="I89" s="27"/>
      <c r="J89" s="286"/>
      <c r="K89" s="44"/>
      <c r="L89" s="254"/>
      <c r="M89" s="27"/>
    </row>
    <row r="90" spans="1:13" ht="15.75" x14ac:dyDescent="0.2">
      <c r="A90" s="295" t="s">
        <v>466</v>
      </c>
      <c r="B90" s="280"/>
      <c r="C90" s="280"/>
      <c r="D90" s="166"/>
      <c r="E90" s="365"/>
      <c r="F90" s="280"/>
      <c r="G90" s="280"/>
      <c r="H90" s="166"/>
      <c r="I90" s="365"/>
      <c r="J90" s="289"/>
      <c r="K90" s="289"/>
      <c r="L90" s="166"/>
      <c r="M90" s="23"/>
    </row>
    <row r="91" spans="1:13" x14ac:dyDescent="0.2">
      <c r="A91" s="295" t="s">
        <v>12</v>
      </c>
      <c r="B91" s="235"/>
      <c r="C91" s="288"/>
      <c r="D91" s="166"/>
      <c r="E91" s="365"/>
      <c r="F91" s="280"/>
      <c r="G91" s="280"/>
      <c r="H91" s="166"/>
      <c r="I91" s="365"/>
      <c r="J91" s="289"/>
      <c r="K91" s="289"/>
      <c r="L91" s="166"/>
      <c r="M91" s="23"/>
    </row>
    <row r="92" spans="1:13" x14ac:dyDescent="0.2">
      <c r="A92" s="295" t="s">
        <v>13</v>
      </c>
      <c r="B92" s="235"/>
      <c r="C92" s="288"/>
      <c r="D92" s="166"/>
      <c r="E92" s="365"/>
      <c r="F92" s="280"/>
      <c r="G92" s="280"/>
      <c r="H92" s="166"/>
      <c r="I92" s="365"/>
      <c r="J92" s="289"/>
      <c r="K92" s="289"/>
      <c r="L92" s="166"/>
      <c r="M92" s="23"/>
    </row>
    <row r="93" spans="1:13" ht="15.75" x14ac:dyDescent="0.2">
      <c r="A93" s="295" t="s">
        <v>467</v>
      </c>
      <c r="B93" s="280"/>
      <c r="C93" s="280"/>
      <c r="D93" s="166"/>
      <c r="E93" s="365"/>
      <c r="F93" s="280"/>
      <c r="G93" s="280"/>
      <c r="H93" s="166"/>
      <c r="I93" s="365"/>
      <c r="J93" s="289"/>
      <c r="K93" s="289"/>
      <c r="L93" s="166"/>
      <c r="M93" s="23"/>
    </row>
    <row r="94" spans="1:13" x14ac:dyDescent="0.2">
      <c r="A94" s="295" t="s">
        <v>12</v>
      </c>
      <c r="B94" s="235"/>
      <c r="C94" s="288"/>
      <c r="D94" s="166"/>
      <c r="E94" s="365"/>
      <c r="F94" s="280"/>
      <c r="G94" s="280"/>
      <c r="H94" s="166"/>
      <c r="I94" s="365"/>
      <c r="J94" s="289"/>
      <c r="K94" s="289"/>
      <c r="L94" s="166"/>
      <c r="M94" s="23"/>
    </row>
    <row r="95" spans="1:13" x14ac:dyDescent="0.2">
      <c r="A95" s="295" t="s">
        <v>13</v>
      </c>
      <c r="B95" s="235"/>
      <c r="C95" s="288"/>
      <c r="D95" s="166"/>
      <c r="E95" s="365"/>
      <c r="F95" s="280"/>
      <c r="G95" s="280"/>
      <c r="H95" s="166"/>
      <c r="I95" s="365"/>
      <c r="J95" s="289"/>
      <c r="K95" s="289"/>
      <c r="L95" s="166"/>
      <c r="M95" s="23"/>
    </row>
    <row r="96" spans="1:13" x14ac:dyDescent="0.2">
      <c r="A96" s="21" t="s">
        <v>351</v>
      </c>
      <c r="B96" s="234"/>
      <c r="C96" s="145"/>
      <c r="D96" s="166"/>
      <c r="E96" s="27"/>
      <c r="F96" s="234"/>
      <c r="G96" s="145"/>
      <c r="H96" s="166"/>
      <c r="I96" s="27"/>
      <c r="J96" s="286"/>
      <c r="K96" s="44"/>
      <c r="L96" s="254"/>
      <c r="M96" s="27"/>
    </row>
    <row r="97" spans="1:13" x14ac:dyDescent="0.2">
      <c r="A97" s="21" t="s">
        <v>350</v>
      </c>
      <c r="B97" s="234"/>
      <c r="C97" s="145"/>
      <c r="D97" s="166"/>
      <c r="E97" s="27"/>
      <c r="F97" s="234"/>
      <c r="G97" s="145"/>
      <c r="H97" s="166"/>
      <c r="I97" s="27"/>
      <c r="J97" s="286"/>
      <c r="K97" s="44"/>
      <c r="L97" s="254"/>
      <c r="M97" s="27"/>
    </row>
    <row r="98" spans="1:13" ht="15.75" x14ac:dyDescent="0.2">
      <c r="A98" s="21" t="s">
        <v>468</v>
      </c>
      <c r="B98" s="234"/>
      <c r="C98" s="234"/>
      <c r="D98" s="166"/>
      <c r="E98" s="27"/>
      <c r="F98" s="291"/>
      <c r="G98" s="291"/>
      <c r="H98" s="166"/>
      <c r="I98" s="27"/>
      <c r="J98" s="286"/>
      <c r="K98" s="44"/>
      <c r="L98" s="254"/>
      <c r="M98" s="27"/>
    </row>
    <row r="99" spans="1:13" x14ac:dyDescent="0.2">
      <c r="A99" s="21" t="s">
        <v>9</v>
      </c>
      <c r="B99" s="291"/>
      <c r="C99" s="292"/>
      <c r="D99" s="166"/>
      <c r="E99" s="27"/>
      <c r="F99" s="234"/>
      <c r="G99" s="145"/>
      <c r="H99" s="166"/>
      <c r="I99" s="27"/>
      <c r="J99" s="286"/>
      <c r="K99" s="44"/>
      <c r="L99" s="254"/>
      <c r="M99" s="27"/>
    </row>
    <row r="100" spans="1:13" x14ac:dyDescent="0.2">
      <c r="A100" s="21" t="s">
        <v>10</v>
      </c>
      <c r="B100" s="291"/>
      <c r="C100" s="292"/>
      <c r="D100" s="166"/>
      <c r="E100" s="27"/>
      <c r="F100" s="234"/>
      <c r="G100" s="234"/>
      <c r="H100" s="166"/>
      <c r="I100" s="27"/>
      <c r="J100" s="286"/>
      <c r="K100" s="44"/>
      <c r="L100" s="254"/>
      <c r="M100" s="27"/>
    </row>
    <row r="101" spans="1:13" ht="15.75" x14ac:dyDescent="0.2">
      <c r="A101" s="295" t="s">
        <v>466</v>
      </c>
      <c r="B101" s="280"/>
      <c r="C101" s="280"/>
      <c r="D101" s="166"/>
      <c r="E101" s="365"/>
      <c r="F101" s="280"/>
      <c r="G101" s="280"/>
      <c r="H101" s="166"/>
      <c r="I101" s="365"/>
      <c r="J101" s="289"/>
      <c r="K101" s="289"/>
      <c r="L101" s="166"/>
      <c r="M101" s="23"/>
    </row>
    <row r="102" spans="1:13" x14ac:dyDescent="0.2">
      <c r="A102" s="295" t="s">
        <v>12</v>
      </c>
      <c r="B102" s="235"/>
      <c r="C102" s="288"/>
      <c r="D102" s="166"/>
      <c r="E102" s="365"/>
      <c r="F102" s="280"/>
      <c r="G102" s="280"/>
      <c r="H102" s="166"/>
      <c r="I102" s="365"/>
      <c r="J102" s="289"/>
      <c r="K102" s="289"/>
      <c r="L102" s="166"/>
      <c r="M102" s="23"/>
    </row>
    <row r="103" spans="1:13" x14ac:dyDescent="0.2">
      <c r="A103" s="295" t="s">
        <v>13</v>
      </c>
      <c r="B103" s="235"/>
      <c r="C103" s="288"/>
      <c r="D103" s="166"/>
      <c r="E103" s="365"/>
      <c r="F103" s="280"/>
      <c r="G103" s="280"/>
      <c r="H103" s="166"/>
      <c r="I103" s="365"/>
      <c r="J103" s="289"/>
      <c r="K103" s="289"/>
      <c r="L103" s="166"/>
      <c r="M103" s="23"/>
    </row>
    <row r="104" spans="1:13" ht="15.75" x14ac:dyDescent="0.2">
      <c r="A104" s="295" t="s">
        <v>467</v>
      </c>
      <c r="B104" s="280"/>
      <c r="C104" s="280"/>
      <c r="D104" s="166"/>
      <c r="E104" s="365"/>
      <c r="F104" s="280"/>
      <c r="G104" s="280"/>
      <c r="H104" s="166"/>
      <c r="I104" s="365"/>
      <c r="J104" s="289"/>
      <c r="K104" s="289"/>
      <c r="L104" s="166"/>
      <c r="M104" s="23"/>
    </row>
    <row r="105" spans="1:13" x14ac:dyDescent="0.2">
      <c r="A105" s="295" t="s">
        <v>12</v>
      </c>
      <c r="B105" s="235"/>
      <c r="C105" s="288"/>
      <c r="D105" s="166"/>
      <c r="E105" s="365"/>
      <c r="F105" s="280"/>
      <c r="G105" s="280"/>
      <c r="H105" s="166"/>
      <c r="I105" s="365"/>
      <c r="J105" s="289"/>
      <c r="K105" s="289"/>
      <c r="L105" s="166"/>
      <c r="M105" s="23"/>
    </row>
    <row r="106" spans="1:13" x14ac:dyDescent="0.2">
      <c r="A106" s="295" t="s">
        <v>13</v>
      </c>
      <c r="B106" s="235"/>
      <c r="C106" s="288"/>
      <c r="D106" s="166"/>
      <c r="E106" s="365"/>
      <c r="F106" s="280"/>
      <c r="G106" s="280"/>
      <c r="H106" s="166"/>
      <c r="I106" s="365"/>
      <c r="J106" s="289"/>
      <c r="K106" s="289"/>
      <c r="L106" s="166"/>
      <c r="M106" s="23"/>
    </row>
    <row r="107" spans="1:13" ht="15.75" x14ac:dyDescent="0.2">
      <c r="A107" s="21" t="s">
        <v>469</v>
      </c>
      <c r="B107" s="234"/>
      <c r="C107" s="145"/>
      <c r="D107" s="166"/>
      <c r="E107" s="27"/>
      <c r="F107" s="234"/>
      <c r="G107" s="145"/>
      <c r="H107" s="166"/>
      <c r="I107" s="27"/>
      <c r="J107" s="286"/>
      <c r="K107" s="44"/>
      <c r="L107" s="254"/>
      <c r="M107" s="27"/>
    </row>
    <row r="108" spans="1:13" ht="15.75" x14ac:dyDescent="0.2">
      <c r="A108" s="21" t="s">
        <v>470</v>
      </c>
      <c r="B108" s="234"/>
      <c r="C108" s="234"/>
      <c r="D108" s="166"/>
      <c r="E108" s="27"/>
      <c r="F108" s="234"/>
      <c r="G108" s="234"/>
      <c r="H108" s="166"/>
      <c r="I108" s="27"/>
      <c r="J108" s="286"/>
      <c r="K108" s="44"/>
      <c r="L108" s="254"/>
      <c r="M108" s="27"/>
    </row>
    <row r="109" spans="1:13" ht="15.75" x14ac:dyDescent="0.2">
      <c r="A109" s="21" t="s">
        <v>471</v>
      </c>
      <c r="B109" s="234"/>
      <c r="C109" s="234"/>
      <c r="D109" s="166"/>
      <c r="E109" s="27"/>
      <c r="F109" s="234"/>
      <c r="G109" s="234"/>
      <c r="H109" s="166"/>
      <c r="I109" s="27"/>
      <c r="J109" s="286"/>
      <c r="K109" s="44"/>
      <c r="L109" s="254"/>
      <c r="M109" s="27"/>
    </row>
    <row r="110" spans="1:13" ht="15.75" x14ac:dyDescent="0.2">
      <c r="A110" s="21" t="s">
        <v>472</v>
      </c>
      <c r="B110" s="234"/>
      <c r="C110" s="234"/>
      <c r="D110" s="166"/>
      <c r="E110" s="27"/>
      <c r="F110" s="234"/>
      <c r="G110" s="234"/>
      <c r="H110" s="166"/>
      <c r="I110" s="27"/>
      <c r="J110" s="286"/>
      <c r="K110" s="44"/>
      <c r="L110" s="254"/>
      <c r="M110" s="27"/>
    </row>
    <row r="111" spans="1:13" ht="15.75" x14ac:dyDescent="0.2">
      <c r="A111" s="13" t="s">
        <v>452</v>
      </c>
      <c r="B111" s="307"/>
      <c r="C111" s="159"/>
      <c r="D111" s="171"/>
      <c r="E111" s="11"/>
      <c r="F111" s="307"/>
      <c r="G111" s="159"/>
      <c r="H111" s="171"/>
      <c r="I111" s="11"/>
      <c r="J111" s="308"/>
      <c r="K111" s="236"/>
      <c r="L111" s="373"/>
      <c r="M111" s="11"/>
    </row>
    <row r="112" spans="1:13" x14ac:dyDescent="0.2">
      <c r="A112" s="21" t="s">
        <v>9</v>
      </c>
      <c r="B112" s="234"/>
      <c r="C112" s="145"/>
      <c r="D112" s="166"/>
      <c r="E112" s="27"/>
      <c r="F112" s="234"/>
      <c r="G112" s="145"/>
      <c r="H112" s="166"/>
      <c r="I112" s="27"/>
      <c r="J112" s="286"/>
      <c r="K112" s="44"/>
      <c r="L112" s="254"/>
      <c r="M112" s="27"/>
    </row>
    <row r="113" spans="1:14" x14ac:dyDescent="0.2">
      <c r="A113" s="21" t="s">
        <v>10</v>
      </c>
      <c r="B113" s="234"/>
      <c r="C113" s="145"/>
      <c r="D113" s="166"/>
      <c r="E113" s="27"/>
      <c r="F113" s="234"/>
      <c r="G113" s="145"/>
      <c r="H113" s="166"/>
      <c r="I113" s="27"/>
      <c r="J113" s="286"/>
      <c r="K113" s="44"/>
      <c r="L113" s="254"/>
      <c r="M113" s="27"/>
    </row>
    <row r="114" spans="1:14" x14ac:dyDescent="0.2">
      <c r="A114" s="21" t="s">
        <v>26</v>
      </c>
      <c r="B114" s="234"/>
      <c r="C114" s="145"/>
      <c r="D114" s="166"/>
      <c r="E114" s="27"/>
      <c r="F114" s="234"/>
      <c r="G114" s="145"/>
      <c r="H114" s="166"/>
      <c r="I114" s="27"/>
      <c r="J114" s="286"/>
      <c r="K114" s="44"/>
      <c r="L114" s="254"/>
      <c r="M114" s="27"/>
    </row>
    <row r="115" spans="1:14" x14ac:dyDescent="0.2">
      <c r="A115" s="295" t="s">
        <v>15</v>
      </c>
      <c r="B115" s="280"/>
      <c r="C115" s="280"/>
      <c r="D115" s="166"/>
      <c r="E115" s="365"/>
      <c r="F115" s="280"/>
      <c r="G115" s="280"/>
      <c r="H115" s="166"/>
      <c r="I115" s="365"/>
      <c r="J115" s="289"/>
      <c r="K115" s="289"/>
      <c r="L115" s="166"/>
      <c r="M115" s="23"/>
    </row>
    <row r="116" spans="1:14" ht="15.75" x14ac:dyDescent="0.2">
      <c r="A116" s="21" t="s">
        <v>473</v>
      </c>
      <c r="B116" s="234"/>
      <c r="C116" s="234"/>
      <c r="D116" s="166"/>
      <c r="E116" s="27"/>
      <c r="F116" s="234"/>
      <c r="G116" s="234"/>
      <c r="H116" s="166"/>
      <c r="I116" s="27"/>
      <c r="J116" s="286"/>
      <c r="K116" s="44"/>
      <c r="L116" s="254"/>
      <c r="M116" s="27"/>
    </row>
    <row r="117" spans="1:14" ht="15.75" x14ac:dyDescent="0.2">
      <c r="A117" s="21" t="s">
        <v>474</v>
      </c>
      <c r="B117" s="234"/>
      <c r="C117" s="234"/>
      <c r="D117" s="166"/>
      <c r="E117" s="27"/>
      <c r="F117" s="234"/>
      <c r="G117" s="234"/>
      <c r="H117" s="166"/>
      <c r="I117" s="27"/>
      <c r="J117" s="286"/>
      <c r="K117" s="44"/>
      <c r="L117" s="254"/>
      <c r="M117" s="27"/>
    </row>
    <row r="118" spans="1:14" ht="15.75" x14ac:dyDescent="0.2">
      <c r="A118" s="21" t="s">
        <v>472</v>
      </c>
      <c r="B118" s="234"/>
      <c r="C118" s="234"/>
      <c r="D118" s="166"/>
      <c r="E118" s="27"/>
      <c r="F118" s="234"/>
      <c r="G118" s="234"/>
      <c r="H118" s="166"/>
      <c r="I118" s="27"/>
      <c r="J118" s="286"/>
      <c r="K118" s="44"/>
      <c r="L118" s="254"/>
      <c r="M118" s="27"/>
    </row>
    <row r="119" spans="1:14" ht="15.75" x14ac:dyDescent="0.2">
      <c r="A119" s="13" t="s">
        <v>453</v>
      </c>
      <c r="B119" s="307"/>
      <c r="C119" s="159"/>
      <c r="D119" s="171"/>
      <c r="E119" s="11"/>
      <c r="F119" s="307"/>
      <c r="G119" s="159"/>
      <c r="H119" s="171"/>
      <c r="I119" s="11"/>
      <c r="J119" s="308"/>
      <c r="K119" s="236"/>
      <c r="L119" s="373"/>
      <c r="M119" s="11"/>
    </row>
    <row r="120" spans="1:14" x14ac:dyDescent="0.2">
      <c r="A120" s="21" t="s">
        <v>9</v>
      </c>
      <c r="B120" s="234"/>
      <c r="C120" s="145"/>
      <c r="D120" s="166"/>
      <c r="E120" s="27"/>
      <c r="F120" s="234"/>
      <c r="G120" s="145"/>
      <c r="H120" s="166"/>
      <c r="I120" s="27"/>
      <c r="J120" s="286"/>
      <c r="K120" s="44"/>
      <c r="L120" s="254"/>
      <c r="M120" s="27"/>
    </row>
    <row r="121" spans="1:14" x14ac:dyDescent="0.2">
      <c r="A121" s="21" t="s">
        <v>10</v>
      </c>
      <c r="B121" s="234"/>
      <c r="C121" s="145"/>
      <c r="D121" s="166"/>
      <c r="E121" s="27"/>
      <c r="F121" s="234"/>
      <c r="G121" s="145"/>
      <c r="H121" s="166"/>
      <c r="I121" s="27"/>
      <c r="J121" s="286"/>
      <c r="K121" s="44"/>
      <c r="L121" s="254"/>
      <c r="M121" s="27"/>
    </row>
    <row r="122" spans="1:14" x14ac:dyDescent="0.2">
      <c r="A122" s="21" t="s">
        <v>26</v>
      </c>
      <c r="B122" s="234"/>
      <c r="C122" s="145"/>
      <c r="D122" s="166"/>
      <c r="E122" s="27"/>
      <c r="F122" s="234"/>
      <c r="G122" s="145"/>
      <c r="H122" s="166"/>
      <c r="I122" s="27"/>
      <c r="J122" s="286"/>
      <c r="K122" s="44"/>
      <c r="L122" s="254"/>
      <c r="M122" s="27"/>
    </row>
    <row r="123" spans="1:14" x14ac:dyDescent="0.2">
      <c r="A123" s="295" t="s">
        <v>14</v>
      </c>
      <c r="B123" s="280"/>
      <c r="C123" s="280"/>
      <c r="D123" s="166"/>
      <c r="E123" s="365"/>
      <c r="F123" s="280"/>
      <c r="G123" s="280"/>
      <c r="H123" s="166"/>
      <c r="I123" s="365"/>
      <c r="J123" s="289"/>
      <c r="K123" s="289"/>
      <c r="L123" s="166"/>
      <c r="M123" s="23"/>
    </row>
    <row r="124" spans="1:14" ht="15.75" x14ac:dyDescent="0.2">
      <c r="A124" s="21" t="s">
        <v>479</v>
      </c>
      <c r="B124" s="234"/>
      <c r="C124" s="234"/>
      <c r="D124" s="166"/>
      <c r="E124" s="27"/>
      <c r="F124" s="234"/>
      <c r="G124" s="234"/>
      <c r="H124" s="166"/>
      <c r="I124" s="27"/>
      <c r="J124" s="286"/>
      <c r="K124" s="44"/>
      <c r="L124" s="254"/>
      <c r="M124" s="27"/>
    </row>
    <row r="125" spans="1:14" ht="15.75" x14ac:dyDescent="0.2">
      <c r="A125" s="21" t="s">
        <v>471</v>
      </c>
      <c r="B125" s="234"/>
      <c r="C125" s="234"/>
      <c r="D125" s="166"/>
      <c r="E125" s="27"/>
      <c r="F125" s="234"/>
      <c r="G125" s="234"/>
      <c r="H125" s="166"/>
      <c r="I125" s="27"/>
      <c r="J125" s="286"/>
      <c r="K125" s="44"/>
      <c r="L125" s="254"/>
      <c r="M125" s="27"/>
    </row>
    <row r="126" spans="1:14" ht="15.75" x14ac:dyDescent="0.2">
      <c r="A126" s="10" t="s">
        <v>472</v>
      </c>
      <c r="B126" s="45"/>
      <c r="C126" s="45"/>
      <c r="D126" s="167"/>
      <c r="E126" s="366"/>
      <c r="F126" s="45"/>
      <c r="G126" s="45"/>
      <c r="H126" s="167"/>
      <c r="I126" s="22"/>
      <c r="J126" s="287"/>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975"/>
      <c r="C130" s="975"/>
      <c r="D130" s="975"/>
      <c r="E130" s="298"/>
      <c r="F130" s="975"/>
      <c r="G130" s="975"/>
      <c r="H130" s="975"/>
      <c r="I130" s="298"/>
      <c r="J130" s="975"/>
      <c r="K130" s="975"/>
      <c r="L130" s="975"/>
      <c r="M130" s="298"/>
    </row>
    <row r="131" spans="1:14" s="3" customFormat="1" x14ac:dyDescent="0.2">
      <c r="A131" s="144"/>
      <c r="B131" s="973" t="s">
        <v>0</v>
      </c>
      <c r="C131" s="974"/>
      <c r="D131" s="974"/>
      <c r="E131" s="300"/>
      <c r="F131" s="973" t="s">
        <v>1</v>
      </c>
      <c r="G131" s="974"/>
      <c r="H131" s="974"/>
      <c r="I131" s="303"/>
      <c r="J131" s="973" t="s">
        <v>2</v>
      </c>
      <c r="K131" s="974"/>
      <c r="L131" s="974"/>
      <c r="M131" s="303"/>
      <c r="N131" s="148"/>
    </row>
    <row r="132" spans="1:14" s="3" customFormat="1" x14ac:dyDescent="0.2">
      <c r="A132" s="140"/>
      <c r="B132" s="152" t="s">
        <v>492</v>
      </c>
      <c r="C132" s="152" t="s">
        <v>493</v>
      </c>
      <c r="D132" s="245" t="s">
        <v>3</v>
      </c>
      <c r="E132" s="304" t="s">
        <v>29</v>
      </c>
      <c r="F132" s="152" t="s">
        <v>492</v>
      </c>
      <c r="G132" s="152" t="s">
        <v>493</v>
      </c>
      <c r="H132" s="206" t="s">
        <v>3</v>
      </c>
      <c r="I132" s="162" t="s">
        <v>29</v>
      </c>
      <c r="J132" s="152" t="s">
        <v>492</v>
      </c>
      <c r="K132" s="152" t="s">
        <v>493</v>
      </c>
      <c r="L132" s="246" t="s">
        <v>3</v>
      </c>
      <c r="M132" s="162" t="s">
        <v>29</v>
      </c>
      <c r="N132" s="148"/>
    </row>
    <row r="133" spans="1:14" s="3" customFormat="1" x14ac:dyDescent="0.2">
      <c r="A133" s="947"/>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475</v>
      </c>
      <c r="B134" s="236">
        <v>4800000</v>
      </c>
      <c r="C134" s="308">
        <v>5149100</v>
      </c>
      <c r="D134" s="349">
        <f t="shared" ref="D134:D136" si="1">IF(B134=0, "    ---- ", IF(ABS(ROUND(100/B134*C134-100,1))&lt;999,ROUND(100/B134*C134-100,1),IF(ROUND(100/B134*C134-100,1)&gt;999,999,-999)))</f>
        <v>7.3</v>
      </c>
      <c r="E134" s="11">
        <f>IFERROR(100/'Skjema total MA'!C134*C134,0)</f>
        <v>11.326443783170799</v>
      </c>
      <c r="F134" s="315"/>
      <c r="G134" s="316"/>
      <c r="H134" s="376"/>
      <c r="I134" s="24"/>
      <c r="J134" s="317">
        <f t="shared" ref="J134:K136" si="2">SUM(B134,F134)</f>
        <v>4800000</v>
      </c>
      <c r="K134" s="317">
        <f t="shared" si="2"/>
        <v>5149100</v>
      </c>
      <c r="L134" s="372">
        <f t="shared" ref="L134:L136" si="3">IF(J134=0, "    ---- ", IF(ABS(ROUND(100/J134*K134-100,1))&lt;999,ROUND(100/J134*K134-100,1),IF(ROUND(100/J134*K134-100,1)&gt;999,999,-999)))</f>
        <v>7.3</v>
      </c>
      <c r="M134" s="11">
        <f>IFERROR(100/'Skjema total MA'!I134*K134,0)</f>
        <v>11.288499465544092</v>
      </c>
      <c r="N134" s="148"/>
    </row>
    <row r="135" spans="1:14" s="3" customFormat="1" ht="15.75" x14ac:dyDescent="0.2">
      <c r="A135" s="13" t="s">
        <v>480</v>
      </c>
      <c r="B135" s="236">
        <v>74694000</v>
      </c>
      <c r="C135" s="308">
        <v>76067254.04129</v>
      </c>
      <c r="D135" s="171">
        <f t="shared" si="1"/>
        <v>1.8</v>
      </c>
      <c r="E135" s="11">
        <f>IFERROR(100/'Skjema total MA'!C135*C135,0)</f>
        <v>12.965362177789121</v>
      </c>
      <c r="F135" s="236"/>
      <c r="G135" s="308"/>
      <c r="H135" s="377"/>
      <c r="I135" s="24"/>
      <c r="J135" s="307">
        <f t="shared" si="2"/>
        <v>74694000</v>
      </c>
      <c r="K135" s="307">
        <f t="shared" si="2"/>
        <v>76067254.04129</v>
      </c>
      <c r="L135" s="373">
        <f t="shared" si="3"/>
        <v>1.8</v>
      </c>
      <c r="M135" s="11">
        <f>IFERROR(100/'Skjema total MA'!I135*K135,0)</f>
        <v>12.905886044982946</v>
      </c>
      <c r="N135" s="148"/>
    </row>
    <row r="136" spans="1:14" s="3" customFormat="1" ht="15.75" x14ac:dyDescent="0.2">
      <c r="A136" s="13" t="s">
        <v>477</v>
      </c>
      <c r="B136" s="236">
        <v>313566</v>
      </c>
      <c r="C136" s="308">
        <v>105904.966</v>
      </c>
      <c r="D136" s="171">
        <f t="shared" si="1"/>
        <v>-66.2</v>
      </c>
      <c r="E136" s="11">
        <f>IFERROR(100/'Skjema total MA'!C136*C136,0)</f>
        <v>123.12197482479453</v>
      </c>
      <c r="F136" s="236"/>
      <c r="G136" s="308"/>
      <c r="H136" s="377"/>
      <c r="I136" s="24"/>
      <c r="J136" s="307">
        <f t="shared" si="2"/>
        <v>313566</v>
      </c>
      <c r="K136" s="307">
        <f t="shared" si="2"/>
        <v>105904.966</v>
      </c>
      <c r="L136" s="373">
        <f t="shared" si="3"/>
        <v>-66.2</v>
      </c>
      <c r="M136" s="11">
        <f>IFERROR(100/'Skjema total MA'!I136*K136,0)</f>
        <v>90.390053026600583</v>
      </c>
      <c r="N136" s="148"/>
    </row>
    <row r="137" spans="1:14" s="3" customFormat="1" ht="15.75" x14ac:dyDescent="0.2">
      <c r="A137" s="41" t="s">
        <v>478</v>
      </c>
      <c r="B137" s="275"/>
      <c r="C137" s="314"/>
      <c r="D137" s="169"/>
      <c r="E137" s="9"/>
      <c r="F137" s="275"/>
      <c r="G137" s="314"/>
      <c r="H137" s="378"/>
      <c r="I137" s="36"/>
      <c r="J137" s="313"/>
      <c r="K137" s="313"/>
      <c r="L137" s="374"/>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571" priority="132">
      <formula>kvartal &lt; 4</formula>
    </cfRule>
  </conditionalFormatting>
  <conditionalFormatting sqref="B69">
    <cfRule type="expression" dxfId="570" priority="100">
      <formula>kvartal &lt; 4</formula>
    </cfRule>
  </conditionalFormatting>
  <conditionalFormatting sqref="C69">
    <cfRule type="expression" dxfId="569" priority="99">
      <formula>kvartal &lt; 4</formula>
    </cfRule>
  </conditionalFormatting>
  <conditionalFormatting sqref="B72">
    <cfRule type="expression" dxfId="568" priority="98">
      <formula>kvartal &lt; 4</formula>
    </cfRule>
  </conditionalFormatting>
  <conditionalFormatting sqref="C72">
    <cfRule type="expression" dxfId="567" priority="97">
      <formula>kvartal &lt; 4</formula>
    </cfRule>
  </conditionalFormatting>
  <conditionalFormatting sqref="B80">
    <cfRule type="expression" dxfId="566" priority="96">
      <formula>kvartal &lt; 4</formula>
    </cfRule>
  </conditionalFormatting>
  <conditionalFormatting sqref="C80">
    <cfRule type="expression" dxfId="565" priority="95">
      <formula>kvartal &lt; 4</formula>
    </cfRule>
  </conditionalFormatting>
  <conditionalFormatting sqref="B83">
    <cfRule type="expression" dxfId="564" priority="94">
      <formula>kvartal &lt; 4</formula>
    </cfRule>
  </conditionalFormatting>
  <conditionalFormatting sqref="C83">
    <cfRule type="expression" dxfId="563" priority="93">
      <formula>kvartal &lt; 4</formula>
    </cfRule>
  </conditionalFormatting>
  <conditionalFormatting sqref="B90">
    <cfRule type="expression" dxfId="562" priority="84">
      <formula>kvartal &lt; 4</formula>
    </cfRule>
  </conditionalFormatting>
  <conditionalFormatting sqref="C90">
    <cfRule type="expression" dxfId="561" priority="83">
      <formula>kvartal &lt; 4</formula>
    </cfRule>
  </conditionalFormatting>
  <conditionalFormatting sqref="B93">
    <cfRule type="expression" dxfId="560" priority="82">
      <formula>kvartal &lt; 4</formula>
    </cfRule>
  </conditionalFormatting>
  <conditionalFormatting sqref="C93">
    <cfRule type="expression" dxfId="559" priority="81">
      <formula>kvartal &lt; 4</formula>
    </cfRule>
  </conditionalFormatting>
  <conditionalFormatting sqref="B101">
    <cfRule type="expression" dxfId="558" priority="80">
      <formula>kvartal &lt; 4</formula>
    </cfRule>
  </conditionalFormatting>
  <conditionalFormatting sqref="C101">
    <cfRule type="expression" dxfId="557" priority="79">
      <formula>kvartal &lt; 4</formula>
    </cfRule>
  </conditionalFormatting>
  <conditionalFormatting sqref="B104">
    <cfRule type="expression" dxfId="556" priority="78">
      <formula>kvartal &lt; 4</formula>
    </cfRule>
  </conditionalFormatting>
  <conditionalFormatting sqref="C104">
    <cfRule type="expression" dxfId="555" priority="77">
      <formula>kvartal &lt; 4</formula>
    </cfRule>
  </conditionalFormatting>
  <conditionalFormatting sqref="B115">
    <cfRule type="expression" dxfId="554" priority="76">
      <formula>kvartal &lt; 4</formula>
    </cfRule>
  </conditionalFormatting>
  <conditionalFormatting sqref="C115">
    <cfRule type="expression" dxfId="553" priority="75">
      <formula>kvartal &lt; 4</formula>
    </cfRule>
  </conditionalFormatting>
  <conditionalFormatting sqref="B123">
    <cfRule type="expression" dxfId="552" priority="74">
      <formula>kvartal &lt; 4</formula>
    </cfRule>
  </conditionalFormatting>
  <conditionalFormatting sqref="C123">
    <cfRule type="expression" dxfId="551" priority="73">
      <formula>kvartal &lt; 4</formula>
    </cfRule>
  </conditionalFormatting>
  <conditionalFormatting sqref="F70">
    <cfRule type="expression" dxfId="550" priority="72">
      <formula>kvartal &lt; 4</formula>
    </cfRule>
  </conditionalFormatting>
  <conditionalFormatting sqref="G70">
    <cfRule type="expression" dxfId="549" priority="71">
      <formula>kvartal &lt; 4</formula>
    </cfRule>
  </conditionalFormatting>
  <conditionalFormatting sqref="F71:G71">
    <cfRule type="expression" dxfId="548" priority="70">
      <formula>kvartal &lt; 4</formula>
    </cfRule>
  </conditionalFormatting>
  <conditionalFormatting sqref="F73:G74">
    <cfRule type="expression" dxfId="547" priority="69">
      <formula>kvartal &lt; 4</formula>
    </cfRule>
  </conditionalFormatting>
  <conditionalFormatting sqref="F81:G82">
    <cfRule type="expression" dxfId="546" priority="68">
      <formula>kvartal &lt; 4</formula>
    </cfRule>
  </conditionalFormatting>
  <conditionalFormatting sqref="F84:G85">
    <cfRule type="expression" dxfId="545" priority="67">
      <formula>kvartal &lt; 4</formula>
    </cfRule>
  </conditionalFormatting>
  <conditionalFormatting sqref="F91:G92">
    <cfRule type="expression" dxfId="544" priority="62">
      <formula>kvartal &lt; 4</formula>
    </cfRule>
  </conditionalFormatting>
  <conditionalFormatting sqref="F94:G95">
    <cfRule type="expression" dxfId="543" priority="61">
      <formula>kvartal &lt; 4</formula>
    </cfRule>
  </conditionalFormatting>
  <conditionalFormatting sqref="F102:G103">
    <cfRule type="expression" dxfId="542" priority="60">
      <formula>kvartal &lt; 4</formula>
    </cfRule>
  </conditionalFormatting>
  <conditionalFormatting sqref="F105:G106">
    <cfRule type="expression" dxfId="541" priority="59">
      <formula>kvartal &lt; 4</formula>
    </cfRule>
  </conditionalFormatting>
  <conditionalFormatting sqref="F115">
    <cfRule type="expression" dxfId="540" priority="58">
      <formula>kvartal &lt; 4</formula>
    </cfRule>
  </conditionalFormatting>
  <conditionalFormatting sqref="G115">
    <cfRule type="expression" dxfId="539" priority="57">
      <formula>kvartal &lt; 4</formula>
    </cfRule>
  </conditionalFormatting>
  <conditionalFormatting sqref="F123:G123">
    <cfRule type="expression" dxfId="538" priority="56">
      <formula>kvartal &lt; 4</formula>
    </cfRule>
  </conditionalFormatting>
  <conditionalFormatting sqref="F69:G69">
    <cfRule type="expression" dxfId="537" priority="55">
      <formula>kvartal &lt; 4</formula>
    </cfRule>
  </conditionalFormatting>
  <conditionalFormatting sqref="F72:G72">
    <cfRule type="expression" dxfId="536" priority="54">
      <formula>kvartal &lt; 4</formula>
    </cfRule>
  </conditionalFormatting>
  <conditionalFormatting sqref="F80:G80">
    <cfRule type="expression" dxfId="535" priority="53">
      <formula>kvartal &lt; 4</formula>
    </cfRule>
  </conditionalFormatting>
  <conditionalFormatting sqref="F83:G83">
    <cfRule type="expression" dxfId="534" priority="52">
      <formula>kvartal &lt; 4</formula>
    </cfRule>
  </conditionalFormatting>
  <conditionalFormatting sqref="F90:G90">
    <cfRule type="expression" dxfId="533" priority="46">
      <formula>kvartal &lt; 4</formula>
    </cfRule>
  </conditionalFormatting>
  <conditionalFormatting sqref="F93">
    <cfRule type="expression" dxfId="532" priority="45">
      <formula>kvartal &lt; 4</formula>
    </cfRule>
  </conditionalFormatting>
  <conditionalFormatting sqref="G93">
    <cfRule type="expression" dxfId="531" priority="44">
      <formula>kvartal &lt; 4</formula>
    </cfRule>
  </conditionalFormatting>
  <conditionalFormatting sqref="F101">
    <cfRule type="expression" dxfId="530" priority="43">
      <formula>kvartal &lt; 4</formula>
    </cfRule>
  </conditionalFormatting>
  <conditionalFormatting sqref="G101">
    <cfRule type="expression" dxfId="529" priority="42">
      <formula>kvartal &lt; 4</formula>
    </cfRule>
  </conditionalFormatting>
  <conditionalFormatting sqref="G104">
    <cfRule type="expression" dxfId="528" priority="41">
      <formula>kvartal &lt; 4</formula>
    </cfRule>
  </conditionalFormatting>
  <conditionalFormatting sqref="F104">
    <cfRule type="expression" dxfId="527" priority="40">
      <formula>kvartal &lt; 4</formula>
    </cfRule>
  </conditionalFormatting>
  <conditionalFormatting sqref="J69:K73">
    <cfRule type="expression" dxfId="526" priority="39">
      <formula>kvartal &lt; 4</formula>
    </cfRule>
  </conditionalFormatting>
  <conditionalFormatting sqref="J74:K74">
    <cfRule type="expression" dxfId="525" priority="38">
      <formula>kvartal &lt; 4</formula>
    </cfRule>
  </conditionalFormatting>
  <conditionalFormatting sqref="J80:K85">
    <cfRule type="expression" dxfId="524" priority="37">
      <formula>kvartal &lt; 4</formula>
    </cfRule>
  </conditionalFormatting>
  <conditionalFormatting sqref="J90:K95">
    <cfRule type="expression" dxfId="523" priority="34">
      <formula>kvartal &lt; 4</formula>
    </cfRule>
  </conditionalFormatting>
  <conditionalFormatting sqref="J101:K106">
    <cfRule type="expression" dxfId="522" priority="33">
      <formula>kvartal &lt; 4</formula>
    </cfRule>
  </conditionalFormatting>
  <conditionalFormatting sqref="J115:K115">
    <cfRule type="expression" dxfId="521" priority="32">
      <formula>kvartal &lt; 4</formula>
    </cfRule>
  </conditionalFormatting>
  <conditionalFormatting sqref="J123:K123">
    <cfRule type="expression" dxfId="520" priority="31">
      <formula>kvartal &lt; 4</formula>
    </cfRule>
  </conditionalFormatting>
  <conditionalFormatting sqref="A50:A52">
    <cfRule type="expression" dxfId="519" priority="12">
      <formula>kvartal &lt; 4</formula>
    </cfRule>
  </conditionalFormatting>
  <conditionalFormatting sqref="A69:A74">
    <cfRule type="expression" dxfId="518" priority="10">
      <formula>kvartal &lt; 4</formula>
    </cfRule>
  </conditionalFormatting>
  <conditionalFormatting sqref="A80:A85">
    <cfRule type="expression" dxfId="517" priority="9">
      <formula>kvartal &lt; 4</formula>
    </cfRule>
  </conditionalFormatting>
  <conditionalFormatting sqref="A90:A95">
    <cfRule type="expression" dxfId="516" priority="6">
      <formula>kvartal &lt; 4</formula>
    </cfRule>
  </conditionalFormatting>
  <conditionalFormatting sqref="A101:A106">
    <cfRule type="expression" dxfId="515" priority="5">
      <formula>kvartal &lt; 4</formula>
    </cfRule>
  </conditionalFormatting>
  <conditionalFormatting sqref="A115">
    <cfRule type="expression" dxfId="514" priority="4">
      <formula>kvartal &lt; 4</formula>
    </cfRule>
  </conditionalFormatting>
  <conditionalFormatting sqref="A123">
    <cfRule type="expression" dxfId="513" priority="3">
      <formula>kvartal &lt; 4</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44"/>
  <sheetViews>
    <sheetView showGridLines="0" zoomScaleNormal="100" workbookViewId="0">
      <selection activeCell="B1" sqref="B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139</v>
      </c>
      <c r="B1" s="945"/>
      <c r="C1" s="752" t="s">
        <v>450</v>
      </c>
      <c r="D1" s="26"/>
      <c r="E1" s="26"/>
      <c r="F1" s="26"/>
      <c r="G1" s="26"/>
      <c r="H1" s="26"/>
      <c r="I1" s="26"/>
      <c r="J1" s="26"/>
      <c r="K1" s="26"/>
      <c r="L1" s="26"/>
      <c r="M1" s="26"/>
    </row>
    <row r="2" spans="1:14" ht="15.75" x14ac:dyDescent="0.25">
      <c r="A2" s="165" t="s">
        <v>28</v>
      </c>
      <c r="B2" s="972"/>
      <c r="C2" s="972"/>
      <c r="D2" s="972"/>
      <c r="E2" s="749"/>
      <c r="F2" s="972"/>
      <c r="G2" s="972"/>
      <c r="H2" s="972"/>
      <c r="I2" s="749"/>
      <c r="J2" s="972"/>
      <c r="K2" s="972"/>
      <c r="L2" s="972"/>
      <c r="M2" s="749"/>
    </row>
    <row r="3" spans="1:14" ht="15.75" x14ac:dyDescent="0.25">
      <c r="A3" s="163"/>
      <c r="B3" s="749"/>
      <c r="C3" s="749"/>
      <c r="D3" s="749"/>
      <c r="E3" s="749"/>
      <c r="F3" s="749"/>
      <c r="G3" s="749"/>
      <c r="H3" s="749"/>
      <c r="I3" s="749"/>
      <c r="J3" s="749"/>
      <c r="K3" s="749"/>
      <c r="L3" s="749"/>
      <c r="M3" s="749"/>
    </row>
    <row r="4" spans="1:14" x14ac:dyDescent="0.2">
      <c r="A4" s="144"/>
      <c r="B4" s="973" t="s">
        <v>0</v>
      </c>
      <c r="C4" s="974"/>
      <c r="D4" s="974"/>
      <c r="E4" s="747"/>
      <c r="F4" s="973" t="s">
        <v>1</v>
      </c>
      <c r="G4" s="974"/>
      <c r="H4" s="974"/>
      <c r="I4" s="748"/>
      <c r="J4" s="973" t="s">
        <v>2</v>
      </c>
      <c r="K4" s="974"/>
      <c r="L4" s="974"/>
      <c r="M4" s="748"/>
    </row>
    <row r="5" spans="1:14" x14ac:dyDescent="0.2">
      <c r="A5" s="158"/>
      <c r="B5" s="152" t="s">
        <v>492</v>
      </c>
      <c r="C5" s="152" t="s">
        <v>493</v>
      </c>
      <c r="D5" s="245" t="s">
        <v>3</v>
      </c>
      <c r="E5" s="304" t="s">
        <v>29</v>
      </c>
      <c r="F5" s="152" t="s">
        <v>492</v>
      </c>
      <c r="G5" s="152" t="s">
        <v>493</v>
      </c>
      <c r="H5" s="245" t="s">
        <v>3</v>
      </c>
      <c r="I5" s="162" t="s">
        <v>29</v>
      </c>
      <c r="J5" s="152" t="s">
        <v>492</v>
      </c>
      <c r="K5" s="152" t="s">
        <v>493</v>
      </c>
      <c r="L5" s="245" t="s">
        <v>3</v>
      </c>
      <c r="M5" s="162" t="s">
        <v>29</v>
      </c>
    </row>
    <row r="6" spans="1:14" x14ac:dyDescent="0.2">
      <c r="A6" s="946"/>
      <c r="B6" s="156"/>
      <c r="C6" s="156"/>
      <c r="D6" s="246" t="s">
        <v>4</v>
      </c>
      <c r="E6" s="156" t="s">
        <v>30</v>
      </c>
      <c r="F6" s="161"/>
      <c r="G6" s="161"/>
      <c r="H6" s="245" t="s">
        <v>4</v>
      </c>
      <c r="I6" s="156" t="s">
        <v>30</v>
      </c>
      <c r="J6" s="161"/>
      <c r="K6" s="161"/>
      <c r="L6" s="245" t="s">
        <v>4</v>
      </c>
      <c r="M6" s="156" t="s">
        <v>30</v>
      </c>
    </row>
    <row r="7" spans="1:14" ht="15.75" x14ac:dyDescent="0.2">
      <c r="A7" s="14" t="s">
        <v>23</v>
      </c>
      <c r="B7" s="305">
        <v>2912.8819322703798</v>
      </c>
      <c r="C7" s="306">
        <v>2806.40366629239</v>
      </c>
      <c r="D7" s="349">
        <f>IF(B7=0, "    ---- ", IF(ABS(ROUND(100/B7*C7-100,1))&lt;999,ROUND(100/B7*C7-100,1),IF(ROUND(100/B7*C7-100,1)&gt;999,999,-999)))</f>
        <v>-3.7</v>
      </c>
      <c r="E7" s="11">
        <f>IFERROR(100/'Skjema total MA'!C7*C7,0)</f>
        <v>5.9682470357732248E-2</v>
      </c>
      <c r="F7" s="305"/>
      <c r="G7" s="306"/>
      <c r="H7" s="349"/>
      <c r="I7" s="160"/>
      <c r="J7" s="307">
        <f t="shared" ref="J7:K9" si="0">SUM(B7,F7)</f>
        <v>2912.8819322703798</v>
      </c>
      <c r="K7" s="308">
        <f t="shared" si="0"/>
        <v>2806.40366629239</v>
      </c>
      <c r="L7" s="372">
        <f>IF(J7=0, "    ---- ", IF(ABS(ROUND(100/J7*K7-100,1))&lt;999,ROUND(100/J7*K7-100,1),IF(ROUND(100/J7*K7-100,1)&gt;999,999,-999)))</f>
        <v>-3.7</v>
      </c>
      <c r="M7" s="11">
        <f>IFERROR(100/'Skjema total MA'!I7*K7,0)</f>
        <v>1.8524808740835331E-2</v>
      </c>
    </row>
    <row r="8" spans="1:14" ht="15.75" x14ac:dyDescent="0.2">
      <c r="A8" s="21" t="s">
        <v>25</v>
      </c>
      <c r="B8" s="280"/>
      <c r="C8" s="281"/>
      <c r="D8" s="166"/>
      <c r="E8" s="27"/>
      <c r="F8" s="284"/>
      <c r="G8" s="285"/>
      <c r="H8" s="166"/>
      <c r="I8" s="175"/>
      <c r="J8" s="234"/>
      <c r="K8" s="286"/>
      <c r="L8" s="254"/>
      <c r="M8" s="27"/>
    </row>
    <row r="9" spans="1:14" ht="15.75" x14ac:dyDescent="0.2">
      <c r="A9" s="21" t="s">
        <v>24</v>
      </c>
      <c r="B9" s="280">
        <v>2912.8819322703798</v>
      </c>
      <c r="C9" s="281">
        <v>2806.40366629239</v>
      </c>
      <c r="D9" s="166">
        <f t="shared" ref="D9" si="1">IF(B9=0, "    ---- ", IF(ABS(ROUND(100/B9*C9-100,1))&lt;999,ROUND(100/B9*C9-100,1),IF(ROUND(100/B9*C9-100,1)&gt;999,999,-999)))</f>
        <v>-3.7</v>
      </c>
      <c r="E9" s="27">
        <f>IFERROR(100/'Skjema total MA'!C9*C9,0)</f>
        <v>0.28500001626646271</v>
      </c>
      <c r="F9" s="284"/>
      <c r="G9" s="285"/>
      <c r="H9" s="166"/>
      <c r="I9" s="175"/>
      <c r="J9" s="234">
        <f t="shared" si="0"/>
        <v>2912.8819322703798</v>
      </c>
      <c r="K9" s="286">
        <f t="shared" si="0"/>
        <v>2806.40366629239</v>
      </c>
      <c r="L9" s="166">
        <f t="shared" ref="L9" si="2">IF(J9=0, "    ---- ", IF(ABS(ROUND(100/J9*K9-100,1))&lt;999,ROUND(100/J9*K9-100,1),IF(ROUND(100/J9*K9-100,1)&gt;999,999,-999)))</f>
        <v>-3.7</v>
      </c>
      <c r="M9" s="27">
        <f>IFERROR(100/'Skjema total MA'!I9*K9,0)</f>
        <v>0.28500001626646271</v>
      </c>
    </row>
    <row r="10" spans="1:14" ht="15.75" x14ac:dyDescent="0.2">
      <c r="A10" s="13" t="s">
        <v>451</v>
      </c>
      <c r="B10" s="309"/>
      <c r="C10" s="310"/>
      <c r="D10" s="171"/>
      <c r="E10" s="11"/>
      <c r="F10" s="309"/>
      <c r="G10" s="310"/>
      <c r="H10" s="171"/>
      <c r="I10" s="160"/>
      <c r="J10" s="307"/>
      <c r="K10" s="308"/>
      <c r="L10" s="373"/>
      <c r="M10" s="11"/>
    </row>
    <row r="11" spans="1:14" s="43" customFormat="1" ht="15.75" x14ac:dyDescent="0.2">
      <c r="A11" s="13" t="s">
        <v>452</v>
      </c>
      <c r="B11" s="309"/>
      <c r="C11" s="310"/>
      <c r="D11" s="171"/>
      <c r="E11" s="11"/>
      <c r="F11" s="309"/>
      <c r="G11" s="310"/>
      <c r="H11" s="171"/>
      <c r="I11" s="160"/>
      <c r="J11" s="307"/>
      <c r="K11" s="308"/>
      <c r="L11" s="373"/>
      <c r="M11" s="11"/>
      <c r="N11" s="143"/>
    </row>
    <row r="12" spans="1:14" s="43" customFormat="1" ht="15.75" x14ac:dyDescent="0.2">
      <c r="A12" s="41" t="s">
        <v>453</v>
      </c>
      <c r="B12" s="311"/>
      <c r="C12" s="312"/>
      <c r="D12" s="169"/>
      <c r="E12" s="36"/>
      <c r="F12" s="311"/>
      <c r="G12" s="312"/>
      <c r="H12" s="169"/>
      <c r="I12" s="169"/>
      <c r="J12" s="313"/>
      <c r="K12" s="314"/>
      <c r="L12" s="374"/>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975"/>
      <c r="C18" s="975"/>
      <c r="D18" s="975"/>
      <c r="E18" s="749"/>
      <c r="F18" s="975"/>
      <c r="G18" s="975"/>
      <c r="H18" s="975"/>
      <c r="I18" s="749"/>
      <c r="J18" s="975"/>
      <c r="K18" s="975"/>
      <c r="L18" s="975"/>
      <c r="M18" s="749"/>
    </row>
    <row r="19" spans="1:14" x14ac:dyDescent="0.2">
      <c r="A19" s="144"/>
      <c r="B19" s="973" t="s">
        <v>0</v>
      </c>
      <c r="C19" s="974"/>
      <c r="D19" s="974"/>
      <c r="E19" s="747"/>
      <c r="F19" s="973" t="s">
        <v>1</v>
      </c>
      <c r="G19" s="974"/>
      <c r="H19" s="974"/>
      <c r="I19" s="748"/>
      <c r="J19" s="973" t="s">
        <v>2</v>
      </c>
      <c r="K19" s="974"/>
      <c r="L19" s="974"/>
      <c r="M19" s="748"/>
    </row>
    <row r="20" spans="1:14" x14ac:dyDescent="0.2">
      <c r="A20" s="140" t="s">
        <v>5</v>
      </c>
      <c r="B20" s="152" t="s">
        <v>492</v>
      </c>
      <c r="C20" s="152" t="s">
        <v>493</v>
      </c>
      <c r="D20" s="162" t="s">
        <v>3</v>
      </c>
      <c r="E20" s="304" t="s">
        <v>29</v>
      </c>
      <c r="F20" s="152" t="s">
        <v>492</v>
      </c>
      <c r="G20" s="152" t="s">
        <v>493</v>
      </c>
      <c r="H20" s="162" t="s">
        <v>3</v>
      </c>
      <c r="I20" s="162" t="s">
        <v>29</v>
      </c>
      <c r="J20" s="152" t="s">
        <v>492</v>
      </c>
      <c r="K20" s="152" t="s">
        <v>493</v>
      </c>
      <c r="L20" s="162" t="s">
        <v>3</v>
      </c>
      <c r="M20" s="162" t="s">
        <v>29</v>
      </c>
    </row>
    <row r="21" spans="1:14" x14ac:dyDescent="0.2">
      <c r="A21" s="947"/>
      <c r="B21" s="156"/>
      <c r="C21" s="156"/>
      <c r="D21" s="246" t="s">
        <v>4</v>
      </c>
      <c r="E21" s="156" t="s">
        <v>30</v>
      </c>
      <c r="F21" s="161"/>
      <c r="G21" s="161"/>
      <c r="H21" s="245"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372"/>
      <c r="M22" s="24"/>
    </row>
    <row r="23" spans="1:14" ht="15.75" x14ac:dyDescent="0.2">
      <c r="A23" s="753" t="s">
        <v>454</v>
      </c>
      <c r="B23" s="280"/>
      <c r="C23" s="280"/>
      <c r="D23" s="166"/>
      <c r="E23" s="11"/>
      <c r="F23" s="289"/>
      <c r="G23" s="289"/>
      <c r="H23" s="166"/>
      <c r="I23" s="365"/>
      <c r="J23" s="289"/>
      <c r="K23" s="289"/>
      <c r="L23" s="166"/>
      <c r="M23" s="23"/>
    </row>
    <row r="24" spans="1:14" ht="15.75" x14ac:dyDescent="0.2">
      <c r="A24" s="753" t="s">
        <v>455</v>
      </c>
      <c r="B24" s="280"/>
      <c r="C24" s="280"/>
      <c r="D24" s="166"/>
      <c r="E24" s="11"/>
      <c r="F24" s="289"/>
      <c r="G24" s="289"/>
      <c r="H24" s="166"/>
      <c r="I24" s="365"/>
      <c r="J24" s="289"/>
      <c r="K24" s="289"/>
      <c r="L24" s="166"/>
      <c r="M24" s="23"/>
    </row>
    <row r="25" spans="1:14" ht="15.75" x14ac:dyDescent="0.2">
      <c r="A25" s="753" t="s">
        <v>456</v>
      </c>
      <c r="B25" s="280"/>
      <c r="C25" s="280"/>
      <c r="D25" s="166"/>
      <c r="E25" s="11"/>
      <c r="F25" s="289"/>
      <c r="G25" s="289"/>
      <c r="H25" s="166"/>
      <c r="I25" s="365"/>
      <c r="J25" s="289"/>
      <c r="K25" s="289"/>
      <c r="L25" s="166"/>
      <c r="M25" s="23"/>
    </row>
    <row r="26" spans="1:14" ht="15.75" x14ac:dyDescent="0.2">
      <c r="A26" s="753" t="s">
        <v>457</v>
      </c>
      <c r="B26" s="280"/>
      <c r="C26" s="280"/>
      <c r="D26" s="166"/>
      <c r="E26" s="11"/>
      <c r="F26" s="289"/>
      <c r="G26" s="289"/>
      <c r="H26" s="166"/>
      <c r="I26" s="365"/>
      <c r="J26" s="289"/>
      <c r="K26" s="289"/>
      <c r="L26" s="166"/>
      <c r="M26" s="23"/>
    </row>
    <row r="27" spans="1:14" x14ac:dyDescent="0.2">
      <c r="A27" s="753" t="s">
        <v>11</v>
      </c>
      <c r="B27" s="280"/>
      <c r="C27" s="280"/>
      <c r="D27" s="166"/>
      <c r="E27" s="11"/>
      <c r="F27" s="289"/>
      <c r="G27" s="289"/>
      <c r="H27" s="166"/>
      <c r="I27" s="365"/>
      <c r="J27" s="289"/>
      <c r="K27" s="289"/>
      <c r="L27" s="166"/>
      <c r="M27" s="23"/>
    </row>
    <row r="28" spans="1:14" ht="15.75" x14ac:dyDescent="0.2">
      <c r="A28" s="49" t="s">
        <v>279</v>
      </c>
      <c r="B28" s="44"/>
      <c r="C28" s="286"/>
      <c r="D28" s="166"/>
      <c r="E28" s="11"/>
      <c r="F28" s="234"/>
      <c r="G28" s="286"/>
      <c r="H28" s="166"/>
      <c r="I28" s="27"/>
      <c r="J28" s="44"/>
      <c r="K28" s="44"/>
      <c r="L28" s="254"/>
      <c r="M28" s="23"/>
    </row>
    <row r="29" spans="1:14" s="3" customFormat="1" ht="15.75" x14ac:dyDescent="0.2">
      <c r="A29" s="13" t="s">
        <v>451</v>
      </c>
      <c r="B29" s="236"/>
      <c r="C29" s="236"/>
      <c r="D29" s="171"/>
      <c r="E29" s="11"/>
      <c r="F29" s="307"/>
      <c r="G29" s="307"/>
      <c r="H29" s="171"/>
      <c r="I29" s="11"/>
      <c r="J29" s="236"/>
      <c r="K29" s="236"/>
      <c r="L29" s="373"/>
      <c r="M29" s="24"/>
      <c r="N29" s="148"/>
    </row>
    <row r="30" spans="1:14" s="3" customFormat="1" ht="15.75" x14ac:dyDescent="0.2">
      <c r="A30" s="753" t="s">
        <v>454</v>
      </c>
      <c r="B30" s="280"/>
      <c r="C30" s="280"/>
      <c r="D30" s="166"/>
      <c r="E30" s="11"/>
      <c r="F30" s="289"/>
      <c r="G30" s="289"/>
      <c r="H30" s="166"/>
      <c r="I30" s="365"/>
      <c r="J30" s="289"/>
      <c r="K30" s="289"/>
      <c r="L30" s="166"/>
      <c r="M30" s="23"/>
      <c r="N30" s="148"/>
    </row>
    <row r="31" spans="1:14" s="3" customFormat="1" ht="15.75" x14ac:dyDescent="0.2">
      <c r="A31" s="753" t="s">
        <v>455</v>
      </c>
      <c r="B31" s="280"/>
      <c r="C31" s="280"/>
      <c r="D31" s="166"/>
      <c r="E31" s="11"/>
      <c r="F31" s="289"/>
      <c r="G31" s="289"/>
      <c r="H31" s="166"/>
      <c r="I31" s="365"/>
      <c r="J31" s="289"/>
      <c r="K31" s="289"/>
      <c r="L31" s="166"/>
      <c r="M31" s="23"/>
      <c r="N31" s="148"/>
    </row>
    <row r="32" spans="1:14" ht="15.75" x14ac:dyDescent="0.2">
      <c r="A32" s="753" t="s">
        <v>456</v>
      </c>
      <c r="B32" s="280"/>
      <c r="C32" s="280"/>
      <c r="D32" s="166"/>
      <c r="E32" s="11"/>
      <c r="F32" s="289"/>
      <c r="G32" s="289"/>
      <c r="H32" s="166"/>
      <c r="I32" s="365"/>
      <c r="J32" s="289"/>
      <c r="K32" s="289"/>
      <c r="L32" s="166"/>
      <c r="M32" s="23"/>
    </row>
    <row r="33" spans="1:14" ht="15.75" x14ac:dyDescent="0.2">
      <c r="A33" s="753" t="s">
        <v>457</v>
      </c>
      <c r="B33" s="280"/>
      <c r="C33" s="280"/>
      <c r="D33" s="166"/>
      <c r="E33" s="11"/>
      <c r="F33" s="289"/>
      <c r="G33" s="289"/>
      <c r="H33" s="166"/>
      <c r="I33" s="365"/>
      <c r="J33" s="289"/>
      <c r="K33" s="289"/>
      <c r="L33" s="166"/>
      <c r="M33" s="23"/>
    </row>
    <row r="34" spans="1:14" ht="15.75" x14ac:dyDescent="0.2">
      <c r="A34" s="13" t="s">
        <v>452</v>
      </c>
      <c r="B34" s="236"/>
      <c r="C34" s="308"/>
      <c r="D34" s="171"/>
      <c r="E34" s="11"/>
      <c r="F34" s="307"/>
      <c r="G34" s="308"/>
      <c r="H34" s="171"/>
      <c r="I34" s="11"/>
      <c r="J34" s="236"/>
      <c r="K34" s="236"/>
      <c r="L34" s="373"/>
      <c r="M34" s="24"/>
    </row>
    <row r="35" spans="1:14" ht="15.75" x14ac:dyDescent="0.2">
      <c r="A35" s="13" t="s">
        <v>453</v>
      </c>
      <c r="B35" s="236"/>
      <c r="C35" s="308"/>
      <c r="D35" s="171"/>
      <c r="E35" s="11"/>
      <c r="F35" s="307"/>
      <c r="G35" s="308"/>
      <c r="H35" s="171"/>
      <c r="I35" s="11"/>
      <c r="J35" s="236"/>
      <c r="K35" s="236"/>
      <c r="L35" s="373"/>
      <c r="M35" s="24"/>
    </row>
    <row r="36" spans="1:14" ht="15.75" x14ac:dyDescent="0.2">
      <c r="A36" s="12" t="s">
        <v>287</v>
      </c>
      <c r="B36" s="236"/>
      <c r="C36" s="308"/>
      <c r="D36" s="171"/>
      <c r="E36" s="11"/>
      <c r="F36" s="318"/>
      <c r="G36" s="319"/>
      <c r="H36" s="171"/>
      <c r="I36" s="379"/>
      <c r="J36" s="236"/>
      <c r="K36" s="236"/>
      <c r="L36" s="373"/>
      <c r="M36" s="24"/>
    </row>
    <row r="37" spans="1:14" ht="15.75" x14ac:dyDescent="0.2">
      <c r="A37" s="12" t="s">
        <v>459</v>
      </c>
      <c r="B37" s="236"/>
      <c r="C37" s="308"/>
      <c r="D37" s="171"/>
      <c r="E37" s="11"/>
      <c r="F37" s="318"/>
      <c r="G37" s="320"/>
      <c r="H37" s="171"/>
      <c r="I37" s="379"/>
      <c r="J37" s="236"/>
      <c r="K37" s="236"/>
      <c r="L37" s="373"/>
      <c r="M37" s="24"/>
    </row>
    <row r="38" spans="1:14" ht="15.75" x14ac:dyDescent="0.2">
      <c r="A38" s="12" t="s">
        <v>460</v>
      </c>
      <c r="B38" s="236"/>
      <c r="C38" s="308"/>
      <c r="D38" s="171"/>
      <c r="E38" s="24"/>
      <c r="F38" s="318"/>
      <c r="G38" s="319"/>
      <c r="H38" s="171"/>
      <c r="I38" s="379"/>
      <c r="J38" s="236"/>
      <c r="K38" s="236"/>
      <c r="L38" s="373"/>
      <c r="M38" s="24"/>
    </row>
    <row r="39" spans="1:14" ht="15.75" x14ac:dyDescent="0.2">
      <c r="A39" s="18" t="s">
        <v>461</v>
      </c>
      <c r="B39" s="275"/>
      <c r="C39" s="314"/>
      <c r="D39" s="169"/>
      <c r="E39" s="36"/>
      <c r="F39" s="321"/>
      <c r="G39" s="322"/>
      <c r="H39" s="169"/>
      <c r="I39" s="36"/>
      <c r="J39" s="236"/>
      <c r="K39" s="236"/>
      <c r="L39" s="374"/>
      <c r="M39" s="36"/>
    </row>
    <row r="40" spans="1:14" ht="15.75" x14ac:dyDescent="0.25">
      <c r="A40" s="47"/>
      <c r="B40" s="253"/>
      <c r="C40" s="253"/>
      <c r="D40" s="976"/>
      <c r="E40" s="976"/>
      <c r="F40" s="976"/>
      <c r="G40" s="976"/>
      <c r="H40" s="976"/>
      <c r="I40" s="976"/>
      <c r="J40" s="976"/>
      <c r="K40" s="976"/>
      <c r="L40" s="976"/>
      <c r="M40" s="751"/>
    </row>
    <row r="41" spans="1:14" x14ac:dyDescent="0.2">
      <c r="A41" s="155"/>
    </row>
    <row r="42" spans="1:14" ht="15.75" x14ac:dyDescent="0.25">
      <c r="A42" s="147" t="s">
        <v>276</v>
      </c>
      <c r="B42" s="972"/>
      <c r="C42" s="972"/>
      <c r="D42" s="972"/>
      <c r="E42" s="749"/>
      <c r="F42" s="977"/>
      <c r="G42" s="977"/>
      <c r="H42" s="977"/>
      <c r="I42" s="751"/>
      <c r="J42" s="977"/>
      <c r="K42" s="977"/>
      <c r="L42" s="977"/>
      <c r="M42" s="751"/>
    </row>
    <row r="43" spans="1:14" ht="15.75" x14ac:dyDescent="0.25">
      <c r="A43" s="163"/>
      <c r="B43" s="750"/>
      <c r="C43" s="750"/>
      <c r="D43" s="750"/>
      <c r="E43" s="750"/>
      <c r="F43" s="751"/>
      <c r="G43" s="751"/>
      <c r="H43" s="751"/>
      <c r="I43" s="751"/>
      <c r="J43" s="751"/>
      <c r="K43" s="751"/>
      <c r="L43" s="751"/>
      <c r="M43" s="751"/>
    </row>
    <row r="44" spans="1:14" ht="15.75" x14ac:dyDescent="0.25">
      <c r="A44" s="247"/>
      <c r="B44" s="973" t="s">
        <v>0</v>
      </c>
      <c r="C44" s="974"/>
      <c r="D44" s="974"/>
      <c r="E44" s="243"/>
      <c r="F44" s="751"/>
      <c r="G44" s="751"/>
      <c r="H44" s="751"/>
      <c r="I44" s="751"/>
      <c r="J44" s="751"/>
      <c r="K44" s="751"/>
      <c r="L44" s="751"/>
      <c r="M44" s="751"/>
    </row>
    <row r="45" spans="1:14" s="3" customFormat="1" x14ac:dyDescent="0.2">
      <c r="A45" s="140"/>
      <c r="B45" s="152" t="s">
        <v>492</v>
      </c>
      <c r="C45" s="152" t="s">
        <v>493</v>
      </c>
      <c r="D45" s="162" t="s">
        <v>3</v>
      </c>
      <c r="E45" s="162" t="s">
        <v>29</v>
      </c>
      <c r="F45" s="174"/>
      <c r="G45" s="174"/>
      <c r="H45" s="173"/>
      <c r="I45" s="173"/>
      <c r="J45" s="174"/>
      <c r="K45" s="174"/>
      <c r="L45" s="173"/>
      <c r="M45" s="173"/>
      <c r="N45" s="148"/>
    </row>
    <row r="46" spans="1:14" s="3" customFormat="1" x14ac:dyDescent="0.2">
      <c r="A46" s="947"/>
      <c r="B46" s="244"/>
      <c r="C46" s="244"/>
      <c r="D46" s="245" t="s">
        <v>4</v>
      </c>
      <c r="E46" s="156" t="s">
        <v>30</v>
      </c>
      <c r="F46" s="173"/>
      <c r="G46" s="173"/>
      <c r="H46" s="173"/>
      <c r="I46" s="173"/>
      <c r="J46" s="173"/>
      <c r="K46" s="173"/>
      <c r="L46" s="173"/>
      <c r="M46" s="173"/>
      <c r="N46" s="148"/>
    </row>
    <row r="47" spans="1:14" s="3" customFormat="1" ht="15.75" x14ac:dyDescent="0.2">
      <c r="A47" s="14" t="s">
        <v>23</v>
      </c>
      <c r="B47" s="309">
        <v>319996.84784078301</v>
      </c>
      <c r="C47" s="310">
        <v>309980.771259617</v>
      </c>
      <c r="D47" s="372">
        <f t="shared" ref="D47:D48" si="3">IF(B47=0, "    ---- ", IF(ABS(ROUND(100/B47*C47-100,1))&lt;999,ROUND(100/B47*C47-100,1),IF(ROUND(100/B47*C47-100,1)&gt;999,999,-999)))</f>
        <v>-3.1</v>
      </c>
      <c r="E47" s="11">
        <f>IFERROR(100/'Skjema total MA'!C47*C47,0)</f>
        <v>7.1621458978973838</v>
      </c>
      <c r="F47" s="145"/>
      <c r="G47" s="33"/>
      <c r="H47" s="159"/>
      <c r="I47" s="159"/>
      <c r="J47" s="37"/>
      <c r="K47" s="37"/>
      <c r="L47" s="159"/>
      <c r="M47" s="159"/>
      <c r="N47" s="148"/>
    </row>
    <row r="48" spans="1:14" s="3" customFormat="1" ht="15.75" x14ac:dyDescent="0.2">
      <c r="A48" s="38" t="s">
        <v>462</v>
      </c>
      <c r="B48" s="280">
        <v>319996.84784078301</v>
      </c>
      <c r="C48" s="281">
        <v>309980.771259617</v>
      </c>
      <c r="D48" s="254">
        <f t="shared" si="3"/>
        <v>-3.1</v>
      </c>
      <c r="E48" s="27">
        <f>IFERROR(100/'Skjema total MA'!C48*C48,0)</f>
        <v>12.918909595481813</v>
      </c>
      <c r="F48" s="145"/>
      <c r="G48" s="33"/>
      <c r="H48" s="145"/>
      <c r="I48" s="145"/>
      <c r="J48" s="33"/>
      <c r="K48" s="33"/>
      <c r="L48" s="159"/>
      <c r="M48" s="159"/>
      <c r="N48" s="148"/>
    </row>
    <row r="49" spans="1:14" s="3" customFormat="1" ht="15.75" x14ac:dyDescent="0.2">
      <c r="A49" s="38" t="s">
        <v>463</v>
      </c>
      <c r="B49" s="44"/>
      <c r="C49" s="286"/>
      <c r="D49" s="254"/>
      <c r="E49" s="27"/>
      <c r="F49" s="145"/>
      <c r="G49" s="33"/>
      <c r="H49" s="145"/>
      <c r="I49" s="145"/>
      <c r="J49" s="37"/>
      <c r="K49" s="37"/>
      <c r="L49" s="159"/>
      <c r="M49" s="159"/>
      <c r="N49" s="148"/>
    </row>
    <row r="50" spans="1:14" s="3" customFormat="1" x14ac:dyDescent="0.2">
      <c r="A50" s="295" t="s">
        <v>6</v>
      </c>
      <c r="B50" s="289"/>
      <c r="C50" s="290"/>
      <c r="D50" s="254"/>
      <c r="E50" s="23"/>
      <c r="F50" s="145"/>
      <c r="G50" s="33"/>
      <c r="H50" s="145"/>
      <c r="I50" s="145"/>
      <c r="J50" s="33"/>
      <c r="K50" s="33"/>
      <c r="L50" s="159"/>
      <c r="M50" s="159"/>
      <c r="N50" s="148"/>
    </row>
    <row r="51" spans="1:14" s="3" customFormat="1" x14ac:dyDescent="0.2">
      <c r="A51" s="295" t="s">
        <v>7</v>
      </c>
      <c r="B51" s="289"/>
      <c r="C51" s="290"/>
      <c r="D51" s="254"/>
      <c r="E51" s="23"/>
      <c r="F51" s="145"/>
      <c r="G51" s="33"/>
      <c r="H51" s="145"/>
      <c r="I51" s="145"/>
      <c r="J51" s="33"/>
      <c r="K51" s="33"/>
      <c r="L51" s="159"/>
      <c r="M51" s="159"/>
      <c r="N51" s="148"/>
    </row>
    <row r="52" spans="1:14" s="3" customFormat="1" x14ac:dyDescent="0.2">
      <c r="A52" s="295" t="s">
        <v>8</v>
      </c>
      <c r="B52" s="289"/>
      <c r="C52" s="290"/>
      <c r="D52" s="254"/>
      <c r="E52" s="23"/>
      <c r="F52" s="145"/>
      <c r="G52" s="33"/>
      <c r="H52" s="145"/>
      <c r="I52" s="145"/>
      <c r="J52" s="33"/>
      <c r="K52" s="33"/>
      <c r="L52" s="159"/>
      <c r="M52" s="159"/>
      <c r="N52" s="148"/>
    </row>
    <row r="53" spans="1:14" s="3" customFormat="1" ht="15.75" x14ac:dyDescent="0.2">
      <c r="A53" s="39" t="s">
        <v>464</v>
      </c>
      <c r="B53" s="309"/>
      <c r="C53" s="310"/>
      <c r="D53" s="373"/>
      <c r="E53" s="11"/>
      <c r="F53" s="145"/>
      <c r="G53" s="33"/>
      <c r="H53" s="145"/>
      <c r="I53" s="145"/>
      <c r="J53" s="33"/>
      <c r="K53" s="33"/>
      <c r="L53" s="159"/>
      <c r="M53" s="159"/>
      <c r="N53" s="148"/>
    </row>
    <row r="54" spans="1:14" s="3" customFormat="1" ht="15.75" x14ac:dyDescent="0.2">
      <c r="A54" s="38" t="s">
        <v>462</v>
      </c>
      <c r="B54" s="280"/>
      <c r="C54" s="281"/>
      <c r="D54" s="254"/>
      <c r="E54" s="27"/>
      <c r="F54" s="145"/>
      <c r="G54" s="33"/>
      <c r="H54" s="145"/>
      <c r="I54" s="145"/>
      <c r="J54" s="33"/>
      <c r="K54" s="33"/>
      <c r="L54" s="159"/>
      <c r="M54" s="159"/>
      <c r="N54" s="148"/>
    </row>
    <row r="55" spans="1:14" s="3" customFormat="1" ht="15.75" x14ac:dyDescent="0.2">
      <c r="A55" s="38" t="s">
        <v>463</v>
      </c>
      <c r="B55" s="280"/>
      <c r="C55" s="281"/>
      <c r="D55" s="254"/>
      <c r="E55" s="27"/>
      <c r="F55" s="145"/>
      <c r="G55" s="33"/>
      <c r="H55" s="145"/>
      <c r="I55" s="145"/>
      <c r="J55" s="33"/>
      <c r="K55" s="33"/>
      <c r="L55" s="159"/>
      <c r="M55" s="159"/>
      <c r="N55" s="148"/>
    </row>
    <row r="56" spans="1:14" s="3" customFormat="1" ht="15.75" x14ac:dyDescent="0.2">
      <c r="A56" s="39" t="s">
        <v>465</v>
      </c>
      <c r="B56" s="309"/>
      <c r="C56" s="310"/>
      <c r="D56" s="373"/>
      <c r="E56" s="11"/>
      <c r="F56" s="145"/>
      <c r="G56" s="33"/>
      <c r="H56" s="145"/>
      <c r="I56" s="145"/>
      <c r="J56" s="33"/>
      <c r="K56" s="33"/>
      <c r="L56" s="159"/>
      <c r="M56" s="159"/>
      <c r="N56" s="148"/>
    </row>
    <row r="57" spans="1:14" s="3" customFormat="1" ht="15.75" x14ac:dyDescent="0.2">
      <c r="A57" s="38" t="s">
        <v>462</v>
      </c>
      <c r="B57" s="280"/>
      <c r="C57" s="281"/>
      <c r="D57" s="254"/>
      <c r="E57" s="27"/>
      <c r="F57" s="145"/>
      <c r="G57" s="33"/>
      <c r="H57" s="145"/>
      <c r="I57" s="145"/>
      <c r="J57" s="33"/>
      <c r="K57" s="33"/>
      <c r="L57" s="159"/>
      <c r="M57" s="159"/>
      <c r="N57" s="148"/>
    </row>
    <row r="58" spans="1:14" s="3" customFormat="1" ht="15.75" x14ac:dyDescent="0.2">
      <c r="A58" s="46" t="s">
        <v>463</v>
      </c>
      <c r="B58" s="282"/>
      <c r="C58" s="283"/>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975"/>
      <c r="C62" s="975"/>
      <c r="D62" s="975"/>
      <c r="E62" s="749"/>
      <c r="F62" s="975"/>
      <c r="G62" s="975"/>
      <c r="H62" s="975"/>
      <c r="I62" s="749"/>
      <c r="J62" s="975"/>
      <c r="K62" s="975"/>
      <c r="L62" s="975"/>
      <c r="M62" s="749"/>
    </row>
    <row r="63" spans="1:14" x14ac:dyDescent="0.2">
      <c r="A63" s="144"/>
      <c r="B63" s="973" t="s">
        <v>0</v>
      </c>
      <c r="C63" s="974"/>
      <c r="D63" s="978"/>
      <c r="E63" s="746"/>
      <c r="F63" s="974" t="s">
        <v>1</v>
      </c>
      <c r="G63" s="974"/>
      <c r="H63" s="974"/>
      <c r="I63" s="748"/>
      <c r="J63" s="973" t="s">
        <v>2</v>
      </c>
      <c r="K63" s="974"/>
      <c r="L63" s="974"/>
      <c r="M63" s="748"/>
    </row>
    <row r="64" spans="1:14" x14ac:dyDescent="0.2">
      <c r="A64" s="140"/>
      <c r="B64" s="152" t="s">
        <v>492</v>
      </c>
      <c r="C64" s="152" t="s">
        <v>493</v>
      </c>
      <c r="D64" s="245" t="s">
        <v>3</v>
      </c>
      <c r="E64" s="304" t="s">
        <v>29</v>
      </c>
      <c r="F64" s="152" t="s">
        <v>492</v>
      </c>
      <c r="G64" s="152" t="s">
        <v>493</v>
      </c>
      <c r="H64" s="245" t="s">
        <v>3</v>
      </c>
      <c r="I64" s="304" t="s">
        <v>29</v>
      </c>
      <c r="J64" s="152" t="s">
        <v>492</v>
      </c>
      <c r="K64" s="152" t="s">
        <v>493</v>
      </c>
      <c r="L64" s="245" t="s">
        <v>3</v>
      </c>
      <c r="M64" s="162" t="s">
        <v>29</v>
      </c>
    </row>
    <row r="65" spans="1:14" x14ac:dyDescent="0.2">
      <c r="A65" s="947"/>
      <c r="B65" s="156"/>
      <c r="C65" s="156"/>
      <c r="D65" s="246" t="s">
        <v>4</v>
      </c>
      <c r="E65" s="156" t="s">
        <v>30</v>
      </c>
      <c r="F65" s="161"/>
      <c r="G65" s="161"/>
      <c r="H65" s="245" t="s">
        <v>4</v>
      </c>
      <c r="I65" s="156" t="s">
        <v>30</v>
      </c>
      <c r="J65" s="161"/>
      <c r="K65" s="206"/>
      <c r="L65" s="156" t="s">
        <v>4</v>
      </c>
      <c r="M65" s="156" t="s">
        <v>30</v>
      </c>
    </row>
    <row r="66" spans="1:14" ht="15.75" x14ac:dyDescent="0.2">
      <c r="A66" s="14" t="s">
        <v>23</v>
      </c>
      <c r="B66" s="352"/>
      <c r="C66" s="352"/>
      <c r="D66" s="349"/>
      <c r="E66" s="11"/>
      <c r="F66" s="351"/>
      <c r="G66" s="351"/>
      <c r="H66" s="349"/>
      <c r="I66" s="11"/>
      <c r="J66" s="308"/>
      <c r="K66" s="315"/>
      <c r="L66" s="373"/>
      <c r="M66" s="11"/>
    </row>
    <row r="67" spans="1:14" x14ac:dyDescent="0.2">
      <c r="A67" s="367" t="s">
        <v>9</v>
      </c>
      <c r="B67" s="44"/>
      <c r="C67" s="145"/>
      <c r="D67" s="166"/>
      <c r="E67" s="27"/>
      <c r="F67" s="234"/>
      <c r="G67" s="145"/>
      <c r="H67" s="166"/>
      <c r="I67" s="27"/>
      <c r="J67" s="286"/>
      <c r="K67" s="44"/>
      <c r="L67" s="254"/>
      <c r="M67" s="27"/>
    </row>
    <row r="68" spans="1:14" x14ac:dyDescent="0.2">
      <c r="A68" s="21" t="s">
        <v>10</v>
      </c>
      <c r="B68" s="291"/>
      <c r="C68" s="292"/>
      <c r="D68" s="166"/>
      <c r="E68" s="27"/>
      <c r="F68" s="291"/>
      <c r="G68" s="292"/>
      <c r="H68" s="166"/>
      <c r="I68" s="27"/>
      <c r="J68" s="286"/>
      <c r="K68" s="44"/>
      <c r="L68" s="254"/>
      <c r="M68" s="27"/>
    </row>
    <row r="69" spans="1:14" ht="15.75" x14ac:dyDescent="0.2">
      <c r="A69" s="295" t="s">
        <v>466</v>
      </c>
      <c r="B69" s="280"/>
      <c r="C69" s="280"/>
      <c r="D69" s="166"/>
      <c r="E69" s="365"/>
      <c r="F69" s="280"/>
      <c r="G69" s="280"/>
      <c r="H69" s="166"/>
      <c r="I69" s="365"/>
      <c r="J69" s="289"/>
      <c r="K69" s="289"/>
      <c r="L69" s="166"/>
      <c r="M69" s="23"/>
    </row>
    <row r="70" spans="1:14" x14ac:dyDescent="0.2">
      <c r="A70" s="295" t="s">
        <v>12</v>
      </c>
      <c r="B70" s="293"/>
      <c r="C70" s="294"/>
      <c r="D70" s="166"/>
      <c r="E70" s="365"/>
      <c r="F70" s="280"/>
      <c r="G70" s="280"/>
      <c r="H70" s="166"/>
      <c r="I70" s="365"/>
      <c r="J70" s="289"/>
      <c r="K70" s="289"/>
      <c r="L70" s="166"/>
      <c r="M70" s="23"/>
    </row>
    <row r="71" spans="1:14" x14ac:dyDescent="0.2">
      <c r="A71" s="295" t="s">
        <v>13</v>
      </c>
      <c r="B71" s="235"/>
      <c r="C71" s="288"/>
      <c r="D71" s="166"/>
      <c r="E71" s="365"/>
      <c r="F71" s="280"/>
      <c r="G71" s="280"/>
      <c r="H71" s="166"/>
      <c r="I71" s="365"/>
      <c r="J71" s="289"/>
      <c r="K71" s="289"/>
      <c r="L71" s="166"/>
      <c r="M71" s="23"/>
    </row>
    <row r="72" spans="1:14" ht="15.75" x14ac:dyDescent="0.2">
      <c r="A72" s="295" t="s">
        <v>467</v>
      </c>
      <c r="B72" s="280"/>
      <c r="C72" s="280"/>
      <c r="D72" s="166"/>
      <c r="E72" s="365"/>
      <c r="F72" s="280"/>
      <c r="G72" s="280"/>
      <c r="H72" s="166"/>
      <c r="I72" s="365"/>
      <c r="J72" s="289"/>
      <c r="K72" s="289"/>
      <c r="L72" s="166"/>
      <c r="M72" s="23"/>
    </row>
    <row r="73" spans="1:14" x14ac:dyDescent="0.2">
      <c r="A73" s="295" t="s">
        <v>12</v>
      </c>
      <c r="B73" s="235"/>
      <c r="C73" s="288"/>
      <c r="D73" s="166"/>
      <c r="E73" s="365"/>
      <c r="F73" s="280"/>
      <c r="G73" s="280"/>
      <c r="H73" s="166"/>
      <c r="I73" s="365"/>
      <c r="J73" s="289"/>
      <c r="K73" s="289"/>
      <c r="L73" s="166"/>
      <c r="M73" s="23"/>
    </row>
    <row r="74" spans="1:14" s="3" customFormat="1" x14ac:dyDescent="0.2">
      <c r="A74" s="295" t="s">
        <v>13</v>
      </c>
      <c r="B74" s="235"/>
      <c r="C74" s="288"/>
      <c r="D74" s="166"/>
      <c r="E74" s="365"/>
      <c r="F74" s="280"/>
      <c r="G74" s="280"/>
      <c r="H74" s="166"/>
      <c r="I74" s="365"/>
      <c r="J74" s="289"/>
      <c r="K74" s="289"/>
      <c r="L74" s="166"/>
      <c r="M74" s="23"/>
      <c r="N74" s="148"/>
    </row>
    <row r="75" spans="1:14" s="3" customFormat="1" x14ac:dyDescent="0.2">
      <c r="A75" s="21" t="s">
        <v>353</v>
      </c>
      <c r="B75" s="234"/>
      <c r="C75" s="145"/>
      <c r="D75" s="166"/>
      <c r="E75" s="27"/>
      <c r="F75" s="234"/>
      <c r="G75" s="145"/>
      <c r="H75" s="166"/>
      <c r="I75" s="27"/>
      <c r="J75" s="286"/>
      <c r="K75" s="44"/>
      <c r="L75" s="254"/>
      <c r="M75" s="27"/>
      <c r="N75" s="148"/>
    </row>
    <row r="76" spans="1:14" s="3" customFormat="1" x14ac:dyDescent="0.2">
      <c r="A76" s="21" t="s">
        <v>352</v>
      </c>
      <c r="B76" s="234"/>
      <c r="C76" s="145"/>
      <c r="D76" s="166"/>
      <c r="E76" s="27"/>
      <c r="F76" s="234"/>
      <c r="G76" s="145"/>
      <c r="H76" s="166"/>
      <c r="I76" s="27"/>
      <c r="J76" s="286"/>
      <c r="K76" s="44"/>
      <c r="L76" s="254"/>
      <c r="M76" s="27"/>
      <c r="N76" s="148"/>
    </row>
    <row r="77" spans="1:14" ht="15.75" x14ac:dyDescent="0.2">
      <c r="A77" s="21" t="s">
        <v>468</v>
      </c>
      <c r="B77" s="234"/>
      <c r="C77" s="234"/>
      <c r="D77" s="166"/>
      <c r="E77" s="27"/>
      <c r="F77" s="234"/>
      <c r="G77" s="145"/>
      <c r="H77" s="166"/>
      <c r="I77" s="27"/>
      <c r="J77" s="286"/>
      <c r="K77" s="44"/>
      <c r="L77" s="254"/>
      <c r="M77" s="27"/>
    </row>
    <row r="78" spans="1:14" x14ac:dyDescent="0.2">
      <c r="A78" s="21" t="s">
        <v>9</v>
      </c>
      <c r="B78" s="234"/>
      <c r="C78" s="145"/>
      <c r="D78" s="166"/>
      <c r="E78" s="27"/>
      <c r="F78" s="234"/>
      <c r="G78" s="145"/>
      <c r="H78" s="166"/>
      <c r="I78" s="27"/>
      <c r="J78" s="286"/>
      <c r="K78" s="44"/>
      <c r="L78" s="254"/>
      <c r="M78" s="27"/>
    </row>
    <row r="79" spans="1:14" x14ac:dyDescent="0.2">
      <c r="A79" s="21" t="s">
        <v>10</v>
      </c>
      <c r="B79" s="291"/>
      <c r="C79" s="292"/>
      <c r="D79" s="166"/>
      <c r="E79" s="27"/>
      <c r="F79" s="291"/>
      <c r="G79" s="292"/>
      <c r="H79" s="166"/>
      <c r="I79" s="27"/>
      <c r="J79" s="286"/>
      <c r="K79" s="44"/>
      <c r="L79" s="254"/>
      <c r="M79" s="27"/>
    </row>
    <row r="80" spans="1:14" ht="15.75" x14ac:dyDescent="0.2">
      <c r="A80" s="295" t="s">
        <v>466</v>
      </c>
      <c r="B80" s="280"/>
      <c r="C80" s="280"/>
      <c r="D80" s="166"/>
      <c r="E80" s="365"/>
      <c r="F80" s="280"/>
      <c r="G80" s="280"/>
      <c r="H80" s="166"/>
      <c r="I80" s="365"/>
      <c r="J80" s="289"/>
      <c r="K80" s="289"/>
      <c r="L80" s="166"/>
      <c r="M80" s="23"/>
    </row>
    <row r="81" spans="1:13" x14ac:dyDescent="0.2">
      <c r="A81" s="295" t="s">
        <v>12</v>
      </c>
      <c r="B81" s="235"/>
      <c r="C81" s="288"/>
      <c r="D81" s="166"/>
      <c r="E81" s="365"/>
      <c r="F81" s="280"/>
      <c r="G81" s="280"/>
      <c r="H81" s="166"/>
      <c r="I81" s="365"/>
      <c r="J81" s="289"/>
      <c r="K81" s="289"/>
      <c r="L81" s="166"/>
      <c r="M81" s="23"/>
    </row>
    <row r="82" spans="1:13" x14ac:dyDescent="0.2">
      <c r="A82" s="295" t="s">
        <v>13</v>
      </c>
      <c r="B82" s="235"/>
      <c r="C82" s="288"/>
      <c r="D82" s="166"/>
      <c r="E82" s="365"/>
      <c r="F82" s="280"/>
      <c r="G82" s="280"/>
      <c r="H82" s="166"/>
      <c r="I82" s="365"/>
      <c r="J82" s="289"/>
      <c r="K82" s="289"/>
      <c r="L82" s="166"/>
      <c r="M82" s="23"/>
    </row>
    <row r="83" spans="1:13" ht="15.75" x14ac:dyDescent="0.2">
      <c r="A83" s="295" t="s">
        <v>467</v>
      </c>
      <c r="B83" s="280"/>
      <c r="C83" s="280"/>
      <c r="D83" s="166"/>
      <c r="E83" s="365"/>
      <c r="F83" s="280"/>
      <c r="G83" s="280"/>
      <c r="H83" s="166"/>
      <c r="I83" s="365"/>
      <c r="J83" s="289"/>
      <c r="K83" s="289"/>
      <c r="L83" s="166"/>
      <c r="M83" s="23"/>
    </row>
    <row r="84" spans="1:13" x14ac:dyDescent="0.2">
      <c r="A84" s="295" t="s">
        <v>12</v>
      </c>
      <c r="B84" s="235"/>
      <c r="C84" s="288"/>
      <c r="D84" s="166"/>
      <c r="E84" s="365"/>
      <c r="F84" s="280"/>
      <c r="G84" s="280"/>
      <c r="H84" s="166"/>
      <c r="I84" s="365"/>
      <c r="J84" s="289"/>
      <c r="K84" s="289"/>
      <c r="L84" s="166"/>
      <c r="M84" s="23"/>
    </row>
    <row r="85" spans="1:13" x14ac:dyDescent="0.2">
      <c r="A85" s="295" t="s">
        <v>13</v>
      </c>
      <c r="B85" s="235"/>
      <c r="C85" s="288"/>
      <c r="D85" s="166"/>
      <c r="E85" s="365"/>
      <c r="F85" s="280"/>
      <c r="G85" s="280"/>
      <c r="H85" s="166"/>
      <c r="I85" s="365"/>
      <c r="J85" s="289"/>
      <c r="K85" s="289"/>
      <c r="L85" s="166"/>
      <c r="M85" s="23"/>
    </row>
    <row r="86" spans="1:13" ht="15.75" x14ac:dyDescent="0.2">
      <c r="A86" s="21" t="s">
        <v>469</v>
      </c>
      <c r="B86" s="234"/>
      <c r="C86" s="145"/>
      <c r="D86" s="166"/>
      <c r="E86" s="27"/>
      <c r="F86" s="234"/>
      <c r="G86" s="145"/>
      <c r="H86" s="166"/>
      <c r="I86" s="27"/>
      <c r="J86" s="286"/>
      <c r="K86" s="44"/>
      <c r="L86" s="254"/>
      <c r="M86" s="27"/>
    </row>
    <row r="87" spans="1:13" ht="15.75" x14ac:dyDescent="0.2">
      <c r="A87" s="13" t="s">
        <v>451</v>
      </c>
      <c r="B87" s="352"/>
      <c r="C87" s="352"/>
      <c r="D87" s="171"/>
      <c r="E87" s="11"/>
      <c r="F87" s="351"/>
      <c r="G87" s="351"/>
      <c r="H87" s="171"/>
      <c r="I87" s="11"/>
      <c r="J87" s="308"/>
      <c r="K87" s="236"/>
      <c r="L87" s="373"/>
      <c r="M87" s="11"/>
    </row>
    <row r="88" spans="1:13" x14ac:dyDescent="0.2">
      <c r="A88" s="21" t="s">
        <v>9</v>
      </c>
      <c r="B88" s="234"/>
      <c r="C88" s="145"/>
      <c r="D88" s="166"/>
      <c r="E88" s="27"/>
      <c r="F88" s="234"/>
      <c r="G88" s="145"/>
      <c r="H88" s="166"/>
      <c r="I88" s="27"/>
      <c r="J88" s="286"/>
      <c r="K88" s="44"/>
      <c r="L88" s="254"/>
      <c r="M88" s="27"/>
    </row>
    <row r="89" spans="1:13" x14ac:dyDescent="0.2">
      <c r="A89" s="21" t="s">
        <v>10</v>
      </c>
      <c r="B89" s="234"/>
      <c r="C89" s="145"/>
      <c r="D89" s="166"/>
      <c r="E89" s="27"/>
      <c r="F89" s="234"/>
      <c r="G89" s="145"/>
      <c r="H89" s="166"/>
      <c r="I89" s="27"/>
      <c r="J89" s="286"/>
      <c r="K89" s="44"/>
      <c r="L89" s="254"/>
      <c r="M89" s="27"/>
    </row>
    <row r="90" spans="1:13" ht="15.75" x14ac:dyDescent="0.2">
      <c r="A90" s="295" t="s">
        <v>466</v>
      </c>
      <c r="B90" s="280"/>
      <c r="C90" s="280"/>
      <c r="D90" s="166"/>
      <c r="E90" s="365"/>
      <c r="F90" s="280"/>
      <c r="G90" s="280"/>
      <c r="H90" s="166"/>
      <c r="I90" s="365"/>
      <c r="J90" s="289"/>
      <c r="K90" s="289"/>
      <c r="L90" s="166"/>
      <c r="M90" s="23"/>
    </row>
    <row r="91" spans="1:13" x14ac:dyDescent="0.2">
      <c r="A91" s="295" t="s">
        <v>12</v>
      </c>
      <c r="B91" s="235"/>
      <c r="C91" s="288"/>
      <c r="D91" s="166"/>
      <c r="E91" s="365"/>
      <c r="F91" s="280"/>
      <c r="G91" s="280"/>
      <c r="H91" s="166"/>
      <c r="I91" s="365"/>
      <c r="J91" s="289"/>
      <c r="K91" s="289"/>
      <c r="L91" s="166"/>
      <c r="M91" s="23"/>
    </row>
    <row r="92" spans="1:13" x14ac:dyDescent="0.2">
      <c r="A92" s="295" t="s">
        <v>13</v>
      </c>
      <c r="B92" s="235"/>
      <c r="C92" s="288"/>
      <c r="D92" s="166"/>
      <c r="E92" s="365"/>
      <c r="F92" s="280"/>
      <c r="G92" s="280"/>
      <c r="H92" s="166"/>
      <c r="I92" s="365"/>
      <c r="J92" s="289"/>
      <c r="K92" s="289"/>
      <c r="L92" s="166"/>
      <c r="M92" s="23"/>
    </row>
    <row r="93" spans="1:13" ht="15.75" x14ac:dyDescent="0.2">
      <c r="A93" s="295" t="s">
        <v>467</v>
      </c>
      <c r="B93" s="280"/>
      <c r="C93" s="280"/>
      <c r="D93" s="166"/>
      <c r="E93" s="365"/>
      <c r="F93" s="280"/>
      <c r="G93" s="280"/>
      <c r="H93" s="166"/>
      <c r="I93" s="365"/>
      <c r="J93" s="289"/>
      <c r="K93" s="289"/>
      <c r="L93" s="166"/>
      <c r="M93" s="23"/>
    </row>
    <row r="94" spans="1:13" x14ac:dyDescent="0.2">
      <c r="A94" s="295" t="s">
        <v>12</v>
      </c>
      <c r="B94" s="235"/>
      <c r="C94" s="288"/>
      <c r="D94" s="166"/>
      <c r="E94" s="365"/>
      <c r="F94" s="280"/>
      <c r="G94" s="280"/>
      <c r="H94" s="166"/>
      <c r="I94" s="365"/>
      <c r="J94" s="289"/>
      <c r="K94" s="289"/>
      <c r="L94" s="166"/>
      <c r="M94" s="23"/>
    </row>
    <row r="95" spans="1:13" x14ac:dyDescent="0.2">
      <c r="A95" s="295" t="s">
        <v>13</v>
      </c>
      <c r="B95" s="235"/>
      <c r="C95" s="288"/>
      <c r="D95" s="166"/>
      <c r="E95" s="365"/>
      <c r="F95" s="280"/>
      <c r="G95" s="280"/>
      <c r="H95" s="166"/>
      <c r="I95" s="365"/>
      <c r="J95" s="289"/>
      <c r="K95" s="289"/>
      <c r="L95" s="166"/>
      <c r="M95" s="23"/>
    </row>
    <row r="96" spans="1:13" x14ac:dyDescent="0.2">
      <c r="A96" s="21" t="s">
        <v>351</v>
      </c>
      <c r="B96" s="234"/>
      <c r="C96" s="145"/>
      <c r="D96" s="166"/>
      <c r="E96" s="27"/>
      <c r="F96" s="234"/>
      <c r="G96" s="145"/>
      <c r="H96" s="166"/>
      <c r="I96" s="27"/>
      <c r="J96" s="286"/>
      <c r="K96" s="44"/>
      <c r="L96" s="254"/>
      <c r="M96" s="27"/>
    </row>
    <row r="97" spans="1:13" x14ac:dyDescent="0.2">
      <c r="A97" s="21" t="s">
        <v>350</v>
      </c>
      <c r="B97" s="234"/>
      <c r="C97" s="145"/>
      <c r="D97" s="166"/>
      <c r="E97" s="27"/>
      <c r="F97" s="234"/>
      <c r="G97" s="145"/>
      <c r="H97" s="166"/>
      <c r="I97" s="27"/>
      <c r="J97" s="286"/>
      <c r="K97" s="44"/>
      <c r="L97" s="254"/>
      <c r="M97" s="27"/>
    </row>
    <row r="98" spans="1:13" ht="15.75" x14ac:dyDescent="0.2">
      <c r="A98" s="21" t="s">
        <v>468</v>
      </c>
      <c r="B98" s="234"/>
      <c r="C98" s="234"/>
      <c r="D98" s="166"/>
      <c r="E98" s="27"/>
      <c r="F98" s="291"/>
      <c r="G98" s="291"/>
      <c r="H98" s="166"/>
      <c r="I98" s="27"/>
      <c r="J98" s="286"/>
      <c r="K98" s="44"/>
      <c r="L98" s="254"/>
      <c r="M98" s="27"/>
    </row>
    <row r="99" spans="1:13" x14ac:dyDescent="0.2">
      <c r="A99" s="21" t="s">
        <v>9</v>
      </c>
      <c r="B99" s="291"/>
      <c r="C99" s="292"/>
      <c r="D99" s="166"/>
      <c r="E99" s="27"/>
      <c r="F99" s="234"/>
      <c r="G99" s="145"/>
      <c r="H99" s="166"/>
      <c r="I99" s="27"/>
      <c r="J99" s="286"/>
      <c r="K99" s="44"/>
      <c r="L99" s="254"/>
      <c r="M99" s="27"/>
    </row>
    <row r="100" spans="1:13" x14ac:dyDescent="0.2">
      <c r="A100" s="21" t="s">
        <v>10</v>
      </c>
      <c r="B100" s="291"/>
      <c r="C100" s="292"/>
      <c r="D100" s="166"/>
      <c r="E100" s="27"/>
      <c r="F100" s="234"/>
      <c r="G100" s="234"/>
      <c r="H100" s="166"/>
      <c r="I100" s="27"/>
      <c r="J100" s="286"/>
      <c r="K100" s="44"/>
      <c r="L100" s="254"/>
      <c r="M100" s="27"/>
    </row>
    <row r="101" spans="1:13" ht="15.75" x14ac:dyDescent="0.2">
      <c r="A101" s="295" t="s">
        <v>466</v>
      </c>
      <c r="B101" s="280"/>
      <c r="C101" s="280"/>
      <c r="D101" s="166"/>
      <c r="E101" s="365"/>
      <c r="F101" s="280"/>
      <c r="G101" s="280"/>
      <c r="H101" s="166"/>
      <c r="I101" s="365"/>
      <c r="J101" s="289"/>
      <c r="K101" s="289"/>
      <c r="L101" s="166"/>
      <c r="M101" s="23"/>
    </row>
    <row r="102" spans="1:13" x14ac:dyDescent="0.2">
      <c r="A102" s="295" t="s">
        <v>12</v>
      </c>
      <c r="B102" s="235"/>
      <c r="C102" s="288"/>
      <c r="D102" s="166"/>
      <c r="E102" s="365"/>
      <c r="F102" s="280"/>
      <c r="G102" s="280"/>
      <c r="H102" s="166"/>
      <c r="I102" s="365"/>
      <c r="J102" s="289"/>
      <c r="K102" s="289"/>
      <c r="L102" s="166"/>
      <c r="M102" s="23"/>
    </row>
    <row r="103" spans="1:13" x14ac:dyDescent="0.2">
      <c r="A103" s="295" t="s">
        <v>13</v>
      </c>
      <c r="B103" s="235"/>
      <c r="C103" s="288"/>
      <c r="D103" s="166"/>
      <c r="E103" s="365"/>
      <c r="F103" s="280"/>
      <c r="G103" s="280"/>
      <c r="H103" s="166"/>
      <c r="I103" s="365"/>
      <c r="J103" s="289"/>
      <c r="K103" s="289"/>
      <c r="L103" s="166"/>
      <c r="M103" s="23"/>
    </row>
    <row r="104" spans="1:13" ht="15.75" x14ac:dyDescent="0.2">
      <c r="A104" s="295" t="s">
        <v>467</v>
      </c>
      <c r="B104" s="280"/>
      <c r="C104" s="280"/>
      <c r="D104" s="166"/>
      <c r="E104" s="365"/>
      <c r="F104" s="280"/>
      <c r="G104" s="280"/>
      <c r="H104" s="166"/>
      <c r="I104" s="365"/>
      <c r="J104" s="289"/>
      <c r="K104" s="289"/>
      <c r="L104" s="166"/>
      <c r="M104" s="23"/>
    </row>
    <row r="105" spans="1:13" x14ac:dyDescent="0.2">
      <c r="A105" s="295" t="s">
        <v>12</v>
      </c>
      <c r="B105" s="235"/>
      <c r="C105" s="288"/>
      <c r="D105" s="166"/>
      <c r="E105" s="365"/>
      <c r="F105" s="280"/>
      <c r="G105" s="280"/>
      <c r="H105" s="166"/>
      <c r="I105" s="365"/>
      <c r="J105" s="289"/>
      <c r="K105" s="289"/>
      <c r="L105" s="166"/>
      <c r="M105" s="23"/>
    </row>
    <row r="106" spans="1:13" x14ac:dyDescent="0.2">
      <c r="A106" s="295" t="s">
        <v>13</v>
      </c>
      <c r="B106" s="235"/>
      <c r="C106" s="288"/>
      <c r="D106" s="166"/>
      <c r="E106" s="365"/>
      <c r="F106" s="280"/>
      <c r="G106" s="280"/>
      <c r="H106" s="166"/>
      <c r="I106" s="365"/>
      <c r="J106" s="289"/>
      <c r="K106" s="289"/>
      <c r="L106" s="166"/>
      <c r="M106" s="23"/>
    </row>
    <row r="107" spans="1:13" ht="15.75" x14ac:dyDescent="0.2">
      <c r="A107" s="21" t="s">
        <v>469</v>
      </c>
      <c r="B107" s="234"/>
      <c r="C107" s="145"/>
      <c r="D107" s="166"/>
      <c r="E107" s="27"/>
      <c r="F107" s="234"/>
      <c r="G107" s="145"/>
      <c r="H107" s="166"/>
      <c r="I107" s="27"/>
      <c r="J107" s="286"/>
      <c r="K107" s="44"/>
      <c r="L107" s="254"/>
      <c r="M107" s="27"/>
    </row>
    <row r="108" spans="1:13" ht="15.75" x14ac:dyDescent="0.2">
      <c r="A108" s="21" t="s">
        <v>470</v>
      </c>
      <c r="B108" s="234"/>
      <c r="C108" s="234"/>
      <c r="D108" s="166"/>
      <c r="E108" s="27"/>
      <c r="F108" s="234"/>
      <c r="G108" s="234"/>
      <c r="H108" s="166"/>
      <c r="I108" s="27"/>
      <c r="J108" s="286"/>
      <c r="K108" s="44"/>
      <c r="L108" s="254"/>
      <c r="M108" s="27"/>
    </row>
    <row r="109" spans="1:13" ht="15.75" x14ac:dyDescent="0.2">
      <c r="A109" s="21" t="s">
        <v>471</v>
      </c>
      <c r="B109" s="234"/>
      <c r="C109" s="234"/>
      <c r="D109" s="166"/>
      <c r="E109" s="27"/>
      <c r="F109" s="234"/>
      <c r="G109" s="234"/>
      <c r="H109" s="166"/>
      <c r="I109" s="27"/>
      <c r="J109" s="286"/>
      <c r="K109" s="44"/>
      <c r="L109" s="254"/>
      <c r="M109" s="27"/>
    </row>
    <row r="110" spans="1:13" ht="15.75" x14ac:dyDescent="0.2">
      <c r="A110" s="21" t="s">
        <v>472</v>
      </c>
      <c r="B110" s="234"/>
      <c r="C110" s="234"/>
      <c r="D110" s="166"/>
      <c r="E110" s="27"/>
      <c r="F110" s="234"/>
      <c r="G110" s="234"/>
      <c r="H110" s="166"/>
      <c r="I110" s="27"/>
      <c r="J110" s="286"/>
      <c r="K110" s="44"/>
      <c r="L110" s="254"/>
      <c r="M110" s="27"/>
    </row>
    <row r="111" spans="1:13" ht="15.75" x14ac:dyDescent="0.2">
      <c r="A111" s="13" t="s">
        <v>452</v>
      </c>
      <c r="B111" s="307"/>
      <c r="C111" s="159"/>
      <c r="D111" s="171"/>
      <c r="E111" s="11"/>
      <c r="F111" s="307"/>
      <c r="G111" s="159"/>
      <c r="H111" s="171"/>
      <c r="I111" s="11"/>
      <c r="J111" s="308"/>
      <c r="K111" s="236"/>
      <c r="L111" s="373"/>
      <c r="M111" s="11"/>
    </row>
    <row r="112" spans="1:13" x14ac:dyDescent="0.2">
      <c r="A112" s="21" t="s">
        <v>9</v>
      </c>
      <c r="B112" s="234"/>
      <c r="C112" s="145"/>
      <c r="D112" s="166"/>
      <c r="E112" s="27"/>
      <c r="F112" s="234"/>
      <c r="G112" s="145"/>
      <c r="H112" s="166"/>
      <c r="I112" s="27"/>
      <c r="J112" s="286"/>
      <c r="K112" s="44"/>
      <c r="L112" s="254"/>
      <c r="M112" s="27"/>
    </row>
    <row r="113" spans="1:14" x14ac:dyDescent="0.2">
      <c r="A113" s="21" t="s">
        <v>10</v>
      </c>
      <c r="B113" s="234"/>
      <c r="C113" s="145"/>
      <c r="D113" s="166"/>
      <c r="E113" s="27"/>
      <c r="F113" s="234"/>
      <c r="G113" s="145"/>
      <c r="H113" s="166"/>
      <c r="I113" s="27"/>
      <c r="J113" s="286"/>
      <c r="K113" s="44"/>
      <c r="L113" s="254"/>
      <c r="M113" s="27"/>
    </row>
    <row r="114" spans="1:14" x14ac:dyDescent="0.2">
      <c r="A114" s="21" t="s">
        <v>26</v>
      </c>
      <c r="B114" s="234"/>
      <c r="C114" s="145"/>
      <c r="D114" s="166"/>
      <c r="E114" s="27"/>
      <c r="F114" s="234"/>
      <c r="G114" s="145"/>
      <c r="H114" s="166"/>
      <c r="I114" s="27"/>
      <c r="J114" s="286"/>
      <c r="K114" s="44"/>
      <c r="L114" s="254"/>
      <c r="M114" s="27"/>
    </row>
    <row r="115" spans="1:14" x14ac:dyDescent="0.2">
      <c r="A115" s="295" t="s">
        <v>15</v>
      </c>
      <c r="B115" s="280"/>
      <c r="C115" s="280"/>
      <c r="D115" s="166"/>
      <c r="E115" s="365"/>
      <c r="F115" s="280"/>
      <c r="G115" s="280"/>
      <c r="H115" s="166"/>
      <c r="I115" s="365"/>
      <c r="J115" s="289"/>
      <c r="K115" s="289"/>
      <c r="L115" s="166"/>
      <c r="M115" s="23"/>
    </row>
    <row r="116" spans="1:14" ht="15.75" x14ac:dyDescent="0.2">
      <c r="A116" s="21" t="s">
        <v>473</v>
      </c>
      <c r="B116" s="234"/>
      <c r="C116" s="234"/>
      <c r="D116" s="166"/>
      <c r="E116" s="27"/>
      <c r="F116" s="234"/>
      <c r="G116" s="234"/>
      <c r="H116" s="166"/>
      <c r="I116" s="27"/>
      <c r="J116" s="286"/>
      <c r="K116" s="44"/>
      <c r="L116" s="254"/>
      <c r="M116" s="27"/>
    </row>
    <row r="117" spans="1:14" ht="15.75" x14ac:dyDescent="0.2">
      <c r="A117" s="21" t="s">
        <v>474</v>
      </c>
      <c r="B117" s="234"/>
      <c r="C117" s="234"/>
      <c r="D117" s="166"/>
      <c r="E117" s="27"/>
      <c r="F117" s="234"/>
      <c r="G117" s="234"/>
      <c r="H117" s="166"/>
      <c r="I117" s="27"/>
      <c r="J117" s="286"/>
      <c r="K117" s="44"/>
      <c r="L117" s="254"/>
      <c r="M117" s="27"/>
    </row>
    <row r="118" spans="1:14" ht="15.75" x14ac:dyDescent="0.2">
      <c r="A118" s="21" t="s">
        <v>472</v>
      </c>
      <c r="B118" s="234"/>
      <c r="C118" s="234"/>
      <c r="D118" s="166"/>
      <c r="E118" s="27"/>
      <c r="F118" s="234"/>
      <c r="G118" s="234"/>
      <c r="H118" s="166"/>
      <c r="I118" s="27"/>
      <c r="J118" s="286"/>
      <c r="K118" s="44"/>
      <c r="L118" s="254"/>
      <c r="M118" s="27"/>
    </row>
    <row r="119" spans="1:14" ht="15.75" x14ac:dyDescent="0.2">
      <c r="A119" s="13" t="s">
        <v>453</v>
      </c>
      <c r="B119" s="307"/>
      <c r="C119" s="159"/>
      <c r="D119" s="171"/>
      <c r="E119" s="11"/>
      <c r="F119" s="307"/>
      <c r="G119" s="159"/>
      <c r="H119" s="171"/>
      <c r="I119" s="11"/>
      <c r="J119" s="308"/>
      <c r="K119" s="236"/>
      <c r="L119" s="373"/>
      <c r="M119" s="11"/>
    </row>
    <row r="120" spans="1:14" x14ac:dyDescent="0.2">
      <c r="A120" s="21" t="s">
        <v>9</v>
      </c>
      <c r="B120" s="234"/>
      <c r="C120" s="145"/>
      <c r="D120" s="166"/>
      <c r="E120" s="27"/>
      <c r="F120" s="234"/>
      <c r="G120" s="145"/>
      <c r="H120" s="166"/>
      <c r="I120" s="27"/>
      <c r="J120" s="286"/>
      <c r="K120" s="44"/>
      <c r="L120" s="254"/>
      <c r="M120" s="27"/>
    </row>
    <row r="121" spans="1:14" x14ac:dyDescent="0.2">
      <c r="A121" s="21" t="s">
        <v>10</v>
      </c>
      <c r="B121" s="234"/>
      <c r="C121" s="145"/>
      <c r="D121" s="166"/>
      <c r="E121" s="27"/>
      <c r="F121" s="234"/>
      <c r="G121" s="145"/>
      <c r="H121" s="166"/>
      <c r="I121" s="27"/>
      <c r="J121" s="286"/>
      <c r="K121" s="44"/>
      <c r="L121" s="254"/>
      <c r="M121" s="27"/>
    </row>
    <row r="122" spans="1:14" x14ac:dyDescent="0.2">
      <c r="A122" s="21" t="s">
        <v>26</v>
      </c>
      <c r="B122" s="234"/>
      <c r="C122" s="145"/>
      <c r="D122" s="166"/>
      <c r="E122" s="27"/>
      <c r="F122" s="234"/>
      <c r="G122" s="145"/>
      <c r="H122" s="166"/>
      <c r="I122" s="27"/>
      <c r="J122" s="286"/>
      <c r="K122" s="44"/>
      <c r="L122" s="254"/>
      <c r="M122" s="27"/>
    </row>
    <row r="123" spans="1:14" x14ac:dyDescent="0.2">
      <c r="A123" s="295" t="s">
        <v>14</v>
      </c>
      <c r="B123" s="280"/>
      <c r="C123" s="280"/>
      <c r="D123" s="166"/>
      <c r="E123" s="365"/>
      <c r="F123" s="280"/>
      <c r="G123" s="280"/>
      <c r="H123" s="166"/>
      <c r="I123" s="365"/>
      <c r="J123" s="289"/>
      <c r="K123" s="289"/>
      <c r="L123" s="166"/>
      <c r="M123" s="23"/>
    </row>
    <row r="124" spans="1:14" ht="15.75" x14ac:dyDescent="0.2">
      <c r="A124" s="21" t="s">
        <v>479</v>
      </c>
      <c r="B124" s="234"/>
      <c r="C124" s="234"/>
      <c r="D124" s="166"/>
      <c r="E124" s="27"/>
      <c r="F124" s="234"/>
      <c r="G124" s="234"/>
      <c r="H124" s="166"/>
      <c r="I124" s="27"/>
      <c r="J124" s="286"/>
      <c r="K124" s="44"/>
      <c r="L124" s="254"/>
      <c r="M124" s="27"/>
    </row>
    <row r="125" spans="1:14" ht="15.75" x14ac:dyDescent="0.2">
      <c r="A125" s="21" t="s">
        <v>471</v>
      </c>
      <c r="B125" s="234"/>
      <c r="C125" s="234"/>
      <c r="D125" s="166"/>
      <c r="E125" s="27"/>
      <c r="F125" s="234"/>
      <c r="G125" s="234"/>
      <c r="H125" s="166"/>
      <c r="I125" s="27"/>
      <c r="J125" s="286"/>
      <c r="K125" s="44"/>
      <c r="L125" s="254"/>
      <c r="M125" s="27"/>
    </row>
    <row r="126" spans="1:14" ht="15.75" x14ac:dyDescent="0.2">
      <c r="A126" s="10" t="s">
        <v>472</v>
      </c>
      <c r="B126" s="45"/>
      <c r="C126" s="45"/>
      <c r="D126" s="167"/>
      <c r="E126" s="366"/>
      <c r="F126" s="45"/>
      <c r="G126" s="45"/>
      <c r="H126" s="167"/>
      <c r="I126" s="22"/>
      <c r="J126" s="287"/>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975"/>
      <c r="C130" s="975"/>
      <c r="D130" s="975"/>
      <c r="E130" s="749"/>
      <c r="F130" s="975"/>
      <c r="G130" s="975"/>
      <c r="H130" s="975"/>
      <c r="I130" s="749"/>
      <c r="J130" s="975"/>
      <c r="K130" s="975"/>
      <c r="L130" s="975"/>
      <c r="M130" s="749"/>
    </row>
    <row r="131" spans="1:14" s="3" customFormat="1" x14ac:dyDescent="0.2">
      <c r="A131" s="144"/>
      <c r="B131" s="973" t="s">
        <v>0</v>
      </c>
      <c r="C131" s="974"/>
      <c r="D131" s="974"/>
      <c r="E131" s="747"/>
      <c r="F131" s="973" t="s">
        <v>1</v>
      </c>
      <c r="G131" s="974"/>
      <c r="H131" s="974"/>
      <c r="I131" s="748"/>
      <c r="J131" s="973" t="s">
        <v>2</v>
      </c>
      <c r="K131" s="974"/>
      <c r="L131" s="974"/>
      <c r="M131" s="748"/>
      <c r="N131" s="148"/>
    </row>
    <row r="132" spans="1:14" s="3" customFormat="1" x14ac:dyDescent="0.2">
      <c r="A132" s="140"/>
      <c r="B132" s="152" t="s">
        <v>492</v>
      </c>
      <c r="C132" s="152" t="s">
        <v>493</v>
      </c>
      <c r="D132" s="245" t="s">
        <v>3</v>
      </c>
      <c r="E132" s="304" t="s">
        <v>29</v>
      </c>
      <c r="F132" s="152" t="s">
        <v>492</v>
      </c>
      <c r="G132" s="152" t="s">
        <v>493</v>
      </c>
      <c r="H132" s="206" t="s">
        <v>3</v>
      </c>
      <c r="I132" s="162" t="s">
        <v>29</v>
      </c>
      <c r="J132" s="152" t="s">
        <v>492</v>
      </c>
      <c r="K132" s="152" t="s">
        <v>493</v>
      </c>
      <c r="L132" s="246" t="s">
        <v>3</v>
      </c>
      <c r="M132" s="162" t="s">
        <v>29</v>
      </c>
      <c r="N132" s="148"/>
    </row>
    <row r="133" spans="1:14" s="3" customFormat="1" x14ac:dyDescent="0.2">
      <c r="A133" s="947"/>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475</v>
      </c>
      <c r="B134" s="236"/>
      <c r="C134" s="308"/>
      <c r="D134" s="349"/>
      <c r="E134" s="11"/>
      <c r="F134" s="315"/>
      <c r="G134" s="316"/>
      <c r="H134" s="376"/>
      <c r="I134" s="24"/>
      <c r="J134" s="317"/>
      <c r="K134" s="317"/>
      <c r="L134" s="372"/>
      <c r="M134" s="11"/>
      <c r="N134" s="148"/>
    </row>
    <row r="135" spans="1:14" s="3" customFormat="1" ht="15.75" x14ac:dyDescent="0.2">
      <c r="A135" s="13" t="s">
        <v>480</v>
      </c>
      <c r="B135" s="236"/>
      <c r="C135" s="308"/>
      <c r="D135" s="171"/>
      <c r="E135" s="11"/>
      <c r="F135" s="236"/>
      <c r="G135" s="308"/>
      <c r="H135" s="377"/>
      <c r="I135" s="24"/>
      <c r="J135" s="307"/>
      <c r="K135" s="307"/>
      <c r="L135" s="373"/>
      <c r="M135" s="11"/>
      <c r="N135" s="148"/>
    </row>
    <row r="136" spans="1:14" s="3" customFormat="1" ht="15.75" x14ac:dyDescent="0.2">
      <c r="A136" s="13" t="s">
        <v>477</v>
      </c>
      <c r="B136" s="236"/>
      <c r="C136" s="308"/>
      <c r="D136" s="171"/>
      <c r="E136" s="11"/>
      <c r="F136" s="236"/>
      <c r="G136" s="308"/>
      <c r="H136" s="377"/>
      <c r="I136" s="24"/>
      <c r="J136" s="307"/>
      <c r="K136" s="307"/>
      <c r="L136" s="373"/>
      <c r="M136" s="11"/>
      <c r="N136" s="148"/>
    </row>
    <row r="137" spans="1:14" s="3" customFormat="1" ht="15.75" x14ac:dyDescent="0.2">
      <c r="A137" s="41" t="s">
        <v>478</v>
      </c>
      <c r="B137" s="275"/>
      <c r="C137" s="314"/>
      <c r="D137" s="169"/>
      <c r="E137" s="9"/>
      <c r="F137" s="275"/>
      <c r="G137" s="314"/>
      <c r="H137" s="378"/>
      <c r="I137" s="36"/>
      <c r="J137" s="313"/>
      <c r="K137" s="313"/>
      <c r="L137" s="374"/>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50:C52">
    <cfRule type="expression" dxfId="512" priority="82">
      <formula>kvartal &lt; 4</formula>
    </cfRule>
  </conditionalFormatting>
  <conditionalFormatting sqref="B69">
    <cfRule type="expression" dxfId="511" priority="61">
      <formula>kvartal &lt; 4</formula>
    </cfRule>
  </conditionalFormatting>
  <conditionalFormatting sqref="C69">
    <cfRule type="expression" dxfId="510" priority="60">
      <formula>kvartal &lt; 4</formula>
    </cfRule>
  </conditionalFormatting>
  <conditionalFormatting sqref="B72">
    <cfRule type="expression" dxfId="509" priority="59">
      <formula>kvartal &lt; 4</formula>
    </cfRule>
  </conditionalFormatting>
  <conditionalFormatting sqref="C72">
    <cfRule type="expression" dxfId="508" priority="58">
      <formula>kvartal &lt; 4</formula>
    </cfRule>
  </conditionalFormatting>
  <conditionalFormatting sqref="B80">
    <cfRule type="expression" dxfId="507" priority="57">
      <formula>kvartal &lt; 4</formula>
    </cfRule>
  </conditionalFormatting>
  <conditionalFormatting sqref="C80">
    <cfRule type="expression" dxfId="506" priority="56">
      <formula>kvartal &lt; 4</formula>
    </cfRule>
  </conditionalFormatting>
  <conditionalFormatting sqref="B83">
    <cfRule type="expression" dxfId="505" priority="55">
      <formula>kvartal &lt; 4</formula>
    </cfRule>
  </conditionalFormatting>
  <conditionalFormatting sqref="C83">
    <cfRule type="expression" dxfId="504" priority="54">
      <formula>kvartal &lt; 4</formula>
    </cfRule>
  </conditionalFormatting>
  <conditionalFormatting sqref="B90">
    <cfRule type="expression" dxfId="503" priority="53">
      <formula>kvartal &lt; 4</formula>
    </cfRule>
  </conditionalFormatting>
  <conditionalFormatting sqref="C90">
    <cfRule type="expression" dxfId="502" priority="52">
      <formula>kvartal &lt; 4</formula>
    </cfRule>
  </conditionalFormatting>
  <conditionalFormatting sqref="B93">
    <cfRule type="expression" dxfId="501" priority="51">
      <formula>kvartal &lt; 4</formula>
    </cfRule>
  </conditionalFormatting>
  <conditionalFormatting sqref="C93">
    <cfRule type="expression" dxfId="500" priority="50">
      <formula>kvartal &lt; 4</formula>
    </cfRule>
  </conditionalFormatting>
  <conditionalFormatting sqref="B101">
    <cfRule type="expression" dxfId="499" priority="49">
      <formula>kvartal &lt; 4</formula>
    </cfRule>
  </conditionalFormatting>
  <conditionalFormatting sqref="C101">
    <cfRule type="expression" dxfId="498" priority="48">
      <formula>kvartal &lt; 4</formula>
    </cfRule>
  </conditionalFormatting>
  <conditionalFormatting sqref="B104">
    <cfRule type="expression" dxfId="497" priority="47">
      <formula>kvartal &lt; 4</formula>
    </cfRule>
  </conditionalFormatting>
  <conditionalFormatting sqref="C104">
    <cfRule type="expression" dxfId="496" priority="46">
      <formula>kvartal &lt; 4</formula>
    </cfRule>
  </conditionalFormatting>
  <conditionalFormatting sqref="B115">
    <cfRule type="expression" dxfId="495" priority="45">
      <formula>kvartal &lt; 4</formula>
    </cfRule>
  </conditionalFormatting>
  <conditionalFormatting sqref="C115">
    <cfRule type="expression" dxfId="494" priority="44">
      <formula>kvartal &lt; 4</formula>
    </cfRule>
  </conditionalFormatting>
  <conditionalFormatting sqref="B123">
    <cfRule type="expression" dxfId="493" priority="43">
      <formula>kvartal &lt; 4</formula>
    </cfRule>
  </conditionalFormatting>
  <conditionalFormatting sqref="C123">
    <cfRule type="expression" dxfId="492" priority="42">
      <formula>kvartal &lt; 4</formula>
    </cfRule>
  </conditionalFormatting>
  <conditionalFormatting sqref="F70">
    <cfRule type="expression" dxfId="491" priority="41">
      <formula>kvartal &lt; 4</formula>
    </cfRule>
  </conditionalFormatting>
  <conditionalFormatting sqref="G70">
    <cfRule type="expression" dxfId="490" priority="40">
      <formula>kvartal &lt; 4</formula>
    </cfRule>
  </conditionalFormatting>
  <conditionalFormatting sqref="F71:G71">
    <cfRule type="expression" dxfId="489" priority="39">
      <formula>kvartal &lt; 4</formula>
    </cfRule>
  </conditionalFormatting>
  <conditionalFormatting sqref="F73:G74">
    <cfRule type="expression" dxfId="488" priority="38">
      <formula>kvartal &lt; 4</formula>
    </cfRule>
  </conditionalFormatting>
  <conditionalFormatting sqref="F81:G82">
    <cfRule type="expression" dxfId="487" priority="37">
      <formula>kvartal &lt; 4</formula>
    </cfRule>
  </conditionalFormatting>
  <conditionalFormatting sqref="F84:G85">
    <cfRule type="expression" dxfId="486" priority="36">
      <formula>kvartal &lt; 4</formula>
    </cfRule>
  </conditionalFormatting>
  <conditionalFormatting sqref="F91:G92">
    <cfRule type="expression" dxfId="485" priority="35">
      <formula>kvartal &lt; 4</formula>
    </cfRule>
  </conditionalFormatting>
  <conditionalFormatting sqref="F94:G95">
    <cfRule type="expression" dxfId="484" priority="34">
      <formula>kvartal &lt; 4</formula>
    </cfRule>
  </conditionalFormatting>
  <conditionalFormatting sqref="F102:G103">
    <cfRule type="expression" dxfId="483" priority="33">
      <formula>kvartal &lt; 4</formula>
    </cfRule>
  </conditionalFormatting>
  <conditionalFormatting sqref="F105:G106">
    <cfRule type="expression" dxfId="482" priority="32">
      <formula>kvartal &lt; 4</formula>
    </cfRule>
  </conditionalFormatting>
  <conditionalFormatting sqref="F115">
    <cfRule type="expression" dxfId="481" priority="31">
      <formula>kvartal &lt; 4</formula>
    </cfRule>
  </conditionalFormatting>
  <conditionalFormatting sqref="G115">
    <cfRule type="expression" dxfId="480" priority="30">
      <formula>kvartal &lt; 4</formula>
    </cfRule>
  </conditionalFormatting>
  <conditionalFormatting sqref="F123:G123">
    <cfRule type="expression" dxfId="479" priority="29">
      <formula>kvartal &lt; 4</formula>
    </cfRule>
  </conditionalFormatting>
  <conditionalFormatting sqref="F69:G69">
    <cfRule type="expression" dxfId="478" priority="28">
      <formula>kvartal &lt; 4</formula>
    </cfRule>
  </conditionalFormatting>
  <conditionalFormatting sqref="F72:G72">
    <cfRule type="expression" dxfId="477" priority="27">
      <formula>kvartal &lt; 4</formula>
    </cfRule>
  </conditionalFormatting>
  <conditionalFormatting sqref="F80:G80">
    <cfRule type="expression" dxfId="476" priority="26">
      <formula>kvartal &lt; 4</formula>
    </cfRule>
  </conditionalFormatting>
  <conditionalFormatting sqref="F83:G83">
    <cfRule type="expression" dxfId="475" priority="25">
      <formula>kvartal &lt; 4</formula>
    </cfRule>
  </conditionalFormatting>
  <conditionalFormatting sqref="F90:G90">
    <cfRule type="expression" dxfId="474" priority="24">
      <formula>kvartal &lt; 4</formula>
    </cfRule>
  </conditionalFormatting>
  <conditionalFormatting sqref="F93">
    <cfRule type="expression" dxfId="473" priority="23">
      <formula>kvartal &lt; 4</formula>
    </cfRule>
  </conditionalFormatting>
  <conditionalFormatting sqref="G93">
    <cfRule type="expression" dxfId="472" priority="22">
      <formula>kvartal &lt; 4</formula>
    </cfRule>
  </conditionalFormatting>
  <conditionalFormatting sqref="F101">
    <cfRule type="expression" dxfId="471" priority="21">
      <formula>kvartal &lt; 4</formula>
    </cfRule>
  </conditionalFormatting>
  <conditionalFormatting sqref="G101">
    <cfRule type="expression" dxfId="470" priority="20">
      <formula>kvartal &lt; 4</formula>
    </cfRule>
  </conditionalFormatting>
  <conditionalFormatting sqref="G104">
    <cfRule type="expression" dxfId="469" priority="19">
      <formula>kvartal &lt; 4</formula>
    </cfRule>
  </conditionalFormatting>
  <conditionalFormatting sqref="F104">
    <cfRule type="expression" dxfId="468" priority="18">
      <formula>kvartal &lt; 4</formula>
    </cfRule>
  </conditionalFormatting>
  <conditionalFormatting sqref="J69:K73">
    <cfRule type="expression" dxfId="467" priority="17">
      <formula>kvartal &lt; 4</formula>
    </cfRule>
  </conditionalFormatting>
  <conditionalFormatting sqref="J74:K74">
    <cfRule type="expression" dxfId="466" priority="16">
      <formula>kvartal &lt; 4</formula>
    </cfRule>
  </conditionalFormatting>
  <conditionalFormatting sqref="J80:K85">
    <cfRule type="expression" dxfId="465" priority="15">
      <formula>kvartal &lt; 4</formula>
    </cfRule>
  </conditionalFormatting>
  <conditionalFormatting sqref="J90:K95">
    <cfRule type="expression" dxfId="464" priority="14">
      <formula>kvartal &lt; 4</formula>
    </cfRule>
  </conditionalFormatting>
  <conditionalFormatting sqref="J101:K106">
    <cfRule type="expression" dxfId="463" priority="13">
      <formula>kvartal &lt; 4</formula>
    </cfRule>
  </conditionalFormatting>
  <conditionalFormatting sqref="J115:K115">
    <cfRule type="expression" dxfId="462" priority="12">
      <formula>kvartal &lt; 4</formula>
    </cfRule>
  </conditionalFormatting>
  <conditionalFormatting sqref="J123:K123">
    <cfRule type="expression" dxfId="461" priority="11">
      <formula>kvartal &lt; 4</formula>
    </cfRule>
  </conditionalFormatting>
  <conditionalFormatting sqref="A50:A52">
    <cfRule type="expression" dxfId="460" priority="8">
      <formula>kvartal &lt; 4</formula>
    </cfRule>
  </conditionalFormatting>
  <conditionalFormatting sqref="A69:A74">
    <cfRule type="expression" dxfId="459" priority="7">
      <formula>kvartal &lt; 4</formula>
    </cfRule>
  </conditionalFormatting>
  <conditionalFormatting sqref="A80:A85">
    <cfRule type="expression" dxfId="458" priority="6">
      <formula>kvartal &lt; 4</formula>
    </cfRule>
  </conditionalFormatting>
  <conditionalFormatting sqref="A90:A95">
    <cfRule type="expression" dxfId="457" priority="5">
      <formula>kvartal &lt; 4</formula>
    </cfRule>
  </conditionalFormatting>
  <conditionalFormatting sqref="A101:A106">
    <cfRule type="expression" dxfId="456" priority="4">
      <formula>kvartal &lt; 4</formula>
    </cfRule>
  </conditionalFormatting>
  <conditionalFormatting sqref="A115">
    <cfRule type="expression" dxfId="455" priority="3">
      <formula>kvartal &lt; 4</formula>
    </cfRule>
  </conditionalFormatting>
  <conditionalFormatting sqref="A123">
    <cfRule type="expression" dxfId="454" priority="2">
      <formula>kvartal &lt; 4</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139</v>
      </c>
      <c r="B1" s="945"/>
      <c r="C1" s="248" t="s">
        <v>74</v>
      </c>
      <c r="D1" s="26"/>
      <c r="E1" s="26"/>
      <c r="F1" s="26"/>
      <c r="G1" s="26"/>
      <c r="H1" s="26"/>
      <c r="I1" s="26"/>
      <c r="J1" s="26"/>
      <c r="K1" s="26"/>
      <c r="L1" s="26"/>
      <c r="M1" s="26"/>
    </row>
    <row r="2" spans="1:14" ht="15.75" x14ac:dyDescent="0.25">
      <c r="A2" s="165" t="s">
        <v>28</v>
      </c>
      <c r="B2" s="972"/>
      <c r="C2" s="972"/>
      <c r="D2" s="972"/>
      <c r="E2" s="298"/>
      <c r="F2" s="972"/>
      <c r="G2" s="972"/>
      <c r="H2" s="972"/>
      <c r="I2" s="298"/>
      <c r="J2" s="972"/>
      <c r="K2" s="972"/>
      <c r="L2" s="972"/>
      <c r="M2" s="298"/>
    </row>
    <row r="3" spans="1:14" ht="15.75" x14ac:dyDescent="0.25">
      <c r="A3" s="163"/>
      <c r="B3" s="298"/>
      <c r="C3" s="298"/>
      <c r="D3" s="298"/>
      <c r="E3" s="298"/>
      <c r="F3" s="298"/>
      <c r="G3" s="298"/>
      <c r="H3" s="298"/>
      <c r="I3" s="298"/>
      <c r="J3" s="298"/>
      <c r="K3" s="298"/>
      <c r="L3" s="298"/>
      <c r="M3" s="298"/>
    </row>
    <row r="4" spans="1:14" x14ac:dyDescent="0.2">
      <c r="A4" s="144"/>
      <c r="B4" s="973" t="s">
        <v>0</v>
      </c>
      <c r="C4" s="974"/>
      <c r="D4" s="974"/>
      <c r="E4" s="300"/>
      <c r="F4" s="973" t="s">
        <v>1</v>
      </c>
      <c r="G4" s="974"/>
      <c r="H4" s="974"/>
      <c r="I4" s="303"/>
      <c r="J4" s="973" t="s">
        <v>2</v>
      </c>
      <c r="K4" s="974"/>
      <c r="L4" s="974"/>
      <c r="M4" s="303"/>
    </row>
    <row r="5" spans="1:14" x14ac:dyDescent="0.2">
      <c r="A5" s="158"/>
      <c r="B5" s="152" t="s">
        <v>492</v>
      </c>
      <c r="C5" s="152" t="s">
        <v>493</v>
      </c>
      <c r="D5" s="245" t="s">
        <v>3</v>
      </c>
      <c r="E5" s="304" t="s">
        <v>29</v>
      </c>
      <c r="F5" s="152" t="s">
        <v>492</v>
      </c>
      <c r="G5" s="152" t="s">
        <v>493</v>
      </c>
      <c r="H5" s="245" t="s">
        <v>3</v>
      </c>
      <c r="I5" s="162" t="s">
        <v>29</v>
      </c>
      <c r="J5" s="152" t="s">
        <v>492</v>
      </c>
      <c r="K5" s="152" t="s">
        <v>493</v>
      </c>
      <c r="L5" s="245" t="s">
        <v>3</v>
      </c>
      <c r="M5" s="162" t="s">
        <v>29</v>
      </c>
    </row>
    <row r="6" spans="1:14" x14ac:dyDescent="0.2">
      <c r="A6" s="946"/>
      <c r="B6" s="156"/>
      <c r="C6" s="156"/>
      <c r="D6" s="246" t="s">
        <v>4</v>
      </c>
      <c r="E6" s="156" t="s">
        <v>30</v>
      </c>
      <c r="F6" s="161"/>
      <c r="G6" s="161"/>
      <c r="H6" s="245" t="s">
        <v>4</v>
      </c>
      <c r="I6" s="156" t="s">
        <v>30</v>
      </c>
      <c r="J6" s="161"/>
      <c r="K6" s="161"/>
      <c r="L6" s="245" t="s">
        <v>4</v>
      </c>
      <c r="M6" s="156" t="s">
        <v>30</v>
      </c>
    </row>
    <row r="7" spans="1:14" ht="15.75" x14ac:dyDescent="0.2">
      <c r="A7" s="14" t="s">
        <v>23</v>
      </c>
      <c r="B7" s="305"/>
      <c r="C7" s="306"/>
      <c r="D7" s="349"/>
      <c r="E7" s="11"/>
      <c r="F7" s="305">
        <v>104029</v>
      </c>
      <c r="G7" s="306">
        <v>92433.316000000006</v>
      </c>
      <c r="H7" s="349">
        <f>IF(F7=0, "    ---- ", IF(ABS(ROUND(100/F7*G7-100,1))&lt;999,ROUND(100/F7*G7-100,1),IF(ROUND(100/F7*G7-100,1)&gt;999,999,-999)))</f>
        <v>-11.1</v>
      </c>
      <c r="I7" s="160">
        <f>IFERROR(100/'Skjema total MA'!F7*G7,0)</f>
        <v>0.88476559426604762</v>
      </c>
      <c r="J7" s="307">
        <f t="shared" ref="J7:K12" si="0">SUM(B7,F7)</f>
        <v>104029</v>
      </c>
      <c r="K7" s="308">
        <f t="shared" si="0"/>
        <v>92433.316000000006</v>
      </c>
      <c r="L7" s="372">
        <f>IF(J7=0, "    ---- ", IF(ABS(ROUND(100/J7*K7-100,1))&lt;999,ROUND(100/J7*K7-100,1),IF(ROUND(100/J7*K7-100,1)&gt;999,999,-999)))</f>
        <v>-11.1</v>
      </c>
      <c r="M7" s="11">
        <f>IFERROR(100/'Skjema total MA'!I7*K7,0)</f>
        <v>0.61014369413341352</v>
      </c>
    </row>
    <row r="8" spans="1:14" ht="15.75" x14ac:dyDescent="0.2">
      <c r="A8" s="21" t="s">
        <v>25</v>
      </c>
      <c r="B8" s="280"/>
      <c r="C8" s="281"/>
      <c r="D8" s="166"/>
      <c r="E8" s="27"/>
      <c r="F8" s="284"/>
      <c r="G8" s="285"/>
      <c r="H8" s="166"/>
      <c r="I8" s="175"/>
      <c r="J8" s="234"/>
      <c r="K8" s="286"/>
      <c r="L8" s="254"/>
      <c r="M8" s="27"/>
    </row>
    <row r="9" spans="1:14" ht="15.75" x14ac:dyDescent="0.2">
      <c r="A9" s="21" t="s">
        <v>24</v>
      </c>
      <c r="B9" s="280"/>
      <c r="C9" s="281"/>
      <c r="D9" s="166"/>
      <c r="E9" s="27"/>
      <c r="F9" s="284"/>
      <c r="G9" s="285"/>
      <c r="H9" s="166"/>
      <c r="I9" s="175"/>
      <c r="J9" s="234"/>
      <c r="K9" s="286"/>
      <c r="L9" s="254"/>
      <c r="M9" s="27"/>
    </row>
    <row r="10" spans="1:14" ht="15.75" x14ac:dyDescent="0.2">
      <c r="A10" s="13" t="s">
        <v>451</v>
      </c>
      <c r="B10" s="309"/>
      <c r="C10" s="310"/>
      <c r="D10" s="171"/>
      <c r="E10" s="11"/>
      <c r="F10" s="309">
        <v>780537</v>
      </c>
      <c r="G10" s="310">
        <v>948953</v>
      </c>
      <c r="H10" s="171">
        <f t="shared" ref="H10:H12" si="1">IF(F10=0, "    ---- ", IF(ABS(ROUND(100/F10*G10-100,1))&lt;999,ROUND(100/F10*G10-100,1),IF(ROUND(100/F10*G10-100,1)&gt;999,999,-999)))</f>
        <v>21.6</v>
      </c>
      <c r="I10" s="160">
        <f>IFERROR(100/'Skjema total MA'!F10*G10,0)</f>
        <v>1.7912336690342148</v>
      </c>
      <c r="J10" s="307">
        <f t="shared" si="0"/>
        <v>780537</v>
      </c>
      <c r="K10" s="308">
        <f t="shared" si="0"/>
        <v>948953</v>
      </c>
      <c r="L10" s="373">
        <f t="shared" ref="L10:L12" si="2">IF(J10=0, "    ---- ", IF(ABS(ROUND(100/J10*K10-100,1))&lt;999,ROUND(100/J10*K10-100,1),IF(ROUND(100/J10*K10-100,1)&gt;999,999,-999)))</f>
        <v>21.6</v>
      </c>
      <c r="M10" s="11">
        <f>IFERROR(100/'Skjema total MA'!I10*K10,0)</f>
        <v>1.2803190640803925</v>
      </c>
    </row>
    <row r="11" spans="1:14" s="43" customFormat="1" ht="15.75" x14ac:dyDescent="0.2">
      <c r="A11" s="13" t="s">
        <v>452</v>
      </c>
      <c r="B11" s="309"/>
      <c r="C11" s="310"/>
      <c r="D11" s="171"/>
      <c r="E11" s="11"/>
      <c r="F11" s="309">
        <v>21603</v>
      </c>
      <c r="G11" s="310">
        <v>30700.953000000001</v>
      </c>
      <c r="H11" s="171">
        <f t="shared" si="1"/>
        <v>42.1</v>
      </c>
      <c r="I11" s="160">
        <f>IFERROR(100/'Skjema total MA'!F11*G11,0)</f>
        <v>7.4390422975999204</v>
      </c>
      <c r="J11" s="307">
        <f t="shared" si="0"/>
        <v>21603</v>
      </c>
      <c r="K11" s="308">
        <f t="shared" si="0"/>
        <v>30700.953000000001</v>
      </c>
      <c r="L11" s="373">
        <f t="shared" si="2"/>
        <v>42.1</v>
      </c>
      <c r="M11" s="11">
        <f>IFERROR(100/'Skjema total MA'!I11*K11,0)</f>
        <v>6.4240925528434687</v>
      </c>
      <c r="N11" s="143"/>
    </row>
    <row r="12" spans="1:14" s="43" customFormat="1" ht="15.75" x14ac:dyDescent="0.2">
      <c r="A12" s="41" t="s">
        <v>453</v>
      </c>
      <c r="B12" s="311"/>
      <c r="C12" s="312"/>
      <c r="D12" s="169"/>
      <c r="E12" s="36"/>
      <c r="F12" s="311">
        <v>2063</v>
      </c>
      <c r="G12" s="312">
        <v>6265.5614500000001</v>
      </c>
      <c r="H12" s="169">
        <f t="shared" si="1"/>
        <v>203.7</v>
      </c>
      <c r="I12" s="169">
        <f>IFERROR(100/'Skjema total MA'!F12*G12,0)</f>
        <v>1.9312651012285842</v>
      </c>
      <c r="J12" s="313">
        <f t="shared" si="0"/>
        <v>2063</v>
      </c>
      <c r="K12" s="314">
        <f t="shared" si="0"/>
        <v>6265.5614500000001</v>
      </c>
      <c r="L12" s="374">
        <f t="shared" si="2"/>
        <v>203.7</v>
      </c>
      <c r="M12" s="36">
        <f>IFERROR(100/'Skjema total MA'!I12*K12,0)</f>
        <v>1.8292070360801786</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975"/>
      <c r="C18" s="975"/>
      <c r="D18" s="975"/>
      <c r="E18" s="298"/>
      <c r="F18" s="975"/>
      <c r="G18" s="975"/>
      <c r="H18" s="975"/>
      <c r="I18" s="298"/>
      <c r="J18" s="975"/>
      <c r="K18" s="975"/>
      <c r="L18" s="975"/>
      <c r="M18" s="298"/>
    </row>
    <row r="19" spans="1:14" x14ac:dyDescent="0.2">
      <c r="A19" s="144"/>
      <c r="B19" s="973" t="s">
        <v>0</v>
      </c>
      <c r="C19" s="974"/>
      <c r="D19" s="974"/>
      <c r="E19" s="300"/>
      <c r="F19" s="973" t="s">
        <v>1</v>
      </c>
      <c r="G19" s="974"/>
      <c r="H19" s="974"/>
      <c r="I19" s="303"/>
      <c r="J19" s="973" t="s">
        <v>2</v>
      </c>
      <c r="K19" s="974"/>
      <c r="L19" s="974"/>
      <c r="M19" s="303"/>
    </row>
    <row r="20" spans="1:14" x14ac:dyDescent="0.2">
      <c r="A20" s="140" t="s">
        <v>5</v>
      </c>
      <c r="B20" s="152" t="s">
        <v>492</v>
      </c>
      <c r="C20" s="152" t="s">
        <v>493</v>
      </c>
      <c r="D20" s="162" t="s">
        <v>3</v>
      </c>
      <c r="E20" s="304" t="s">
        <v>29</v>
      </c>
      <c r="F20" s="152" t="s">
        <v>492</v>
      </c>
      <c r="G20" s="152" t="s">
        <v>493</v>
      </c>
      <c r="H20" s="162" t="s">
        <v>3</v>
      </c>
      <c r="I20" s="162" t="s">
        <v>29</v>
      </c>
      <c r="J20" s="152" t="s">
        <v>492</v>
      </c>
      <c r="K20" s="152" t="s">
        <v>493</v>
      </c>
      <c r="L20" s="162" t="s">
        <v>3</v>
      </c>
      <c r="M20" s="162" t="s">
        <v>29</v>
      </c>
    </row>
    <row r="21" spans="1:14" x14ac:dyDescent="0.2">
      <c r="A21" s="947"/>
      <c r="B21" s="156"/>
      <c r="C21" s="156"/>
      <c r="D21" s="246" t="s">
        <v>4</v>
      </c>
      <c r="E21" s="156" t="s">
        <v>30</v>
      </c>
      <c r="F21" s="161"/>
      <c r="G21" s="161"/>
      <c r="H21" s="245" t="s">
        <v>4</v>
      </c>
      <c r="I21" s="156" t="s">
        <v>30</v>
      </c>
      <c r="J21" s="161"/>
      <c r="K21" s="161"/>
      <c r="L21" s="156" t="s">
        <v>4</v>
      </c>
      <c r="M21" s="156" t="s">
        <v>30</v>
      </c>
    </row>
    <row r="22" spans="1:14" ht="15.75" x14ac:dyDescent="0.2">
      <c r="A22" s="14" t="s">
        <v>23</v>
      </c>
      <c r="B22" s="309"/>
      <c r="C22" s="309"/>
      <c r="D22" s="349"/>
      <c r="E22" s="11"/>
      <c r="F22" s="317">
        <v>49796</v>
      </c>
      <c r="G22" s="317">
        <v>53401.392</v>
      </c>
      <c r="H22" s="349">
        <f t="shared" ref="H22:H35" si="3">IF(F22=0, "    ---- ", IF(ABS(ROUND(100/F22*G22-100,1))&lt;999,ROUND(100/F22*G22-100,1),IF(ROUND(100/F22*G22-100,1)&gt;999,999,-999)))</f>
        <v>7.2</v>
      </c>
      <c r="I22" s="11">
        <f>IFERROR(100/'Skjema total MA'!F22*G22,0)</f>
        <v>4.0407063604264701</v>
      </c>
      <c r="J22" s="315">
        <f t="shared" ref="J22:K35" si="4">SUM(B22,F22)</f>
        <v>49796</v>
      </c>
      <c r="K22" s="315">
        <f t="shared" si="4"/>
        <v>53401.392</v>
      </c>
      <c r="L22" s="372">
        <f t="shared" ref="L22:L35" si="5">IF(J22=0, "    ---- ", IF(ABS(ROUND(100/J22*K22-100,1))&lt;999,ROUND(100/J22*K22-100,1),IF(ROUND(100/J22*K22-100,1)&gt;999,999,-999)))</f>
        <v>7.2</v>
      </c>
      <c r="M22" s="24">
        <f>IFERROR(100/'Skjema total MA'!I22*K22,0)</f>
        <v>1.7169330812565944</v>
      </c>
    </row>
    <row r="23" spans="1:14" ht="15.75" x14ac:dyDescent="0.2">
      <c r="A23" s="753" t="s">
        <v>454</v>
      </c>
      <c r="B23" s="280"/>
      <c r="C23" s="280"/>
      <c r="D23" s="166"/>
      <c r="E23" s="11"/>
      <c r="F23" s="289">
        <v>464</v>
      </c>
      <c r="G23" s="289">
        <v>311.66000000000003</v>
      </c>
      <c r="H23" s="166">
        <f t="shared" si="3"/>
        <v>-32.799999999999997</v>
      </c>
      <c r="I23" s="365">
        <f>IFERROR(100/'Skjema total MA'!F23*G23,0)</f>
        <v>0.31306310563675532</v>
      </c>
      <c r="J23" s="286">
        <f t="shared" si="4"/>
        <v>464</v>
      </c>
      <c r="K23" s="44">
        <f t="shared" si="4"/>
        <v>311.66000000000003</v>
      </c>
      <c r="L23" s="254">
        <f t="shared" si="5"/>
        <v>-32.799999999999997</v>
      </c>
      <c r="M23" s="23">
        <f>IFERROR(100/'Skjema total MA'!I23*K23,0)</f>
        <v>1.7485607596639953E-2</v>
      </c>
    </row>
    <row r="24" spans="1:14" ht="15.75" x14ac:dyDescent="0.2">
      <c r="A24" s="753" t="s">
        <v>455</v>
      </c>
      <c r="B24" s="280"/>
      <c r="C24" s="280"/>
      <c r="D24" s="166"/>
      <c r="E24" s="11"/>
      <c r="F24" s="289"/>
      <c r="G24" s="289"/>
      <c r="H24" s="166"/>
      <c r="I24" s="365"/>
      <c r="J24" s="289"/>
      <c r="K24" s="289"/>
      <c r="L24" s="166"/>
      <c r="M24" s="23"/>
    </row>
    <row r="25" spans="1:14" ht="15.75" x14ac:dyDescent="0.2">
      <c r="A25" s="753" t="s">
        <v>456</v>
      </c>
      <c r="B25" s="280"/>
      <c r="C25" s="280"/>
      <c r="D25" s="166"/>
      <c r="E25" s="11"/>
      <c r="F25" s="289"/>
      <c r="G25" s="289"/>
      <c r="H25" s="166"/>
      <c r="I25" s="365"/>
      <c r="J25" s="289"/>
      <c r="K25" s="289"/>
      <c r="L25" s="166"/>
      <c r="M25" s="23"/>
    </row>
    <row r="26" spans="1:14" ht="15.75" x14ac:dyDescent="0.2">
      <c r="A26" s="753" t="s">
        <v>457</v>
      </c>
      <c r="B26" s="280"/>
      <c r="C26" s="280"/>
      <c r="D26" s="166"/>
      <c r="E26" s="11"/>
      <c r="F26" s="289">
        <v>49332</v>
      </c>
      <c r="G26" s="289">
        <v>53089.732000000004</v>
      </c>
      <c r="H26" s="166">
        <f t="shared" ref="H26" si="6">IF(F26=0, "    ---- ", IF(ABS(ROUND(100/F26*G26-100,1))&lt;999,ROUND(100/F26*G26-100,1),IF(ROUND(100/F26*G26-100,1)&gt;999,999,-999)))</f>
        <v>7.6</v>
      </c>
      <c r="I26" s="365">
        <f>IFERROR(100/'Skjema total MA'!F26*G26,0)</f>
        <v>4.4445365711362994</v>
      </c>
      <c r="J26" s="286">
        <f t="shared" ref="J26" si="7">SUM(B26,F26)</f>
        <v>49332</v>
      </c>
      <c r="K26" s="44">
        <f t="shared" ref="K26" si="8">SUM(C26,G26)</f>
        <v>53089.732000000004</v>
      </c>
      <c r="L26" s="254">
        <f t="shared" ref="L26" si="9">IF(J26=0, "    ---- ", IF(ABS(ROUND(100/J26*K26-100,1))&lt;999,ROUND(100/J26*K26-100,1),IF(ROUND(100/J26*K26-100,1)&gt;999,999,-999)))</f>
        <v>7.6</v>
      </c>
      <c r="M26" s="23">
        <f>IFERROR(100/'Skjema total MA'!I26*K26,0)</f>
        <v>4.4445365711362994</v>
      </c>
    </row>
    <row r="27" spans="1:14" x14ac:dyDescent="0.2">
      <c r="A27" s="753" t="s">
        <v>11</v>
      </c>
      <c r="B27" s="280"/>
      <c r="C27" s="280"/>
      <c r="D27" s="166"/>
      <c r="E27" s="11"/>
      <c r="F27" s="289"/>
      <c r="G27" s="289"/>
      <c r="H27" s="166"/>
      <c r="I27" s="365"/>
      <c r="J27" s="289"/>
      <c r="K27" s="289"/>
      <c r="L27" s="166"/>
      <c r="M27" s="23"/>
    </row>
    <row r="28" spans="1:14" ht="15.75" x14ac:dyDescent="0.2">
      <c r="A28" s="49" t="s">
        <v>279</v>
      </c>
      <c r="B28" s="44"/>
      <c r="C28" s="286"/>
      <c r="D28" s="166"/>
      <c r="E28" s="11"/>
      <c r="F28" s="234"/>
      <c r="G28" s="286"/>
      <c r="H28" s="166"/>
      <c r="I28" s="27"/>
      <c r="J28" s="44"/>
      <c r="K28" s="44"/>
      <c r="L28" s="254"/>
      <c r="M28" s="23"/>
    </row>
    <row r="29" spans="1:14" s="3" customFormat="1" ht="15.75" x14ac:dyDescent="0.2">
      <c r="A29" s="13" t="s">
        <v>451</v>
      </c>
      <c r="B29" s="236"/>
      <c r="C29" s="236"/>
      <c r="D29" s="171"/>
      <c r="E29" s="11"/>
      <c r="F29" s="307">
        <v>811686</v>
      </c>
      <c r="G29" s="307">
        <v>932353</v>
      </c>
      <c r="H29" s="171">
        <f t="shared" si="3"/>
        <v>14.9</v>
      </c>
      <c r="I29" s="11">
        <f>IFERROR(100/'Skjema total MA'!F29*G29,0)</f>
        <v>4.173781561836118</v>
      </c>
      <c r="J29" s="236">
        <f t="shared" si="4"/>
        <v>811686</v>
      </c>
      <c r="K29" s="236">
        <f t="shared" si="4"/>
        <v>932353</v>
      </c>
      <c r="L29" s="373">
        <f t="shared" si="5"/>
        <v>14.9</v>
      </c>
      <c r="M29" s="24">
        <f>IFERROR(100/'Skjema total MA'!I29*K29,0)</f>
        <v>1.3450880088870658</v>
      </c>
      <c r="N29" s="148"/>
    </row>
    <row r="30" spans="1:14" s="3" customFormat="1" ht="15.75" x14ac:dyDescent="0.2">
      <c r="A30" s="753" t="s">
        <v>454</v>
      </c>
      <c r="B30" s="280"/>
      <c r="C30" s="280"/>
      <c r="D30" s="166"/>
      <c r="E30" s="11"/>
      <c r="F30" s="289">
        <v>116190</v>
      </c>
      <c r="G30" s="289">
        <v>122294</v>
      </c>
      <c r="H30" s="166">
        <f t="shared" si="3"/>
        <v>5.3</v>
      </c>
      <c r="I30" s="365">
        <f>IFERROR(100/'Skjema total MA'!F30*G30,0)</f>
        <v>2.7464516531225578</v>
      </c>
      <c r="J30" s="286">
        <f t="shared" si="4"/>
        <v>116190</v>
      </c>
      <c r="K30" s="44">
        <f t="shared" si="4"/>
        <v>122294</v>
      </c>
      <c r="L30" s="254">
        <f t="shared" si="5"/>
        <v>5.3</v>
      </c>
      <c r="M30" s="23">
        <f>IFERROR(100/'Skjema total MA'!I30*K30,0)</f>
        <v>0.55273659154687449</v>
      </c>
      <c r="N30" s="148"/>
    </row>
    <row r="31" spans="1:14" s="3" customFormat="1" ht="15.75" x14ac:dyDescent="0.2">
      <c r="A31" s="753" t="s">
        <v>455</v>
      </c>
      <c r="B31" s="280"/>
      <c r="C31" s="280"/>
      <c r="D31" s="166"/>
      <c r="E31" s="11"/>
      <c r="F31" s="289">
        <v>618157</v>
      </c>
      <c r="G31" s="289">
        <v>655364</v>
      </c>
      <c r="H31" s="166">
        <f t="shared" si="3"/>
        <v>6</v>
      </c>
      <c r="I31" s="365">
        <f>IFERROR(100/'Skjema total MA'!F31*G31,0)</f>
        <v>6.6714207478439667</v>
      </c>
      <c r="J31" s="286">
        <f t="shared" si="4"/>
        <v>618157</v>
      </c>
      <c r="K31" s="44">
        <f t="shared" si="4"/>
        <v>655364</v>
      </c>
      <c r="L31" s="254">
        <f t="shared" si="5"/>
        <v>6</v>
      </c>
      <c r="M31" s="23">
        <f>IFERROR(100/'Skjema total MA'!I31*K31,0)</f>
        <v>1.8214534340310471</v>
      </c>
      <c r="N31" s="148"/>
    </row>
    <row r="32" spans="1:14" ht="15.75" x14ac:dyDescent="0.2">
      <c r="A32" s="753" t="s">
        <v>456</v>
      </c>
      <c r="B32" s="280"/>
      <c r="C32" s="280"/>
      <c r="D32" s="166"/>
      <c r="E32" s="11"/>
      <c r="F32" s="289"/>
      <c r="G32" s="289"/>
      <c r="H32" s="166"/>
      <c r="I32" s="365"/>
      <c r="J32" s="289"/>
      <c r="K32" s="289"/>
      <c r="L32" s="166"/>
      <c r="M32" s="23"/>
    </row>
    <row r="33" spans="1:14" ht="15.75" x14ac:dyDescent="0.2">
      <c r="A33" s="753" t="s">
        <v>457</v>
      </c>
      <c r="B33" s="280"/>
      <c r="C33" s="280"/>
      <c r="D33" s="166"/>
      <c r="E33" s="11"/>
      <c r="F33" s="289">
        <v>77339</v>
      </c>
      <c r="G33" s="289">
        <v>154695</v>
      </c>
      <c r="H33" s="166">
        <f t="shared" ref="H33" si="10">IF(F33=0, "    ---- ", IF(ABS(ROUND(100/F33*G33-100,1))&lt;999,ROUND(100/F33*G33-100,1),IF(ROUND(100/F33*G33-100,1)&gt;999,999,-999)))</f>
        <v>100</v>
      </c>
      <c r="I33" s="365">
        <f>IFERROR(100/'Skjema total MA'!F34*G33,0)</f>
        <v>220.42683796021547</v>
      </c>
      <c r="J33" s="286">
        <f t="shared" ref="J33" si="11">SUM(B33,F33)</f>
        <v>77339</v>
      </c>
      <c r="K33" s="44">
        <f t="shared" ref="K33" si="12">SUM(C33,G33)</f>
        <v>154695</v>
      </c>
      <c r="L33" s="254">
        <f t="shared" ref="L33" si="13">IF(J33=0, "    ---- ", IF(ABS(ROUND(100/J33*K33-100,1))&lt;999,ROUND(100/J33*K33-100,1),IF(ROUND(100/J33*K33-100,1)&gt;999,999,-999)))</f>
        <v>100</v>
      </c>
      <c r="M33" s="23">
        <f>IFERROR(100/'Skjema total MA'!I34*K33,0)</f>
        <v>159.91414800020254</v>
      </c>
    </row>
    <row r="34" spans="1:14" ht="15.75" x14ac:dyDescent="0.2">
      <c r="A34" s="13" t="s">
        <v>452</v>
      </c>
      <c r="B34" s="236"/>
      <c r="C34" s="308"/>
      <c r="D34" s="171"/>
      <c r="E34" s="11"/>
      <c r="F34" s="307">
        <v>8016</v>
      </c>
      <c r="G34" s="308">
        <v>7760.0680000000002</v>
      </c>
      <c r="H34" s="171">
        <f t="shared" si="3"/>
        <v>-3.2</v>
      </c>
      <c r="I34" s="11">
        <f>IFERROR(100/'Skjema total MA'!F34*G34,0)</f>
        <v>11.057417832484912</v>
      </c>
      <c r="J34" s="236">
        <f t="shared" si="4"/>
        <v>8016</v>
      </c>
      <c r="K34" s="236">
        <f t="shared" si="4"/>
        <v>7760.0680000000002</v>
      </c>
      <c r="L34" s="373">
        <f t="shared" si="5"/>
        <v>-3.2</v>
      </c>
      <c r="M34" s="24">
        <f>IFERROR(100/'Skjema total MA'!I34*K34,0)</f>
        <v>8.0218795865647614</v>
      </c>
    </row>
    <row r="35" spans="1:14" ht="15.75" x14ac:dyDescent="0.2">
      <c r="A35" s="13" t="s">
        <v>453</v>
      </c>
      <c r="B35" s="236"/>
      <c r="C35" s="308"/>
      <c r="D35" s="171"/>
      <c r="E35" s="11"/>
      <c r="F35" s="307">
        <v>6914</v>
      </c>
      <c r="G35" s="308">
        <v>7760.67094</v>
      </c>
      <c r="H35" s="171">
        <f t="shared" si="3"/>
        <v>12.2</v>
      </c>
      <c r="I35" s="11">
        <f>IFERROR(100/'Skjema total MA'!F35*G35,0)</f>
        <v>5.8356031381363449</v>
      </c>
      <c r="J35" s="236">
        <f t="shared" si="4"/>
        <v>6914</v>
      </c>
      <c r="K35" s="236">
        <f t="shared" si="4"/>
        <v>7760.67094</v>
      </c>
      <c r="L35" s="373">
        <f t="shared" si="5"/>
        <v>12.2</v>
      </c>
      <c r="M35" s="24">
        <f>IFERROR(100/'Skjema total MA'!I35*K35,0)</f>
        <v>7.4766855227707882</v>
      </c>
    </row>
    <row r="36" spans="1:14" ht="15.75" x14ac:dyDescent="0.2">
      <c r="A36" s="12" t="s">
        <v>287</v>
      </c>
      <c r="B36" s="236"/>
      <c r="C36" s="308"/>
      <c r="D36" s="171"/>
      <c r="E36" s="11"/>
      <c r="F36" s="318"/>
      <c r="G36" s="319"/>
      <c r="H36" s="171"/>
      <c r="I36" s="379"/>
      <c r="J36" s="236"/>
      <c r="K36" s="236"/>
      <c r="L36" s="373"/>
      <c r="M36" s="24"/>
    </row>
    <row r="37" spans="1:14" ht="15.75" x14ac:dyDescent="0.2">
      <c r="A37" s="12" t="s">
        <v>459</v>
      </c>
      <c r="B37" s="236"/>
      <c r="C37" s="308"/>
      <c r="D37" s="171"/>
      <c r="E37" s="11"/>
      <c r="F37" s="318"/>
      <c r="G37" s="320"/>
      <c r="H37" s="171"/>
      <c r="I37" s="379"/>
      <c r="J37" s="236"/>
      <c r="K37" s="236"/>
      <c r="L37" s="373"/>
      <c r="M37" s="24"/>
    </row>
    <row r="38" spans="1:14" ht="15.75" x14ac:dyDescent="0.2">
      <c r="A38" s="12" t="s">
        <v>460</v>
      </c>
      <c r="B38" s="236"/>
      <c r="C38" s="308"/>
      <c r="D38" s="171"/>
      <c r="E38" s="24"/>
      <c r="F38" s="318"/>
      <c r="G38" s="319"/>
      <c r="H38" s="171"/>
      <c r="I38" s="379"/>
      <c r="J38" s="236"/>
      <c r="K38" s="236"/>
      <c r="L38" s="373"/>
      <c r="M38" s="24"/>
    </row>
    <row r="39" spans="1:14" ht="15.75" x14ac:dyDescent="0.2">
      <c r="A39" s="18" t="s">
        <v>461</v>
      </c>
      <c r="B39" s="275"/>
      <c r="C39" s="314"/>
      <c r="D39" s="169"/>
      <c r="E39" s="36"/>
      <c r="F39" s="321"/>
      <c r="G39" s="322"/>
      <c r="H39" s="169"/>
      <c r="I39" s="36"/>
      <c r="J39" s="236"/>
      <c r="K39" s="236"/>
      <c r="L39" s="374"/>
      <c r="M39" s="36"/>
    </row>
    <row r="40" spans="1:14" ht="15.75" x14ac:dyDescent="0.25">
      <c r="A40" s="47"/>
      <c r="B40" s="253"/>
      <c r="C40" s="253"/>
      <c r="D40" s="976"/>
      <c r="E40" s="976"/>
      <c r="F40" s="976"/>
      <c r="G40" s="976"/>
      <c r="H40" s="976"/>
      <c r="I40" s="976"/>
      <c r="J40" s="976"/>
      <c r="K40" s="976"/>
      <c r="L40" s="976"/>
      <c r="M40" s="301"/>
    </row>
    <row r="41" spans="1:14" x14ac:dyDescent="0.2">
      <c r="A41" s="155"/>
    </row>
    <row r="42" spans="1:14" ht="15.75" x14ac:dyDescent="0.25">
      <c r="A42" s="147" t="s">
        <v>276</v>
      </c>
      <c r="B42" s="972"/>
      <c r="C42" s="972"/>
      <c r="D42" s="972"/>
      <c r="E42" s="298"/>
      <c r="F42" s="977"/>
      <c r="G42" s="977"/>
      <c r="H42" s="977"/>
      <c r="I42" s="301"/>
      <c r="J42" s="977"/>
      <c r="K42" s="977"/>
      <c r="L42" s="977"/>
      <c r="M42" s="301"/>
    </row>
    <row r="43" spans="1:14" ht="15.75" x14ac:dyDescent="0.25">
      <c r="A43" s="163"/>
      <c r="B43" s="302"/>
      <c r="C43" s="302"/>
      <c r="D43" s="302"/>
      <c r="E43" s="302"/>
      <c r="F43" s="301"/>
      <c r="G43" s="301"/>
      <c r="H43" s="301"/>
      <c r="I43" s="301"/>
      <c r="J43" s="301"/>
      <c r="K43" s="301"/>
      <c r="L43" s="301"/>
      <c r="M43" s="301"/>
    </row>
    <row r="44" spans="1:14" ht="15.75" x14ac:dyDescent="0.25">
      <c r="A44" s="247"/>
      <c r="B44" s="973" t="s">
        <v>0</v>
      </c>
      <c r="C44" s="974"/>
      <c r="D44" s="974"/>
      <c r="E44" s="243"/>
      <c r="F44" s="301"/>
      <c r="G44" s="301"/>
      <c r="H44" s="301"/>
      <c r="I44" s="301"/>
      <c r="J44" s="301"/>
      <c r="K44" s="301"/>
      <c r="L44" s="301"/>
      <c r="M44" s="301"/>
    </row>
    <row r="45" spans="1:14" s="3" customFormat="1" x14ac:dyDescent="0.2">
      <c r="A45" s="140"/>
      <c r="B45" s="152" t="s">
        <v>492</v>
      </c>
      <c r="C45" s="152" t="s">
        <v>493</v>
      </c>
      <c r="D45" s="162" t="s">
        <v>3</v>
      </c>
      <c r="E45" s="162" t="s">
        <v>29</v>
      </c>
      <c r="F45" s="174"/>
      <c r="G45" s="174"/>
      <c r="H45" s="173"/>
      <c r="I45" s="173"/>
      <c r="J45" s="174"/>
      <c r="K45" s="174"/>
      <c r="L45" s="173"/>
      <c r="M45" s="173"/>
      <c r="N45" s="148"/>
    </row>
    <row r="46" spans="1:14" s="3" customFormat="1" x14ac:dyDescent="0.2">
      <c r="A46" s="947"/>
      <c r="B46" s="244"/>
      <c r="C46" s="244"/>
      <c r="D46" s="245" t="s">
        <v>4</v>
      </c>
      <c r="E46" s="156" t="s">
        <v>30</v>
      </c>
      <c r="F46" s="173"/>
      <c r="G46" s="173"/>
      <c r="H46" s="173"/>
      <c r="I46" s="173"/>
      <c r="J46" s="173"/>
      <c r="K46" s="173"/>
      <c r="L46" s="173"/>
      <c r="M46" s="173"/>
      <c r="N46" s="148"/>
    </row>
    <row r="47" spans="1:14" s="3" customFormat="1" ht="15.75" x14ac:dyDescent="0.2">
      <c r="A47" s="14" t="s">
        <v>23</v>
      </c>
      <c r="B47" s="309"/>
      <c r="C47" s="310"/>
      <c r="D47" s="372"/>
      <c r="E47" s="11"/>
      <c r="F47" s="145"/>
      <c r="G47" s="33"/>
      <c r="H47" s="159"/>
      <c r="I47" s="159"/>
      <c r="J47" s="37"/>
      <c r="K47" s="37"/>
      <c r="L47" s="159"/>
      <c r="M47" s="159"/>
      <c r="N47" s="148"/>
    </row>
    <row r="48" spans="1:14" s="3" customFormat="1" ht="15.75" x14ac:dyDescent="0.2">
      <c r="A48" s="38" t="s">
        <v>462</v>
      </c>
      <c r="B48" s="280"/>
      <c r="C48" s="281"/>
      <c r="D48" s="254"/>
      <c r="E48" s="27"/>
      <c r="F48" s="145"/>
      <c r="G48" s="33"/>
      <c r="H48" s="145"/>
      <c r="I48" s="145"/>
      <c r="J48" s="33"/>
      <c r="K48" s="33"/>
      <c r="L48" s="159"/>
      <c r="M48" s="159"/>
      <c r="N48" s="148"/>
    </row>
    <row r="49" spans="1:14" s="3" customFormat="1" ht="15.75" x14ac:dyDescent="0.2">
      <c r="A49" s="38" t="s">
        <v>463</v>
      </c>
      <c r="B49" s="44"/>
      <c r="C49" s="286"/>
      <c r="D49" s="254"/>
      <c r="E49" s="27"/>
      <c r="F49" s="145"/>
      <c r="G49" s="33"/>
      <c r="H49" s="145"/>
      <c r="I49" s="145"/>
      <c r="J49" s="37"/>
      <c r="K49" s="37"/>
      <c r="L49" s="159"/>
      <c r="M49" s="159"/>
      <c r="N49" s="148"/>
    </row>
    <row r="50" spans="1:14" s="3" customFormat="1" x14ac:dyDescent="0.2">
      <c r="A50" s="295" t="s">
        <v>6</v>
      </c>
      <c r="B50" s="289"/>
      <c r="C50" s="290"/>
      <c r="D50" s="254"/>
      <c r="E50" s="23"/>
      <c r="F50" s="145"/>
      <c r="G50" s="33"/>
      <c r="H50" s="145"/>
      <c r="I50" s="145"/>
      <c r="J50" s="33"/>
      <c r="K50" s="33"/>
      <c r="L50" s="159"/>
      <c r="M50" s="159"/>
      <c r="N50" s="148"/>
    </row>
    <row r="51" spans="1:14" s="3" customFormat="1" x14ac:dyDescent="0.2">
      <c r="A51" s="295" t="s">
        <v>7</v>
      </c>
      <c r="B51" s="289"/>
      <c r="C51" s="290"/>
      <c r="D51" s="254"/>
      <c r="E51" s="23"/>
      <c r="F51" s="145"/>
      <c r="G51" s="33"/>
      <c r="H51" s="145"/>
      <c r="I51" s="145"/>
      <c r="J51" s="33"/>
      <c r="K51" s="33"/>
      <c r="L51" s="159"/>
      <c r="M51" s="159"/>
      <c r="N51" s="148"/>
    </row>
    <row r="52" spans="1:14" s="3" customFormat="1" x14ac:dyDescent="0.2">
      <c r="A52" s="295" t="s">
        <v>8</v>
      </c>
      <c r="B52" s="289"/>
      <c r="C52" s="290"/>
      <c r="D52" s="254"/>
      <c r="E52" s="23"/>
      <c r="F52" s="145"/>
      <c r="G52" s="33"/>
      <c r="H52" s="145"/>
      <c r="I52" s="145"/>
      <c r="J52" s="33"/>
      <c r="K52" s="33"/>
      <c r="L52" s="159"/>
      <c r="M52" s="159"/>
      <c r="N52" s="148"/>
    </row>
    <row r="53" spans="1:14" s="3" customFormat="1" ht="15.75" x14ac:dyDescent="0.2">
      <c r="A53" s="39" t="s">
        <v>464</v>
      </c>
      <c r="B53" s="309"/>
      <c r="C53" s="310"/>
      <c r="D53" s="373"/>
      <c r="E53" s="11"/>
      <c r="F53" s="145"/>
      <c r="G53" s="33"/>
      <c r="H53" s="145"/>
      <c r="I53" s="145"/>
      <c r="J53" s="33"/>
      <c r="K53" s="33"/>
      <c r="L53" s="159"/>
      <c r="M53" s="159"/>
      <c r="N53" s="148"/>
    </row>
    <row r="54" spans="1:14" s="3" customFormat="1" ht="15.75" x14ac:dyDescent="0.2">
      <c r="A54" s="38" t="s">
        <v>462</v>
      </c>
      <c r="B54" s="280"/>
      <c r="C54" s="281"/>
      <c r="D54" s="254"/>
      <c r="E54" s="27"/>
      <c r="F54" s="145"/>
      <c r="G54" s="33"/>
      <c r="H54" s="145"/>
      <c r="I54" s="145"/>
      <c r="J54" s="33"/>
      <c r="K54" s="33"/>
      <c r="L54" s="159"/>
      <c r="M54" s="159"/>
      <c r="N54" s="148"/>
    </row>
    <row r="55" spans="1:14" s="3" customFormat="1" ht="15.75" x14ac:dyDescent="0.2">
      <c r="A55" s="38" t="s">
        <v>463</v>
      </c>
      <c r="B55" s="280"/>
      <c r="C55" s="281"/>
      <c r="D55" s="254"/>
      <c r="E55" s="27"/>
      <c r="F55" s="145"/>
      <c r="G55" s="33"/>
      <c r="H55" s="145"/>
      <c r="I55" s="145"/>
      <c r="J55" s="33"/>
      <c r="K55" s="33"/>
      <c r="L55" s="159"/>
      <c r="M55" s="159"/>
      <c r="N55" s="148"/>
    </row>
    <row r="56" spans="1:14" s="3" customFormat="1" ht="15.75" x14ac:dyDescent="0.2">
      <c r="A56" s="39" t="s">
        <v>465</v>
      </c>
      <c r="B56" s="309"/>
      <c r="C56" s="310"/>
      <c r="D56" s="373"/>
      <c r="E56" s="11"/>
      <c r="F56" s="145"/>
      <c r="G56" s="33"/>
      <c r="H56" s="145"/>
      <c r="I56" s="145"/>
      <c r="J56" s="33"/>
      <c r="K56" s="33"/>
      <c r="L56" s="159"/>
      <c r="M56" s="159"/>
      <c r="N56" s="148"/>
    </row>
    <row r="57" spans="1:14" s="3" customFormat="1" ht="15.75" x14ac:dyDescent="0.2">
      <c r="A57" s="38" t="s">
        <v>462</v>
      </c>
      <c r="B57" s="280"/>
      <c r="C57" s="281"/>
      <c r="D57" s="254"/>
      <c r="E57" s="27"/>
      <c r="F57" s="145"/>
      <c r="G57" s="33"/>
      <c r="H57" s="145"/>
      <c r="I57" s="145"/>
      <c r="J57" s="33"/>
      <c r="K57" s="33"/>
      <c r="L57" s="159"/>
      <c r="M57" s="159"/>
      <c r="N57" s="148"/>
    </row>
    <row r="58" spans="1:14" s="3" customFormat="1" ht="15.75" x14ac:dyDescent="0.2">
      <c r="A58" s="46" t="s">
        <v>463</v>
      </c>
      <c r="B58" s="282"/>
      <c r="C58" s="283"/>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975"/>
      <c r="C62" s="975"/>
      <c r="D62" s="975"/>
      <c r="E62" s="298"/>
      <c r="F62" s="975"/>
      <c r="G62" s="975"/>
      <c r="H62" s="975"/>
      <c r="I62" s="298"/>
      <c r="J62" s="975"/>
      <c r="K62" s="975"/>
      <c r="L62" s="975"/>
      <c r="M62" s="298"/>
    </row>
    <row r="63" spans="1:14" x14ac:dyDescent="0.2">
      <c r="A63" s="144"/>
      <c r="B63" s="973" t="s">
        <v>0</v>
      </c>
      <c r="C63" s="974"/>
      <c r="D63" s="978"/>
      <c r="E63" s="299"/>
      <c r="F63" s="974" t="s">
        <v>1</v>
      </c>
      <c r="G63" s="974"/>
      <c r="H63" s="974"/>
      <c r="I63" s="303"/>
      <c r="J63" s="973" t="s">
        <v>2</v>
      </c>
      <c r="K63" s="974"/>
      <c r="L63" s="974"/>
      <c r="M63" s="303"/>
    </row>
    <row r="64" spans="1:14" x14ac:dyDescent="0.2">
      <c r="A64" s="140"/>
      <c r="B64" s="152" t="s">
        <v>492</v>
      </c>
      <c r="C64" s="152" t="s">
        <v>493</v>
      </c>
      <c r="D64" s="245" t="s">
        <v>3</v>
      </c>
      <c r="E64" s="304" t="s">
        <v>29</v>
      </c>
      <c r="F64" s="152" t="s">
        <v>492</v>
      </c>
      <c r="G64" s="152" t="s">
        <v>493</v>
      </c>
      <c r="H64" s="245" t="s">
        <v>3</v>
      </c>
      <c r="I64" s="304" t="s">
        <v>29</v>
      </c>
      <c r="J64" s="152" t="s">
        <v>492</v>
      </c>
      <c r="K64" s="152" t="s">
        <v>493</v>
      </c>
      <c r="L64" s="245" t="s">
        <v>3</v>
      </c>
      <c r="M64" s="162" t="s">
        <v>29</v>
      </c>
    </row>
    <row r="65" spans="1:14" x14ac:dyDescent="0.2">
      <c r="A65" s="947"/>
      <c r="B65" s="156"/>
      <c r="C65" s="156"/>
      <c r="D65" s="246" t="s">
        <v>4</v>
      </c>
      <c r="E65" s="156" t="s">
        <v>30</v>
      </c>
      <c r="F65" s="161"/>
      <c r="G65" s="161"/>
      <c r="H65" s="245" t="s">
        <v>4</v>
      </c>
      <c r="I65" s="156" t="s">
        <v>30</v>
      </c>
      <c r="J65" s="161"/>
      <c r="K65" s="206"/>
      <c r="L65" s="156" t="s">
        <v>4</v>
      </c>
      <c r="M65" s="156" t="s">
        <v>30</v>
      </c>
    </row>
    <row r="66" spans="1:14" ht="15.75" x14ac:dyDescent="0.2">
      <c r="A66" s="14" t="s">
        <v>23</v>
      </c>
      <c r="B66" s="352"/>
      <c r="C66" s="352"/>
      <c r="D66" s="349"/>
      <c r="E66" s="11"/>
      <c r="F66" s="351">
        <v>62</v>
      </c>
      <c r="G66" s="351">
        <v>0</v>
      </c>
      <c r="H66" s="349">
        <f t="shared" ref="H66:H111" si="14">IF(F66=0, "    ---- ", IF(ABS(ROUND(100/F66*G66-100,1))&lt;999,ROUND(100/F66*G66-100,1),IF(ROUND(100/F66*G66-100,1)&gt;999,999,-999)))</f>
        <v>-100</v>
      </c>
      <c r="I66" s="11">
        <f>IFERROR(100/'Skjema total MA'!F66*G66,0)</f>
        <v>0</v>
      </c>
      <c r="J66" s="308">
        <f t="shared" ref="J66:K86" si="15">SUM(B66,F66)</f>
        <v>62</v>
      </c>
      <c r="K66" s="315">
        <f t="shared" si="15"/>
        <v>0</v>
      </c>
      <c r="L66" s="373">
        <f t="shared" ref="L66:L111" si="16">IF(J66=0, "    ---- ", IF(ABS(ROUND(100/J66*K66-100,1))&lt;999,ROUND(100/J66*K66-100,1),IF(ROUND(100/J66*K66-100,1)&gt;999,999,-999)))</f>
        <v>-100</v>
      </c>
      <c r="M66" s="11">
        <f>IFERROR(100/'Skjema total MA'!I66*K66,0)</f>
        <v>0</v>
      </c>
    </row>
    <row r="67" spans="1:14" x14ac:dyDescent="0.2">
      <c r="A67" s="367" t="s">
        <v>9</v>
      </c>
      <c r="B67" s="44"/>
      <c r="C67" s="145"/>
      <c r="D67" s="166"/>
      <c r="E67" s="27"/>
      <c r="F67" s="234"/>
      <c r="G67" s="145"/>
      <c r="H67" s="166"/>
      <c r="I67" s="27"/>
      <c r="J67" s="286"/>
      <c r="K67" s="44"/>
      <c r="L67" s="254"/>
      <c r="M67" s="27"/>
    </row>
    <row r="68" spans="1:14" x14ac:dyDescent="0.2">
      <c r="A68" s="21" t="s">
        <v>10</v>
      </c>
      <c r="B68" s="291"/>
      <c r="C68" s="292"/>
      <c r="D68" s="166"/>
      <c r="E68" s="27"/>
      <c r="F68" s="291">
        <v>62</v>
      </c>
      <c r="G68" s="292">
        <v>0</v>
      </c>
      <c r="H68" s="166">
        <f t="shared" si="14"/>
        <v>-100</v>
      </c>
      <c r="I68" s="27">
        <f>IFERROR(100/'Skjema total MA'!F68*G68,0)</f>
        <v>0</v>
      </c>
      <c r="J68" s="286">
        <f t="shared" si="15"/>
        <v>62</v>
      </c>
      <c r="K68" s="44">
        <f t="shared" si="15"/>
        <v>0</v>
      </c>
      <c r="L68" s="254">
        <f t="shared" si="16"/>
        <v>-100</v>
      </c>
      <c r="M68" s="27">
        <f>IFERROR(100/'Skjema total MA'!I68*K68,0)</f>
        <v>0</v>
      </c>
    </row>
    <row r="69" spans="1:14" ht="15.75" x14ac:dyDescent="0.2">
      <c r="A69" s="295" t="s">
        <v>466</v>
      </c>
      <c r="B69" s="280"/>
      <c r="C69" s="280"/>
      <c r="D69" s="166"/>
      <c r="E69" s="365"/>
      <c r="F69" s="280"/>
      <c r="G69" s="280"/>
      <c r="H69" s="166"/>
      <c r="I69" s="365"/>
      <c r="J69" s="289"/>
      <c r="K69" s="289"/>
      <c r="L69" s="166"/>
      <c r="M69" s="23"/>
    </row>
    <row r="70" spans="1:14" x14ac:dyDescent="0.2">
      <c r="A70" s="295" t="s">
        <v>12</v>
      </c>
      <c r="B70" s="293"/>
      <c r="C70" s="294"/>
      <c r="D70" s="166"/>
      <c r="E70" s="365"/>
      <c r="F70" s="280"/>
      <c r="G70" s="280"/>
      <c r="H70" s="166"/>
      <c r="I70" s="365"/>
      <c r="J70" s="289"/>
      <c r="K70" s="289"/>
      <c r="L70" s="166"/>
      <c r="M70" s="23"/>
    </row>
    <row r="71" spans="1:14" x14ac:dyDescent="0.2">
      <c r="A71" s="295" t="s">
        <v>13</v>
      </c>
      <c r="B71" s="235"/>
      <c r="C71" s="288"/>
      <c r="D71" s="166"/>
      <c r="E71" s="365"/>
      <c r="F71" s="280"/>
      <c r="G71" s="280"/>
      <c r="H71" s="166"/>
      <c r="I71" s="365"/>
      <c r="J71" s="289"/>
      <c r="K71" s="289"/>
      <c r="L71" s="166"/>
      <c r="M71" s="23"/>
    </row>
    <row r="72" spans="1:14" ht="15.75" x14ac:dyDescent="0.2">
      <c r="A72" s="295" t="s">
        <v>467</v>
      </c>
      <c r="B72" s="280"/>
      <c r="C72" s="280"/>
      <c r="D72" s="166"/>
      <c r="E72" s="365"/>
      <c r="F72" s="280">
        <v>62</v>
      </c>
      <c r="G72" s="280">
        <v>0</v>
      </c>
      <c r="H72" s="166">
        <f t="shared" si="14"/>
        <v>-100</v>
      </c>
      <c r="I72" s="365">
        <f>IFERROR(100/'Skjema total MA'!F72*G72,0)</f>
        <v>0</v>
      </c>
      <c r="J72" s="286">
        <f t="shared" ref="J72:J73" si="17">SUM(B72,F72)</f>
        <v>62</v>
      </c>
      <c r="K72" s="44">
        <f t="shared" ref="K72:K73" si="18">SUM(C72,G72)</f>
        <v>0</v>
      </c>
      <c r="L72" s="254">
        <f t="shared" ref="L72:L73" si="19">IF(J72=0, "    ---- ", IF(ABS(ROUND(100/J72*K72-100,1))&lt;999,ROUND(100/J72*K72-100,1),IF(ROUND(100/J72*K72-100,1)&gt;999,999,-999)))</f>
        <v>-100</v>
      </c>
      <c r="M72" s="23">
        <f>IFERROR(100/'Skjema total MA'!I72*K72,0)</f>
        <v>0</v>
      </c>
    </row>
    <row r="73" spans="1:14" x14ac:dyDescent="0.2">
      <c r="A73" s="295" t="s">
        <v>12</v>
      </c>
      <c r="B73" s="235"/>
      <c r="C73" s="288"/>
      <c r="D73" s="166"/>
      <c r="E73" s="365"/>
      <c r="F73" s="280">
        <v>62</v>
      </c>
      <c r="G73" s="280">
        <v>0</v>
      </c>
      <c r="H73" s="166">
        <f t="shared" si="14"/>
        <v>-100</v>
      </c>
      <c r="I73" s="365">
        <f>IFERROR(100/'Skjema total MA'!F73*G73,0)</f>
        <v>0</v>
      </c>
      <c r="J73" s="286">
        <f t="shared" si="17"/>
        <v>62</v>
      </c>
      <c r="K73" s="44">
        <f t="shared" si="18"/>
        <v>0</v>
      </c>
      <c r="L73" s="254">
        <f t="shared" si="19"/>
        <v>-100</v>
      </c>
      <c r="M73" s="23">
        <f>IFERROR(100/'Skjema total MA'!I73*K73,0)</f>
        <v>0</v>
      </c>
    </row>
    <row r="74" spans="1:14" s="3" customFormat="1" x14ac:dyDescent="0.2">
      <c r="A74" s="295" t="s">
        <v>13</v>
      </c>
      <c r="B74" s="235"/>
      <c r="C74" s="288"/>
      <c r="D74" s="166"/>
      <c r="E74" s="365"/>
      <c r="F74" s="280"/>
      <c r="G74" s="280"/>
      <c r="H74" s="166"/>
      <c r="I74" s="365"/>
      <c r="J74" s="289"/>
      <c r="K74" s="289"/>
      <c r="L74" s="166"/>
      <c r="M74" s="23"/>
      <c r="N74" s="148"/>
    </row>
    <row r="75" spans="1:14" s="3" customFormat="1" x14ac:dyDescent="0.2">
      <c r="A75" s="21" t="s">
        <v>353</v>
      </c>
      <c r="B75" s="234"/>
      <c r="C75" s="145"/>
      <c r="D75" s="166"/>
      <c r="E75" s="27"/>
      <c r="F75" s="234"/>
      <c r="G75" s="145"/>
      <c r="H75" s="166"/>
      <c r="I75" s="27"/>
      <c r="J75" s="286"/>
      <c r="K75" s="44"/>
      <c r="L75" s="254"/>
      <c r="M75" s="27"/>
      <c r="N75" s="148"/>
    </row>
    <row r="76" spans="1:14" s="3" customFormat="1" x14ac:dyDescent="0.2">
      <c r="A76" s="21" t="s">
        <v>352</v>
      </c>
      <c r="B76" s="234"/>
      <c r="C76" s="145"/>
      <c r="D76" s="166"/>
      <c r="E76" s="27"/>
      <c r="F76" s="234"/>
      <c r="G76" s="145"/>
      <c r="H76" s="166"/>
      <c r="I76" s="27"/>
      <c r="J76" s="286"/>
      <c r="K76" s="44"/>
      <c r="L76" s="254"/>
      <c r="M76" s="27"/>
      <c r="N76" s="148"/>
    </row>
    <row r="77" spans="1:14" ht="15.75" x14ac:dyDescent="0.2">
      <c r="A77" s="21" t="s">
        <v>468</v>
      </c>
      <c r="B77" s="234"/>
      <c r="C77" s="234"/>
      <c r="D77" s="166"/>
      <c r="E77" s="27"/>
      <c r="F77" s="234"/>
      <c r="G77" s="145"/>
      <c r="H77" s="166"/>
      <c r="I77" s="27"/>
      <c r="J77" s="286"/>
      <c r="K77" s="44"/>
      <c r="L77" s="254"/>
      <c r="M77" s="27"/>
    </row>
    <row r="78" spans="1:14" x14ac:dyDescent="0.2">
      <c r="A78" s="21" t="s">
        <v>9</v>
      </c>
      <c r="B78" s="234"/>
      <c r="C78" s="145"/>
      <c r="D78" s="166"/>
      <c r="E78" s="27"/>
      <c r="F78" s="234"/>
      <c r="G78" s="145"/>
      <c r="H78" s="166"/>
      <c r="I78" s="27"/>
      <c r="J78" s="286"/>
      <c r="K78" s="44"/>
      <c r="L78" s="254"/>
      <c r="M78" s="27"/>
    </row>
    <row r="79" spans="1:14" x14ac:dyDescent="0.2">
      <c r="A79" s="21" t="s">
        <v>10</v>
      </c>
      <c r="B79" s="291"/>
      <c r="C79" s="292"/>
      <c r="D79" s="166"/>
      <c r="E79" s="27"/>
      <c r="F79" s="291"/>
      <c r="G79" s="292"/>
      <c r="H79" s="166"/>
      <c r="I79" s="27"/>
      <c r="J79" s="286"/>
      <c r="K79" s="44"/>
      <c r="L79" s="254"/>
      <c r="M79" s="27"/>
    </row>
    <row r="80" spans="1:14" ht="15.75" x14ac:dyDescent="0.2">
      <c r="A80" s="295" t="s">
        <v>466</v>
      </c>
      <c r="B80" s="280"/>
      <c r="C80" s="280"/>
      <c r="D80" s="166"/>
      <c r="E80" s="365"/>
      <c r="F80" s="280"/>
      <c r="G80" s="280"/>
      <c r="H80" s="166"/>
      <c r="I80" s="365"/>
      <c r="J80" s="289"/>
      <c r="K80" s="289"/>
      <c r="L80" s="166"/>
      <c r="M80" s="23"/>
    </row>
    <row r="81" spans="1:13" x14ac:dyDescent="0.2">
      <c r="A81" s="295" t="s">
        <v>12</v>
      </c>
      <c r="B81" s="235"/>
      <c r="C81" s="288"/>
      <c r="D81" s="166"/>
      <c r="E81" s="365"/>
      <c r="F81" s="280"/>
      <c r="G81" s="280"/>
      <c r="H81" s="166"/>
      <c r="I81" s="365"/>
      <c r="J81" s="289"/>
      <c r="K81" s="289"/>
      <c r="L81" s="166"/>
      <c r="M81" s="23"/>
    </row>
    <row r="82" spans="1:13" x14ac:dyDescent="0.2">
      <c r="A82" s="295" t="s">
        <v>13</v>
      </c>
      <c r="B82" s="235"/>
      <c r="C82" s="288"/>
      <c r="D82" s="166"/>
      <c r="E82" s="365"/>
      <c r="F82" s="280"/>
      <c r="G82" s="280"/>
      <c r="H82" s="166"/>
      <c r="I82" s="365"/>
      <c r="J82" s="289"/>
      <c r="K82" s="289"/>
      <c r="L82" s="166"/>
      <c r="M82" s="23"/>
    </row>
    <row r="83" spans="1:13" ht="15.75" x14ac:dyDescent="0.2">
      <c r="A83" s="295" t="s">
        <v>467</v>
      </c>
      <c r="B83" s="280"/>
      <c r="C83" s="280"/>
      <c r="D83" s="166"/>
      <c r="E83" s="365"/>
      <c r="F83" s="280"/>
      <c r="G83" s="280"/>
      <c r="H83" s="166"/>
      <c r="I83" s="365"/>
      <c r="J83" s="289"/>
      <c r="K83" s="289"/>
      <c r="L83" s="166"/>
      <c r="M83" s="23"/>
    </row>
    <row r="84" spans="1:13" x14ac:dyDescent="0.2">
      <c r="A84" s="295" t="s">
        <v>12</v>
      </c>
      <c r="B84" s="235"/>
      <c r="C84" s="288"/>
      <c r="D84" s="166"/>
      <c r="E84" s="365"/>
      <c r="F84" s="280"/>
      <c r="G84" s="280"/>
      <c r="H84" s="166"/>
      <c r="I84" s="365"/>
      <c r="J84" s="289"/>
      <c r="K84" s="289"/>
      <c r="L84" s="166"/>
      <c r="M84" s="23"/>
    </row>
    <row r="85" spans="1:13" x14ac:dyDescent="0.2">
      <c r="A85" s="295" t="s">
        <v>13</v>
      </c>
      <c r="B85" s="235"/>
      <c r="C85" s="288"/>
      <c r="D85" s="166"/>
      <c r="E85" s="365"/>
      <c r="F85" s="280"/>
      <c r="G85" s="280"/>
      <c r="H85" s="166"/>
      <c r="I85" s="365"/>
      <c r="J85" s="289"/>
      <c r="K85" s="289"/>
      <c r="L85" s="166"/>
      <c r="M85" s="23"/>
    </row>
    <row r="86" spans="1:13" ht="15.75" x14ac:dyDescent="0.2">
      <c r="A86" s="21" t="s">
        <v>469</v>
      </c>
      <c r="B86" s="234"/>
      <c r="C86" s="145"/>
      <c r="D86" s="166"/>
      <c r="E86" s="27"/>
      <c r="F86" s="234">
        <v>62</v>
      </c>
      <c r="G86" s="145">
        <v>0</v>
      </c>
      <c r="H86" s="166">
        <f t="shared" si="14"/>
        <v>-100</v>
      </c>
      <c r="I86" s="27">
        <f>IFERROR(100/'Skjema total MA'!F86*G86,0)</f>
        <v>0</v>
      </c>
      <c r="J86" s="286">
        <f t="shared" si="15"/>
        <v>62</v>
      </c>
      <c r="K86" s="44">
        <f t="shared" si="15"/>
        <v>0</v>
      </c>
      <c r="L86" s="254">
        <f t="shared" si="16"/>
        <v>-100</v>
      </c>
      <c r="M86" s="27">
        <f>IFERROR(100/'Skjema total MA'!I86*K86,0)</f>
        <v>0</v>
      </c>
    </row>
    <row r="87" spans="1:13" ht="15.75" x14ac:dyDescent="0.2">
      <c r="A87" s="13" t="s">
        <v>451</v>
      </c>
      <c r="B87" s="352"/>
      <c r="C87" s="352"/>
      <c r="D87" s="171"/>
      <c r="E87" s="11"/>
      <c r="F87" s="351">
        <v>484287</v>
      </c>
      <c r="G87" s="351">
        <v>659880</v>
      </c>
      <c r="H87" s="171">
        <f t="shared" si="14"/>
        <v>36.299999999999997</v>
      </c>
      <c r="I87" s="11">
        <f>IFERROR(100/'Skjema total MA'!F87*G87,0)</f>
        <v>0.20975910261950309</v>
      </c>
      <c r="J87" s="308">
        <f t="shared" ref="J87:K111" si="20">SUM(B87,F87)</f>
        <v>484287</v>
      </c>
      <c r="K87" s="236">
        <f t="shared" si="20"/>
        <v>659880</v>
      </c>
      <c r="L87" s="373">
        <f t="shared" si="16"/>
        <v>36.299999999999997</v>
      </c>
      <c r="M87" s="11">
        <f>IFERROR(100/'Skjema total MA'!I87*K87,0)</f>
        <v>9.338616324114056E-2</v>
      </c>
    </row>
    <row r="88" spans="1:13" x14ac:dyDescent="0.2">
      <c r="A88" s="21" t="s">
        <v>9</v>
      </c>
      <c r="B88" s="234"/>
      <c r="C88" s="145"/>
      <c r="D88" s="166"/>
      <c r="E88" s="27"/>
      <c r="F88" s="234"/>
      <c r="G88" s="145"/>
      <c r="H88" s="166"/>
      <c r="I88" s="27"/>
      <c r="J88" s="286"/>
      <c r="K88" s="44"/>
      <c r="L88" s="254"/>
      <c r="M88" s="27"/>
    </row>
    <row r="89" spans="1:13" x14ac:dyDescent="0.2">
      <c r="A89" s="21" t="s">
        <v>10</v>
      </c>
      <c r="B89" s="234"/>
      <c r="C89" s="145"/>
      <c r="D89" s="166"/>
      <c r="E89" s="27"/>
      <c r="F89" s="234">
        <v>484287</v>
      </c>
      <c r="G89" s="145">
        <v>659880</v>
      </c>
      <c r="H89" s="166">
        <f t="shared" si="14"/>
        <v>36.299999999999997</v>
      </c>
      <c r="I89" s="27">
        <f>IFERROR(100/'Skjema total MA'!F89*G89,0)</f>
        <v>0.21081641366480328</v>
      </c>
      <c r="J89" s="286">
        <f t="shared" si="20"/>
        <v>484287</v>
      </c>
      <c r="K89" s="44">
        <f t="shared" si="20"/>
        <v>659880</v>
      </c>
      <c r="L89" s="254">
        <f t="shared" si="16"/>
        <v>36.299999999999997</v>
      </c>
      <c r="M89" s="27">
        <f>IFERROR(100/'Skjema total MA'!I89*K89,0)</f>
        <v>0.20882595466662268</v>
      </c>
    </row>
    <row r="90" spans="1:13" ht="15.75" x14ac:dyDescent="0.2">
      <c r="A90" s="295" t="s">
        <v>466</v>
      </c>
      <c r="B90" s="280"/>
      <c r="C90" s="280"/>
      <c r="D90" s="166"/>
      <c r="E90" s="365"/>
      <c r="F90" s="280"/>
      <c r="G90" s="280"/>
      <c r="H90" s="166"/>
      <c r="I90" s="365"/>
      <c r="J90" s="289"/>
      <c r="K90" s="289"/>
      <c r="L90" s="166"/>
      <c r="M90" s="23"/>
    </row>
    <row r="91" spans="1:13" x14ac:dyDescent="0.2">
      <c r="A91" s="295" t="s">
        <v>12</v>
      </c>
      <c r="B91" s="235"/>
      <c r="C91" s="288"/>
      <c r="D91" s="166"/>
      <c r="E91" s="365"/>
      <c r="F91" s="280"/>
      <c r="G91" s="280"/>
      <c r="H91" s="166"/>
      <c r="I91" s="365"/>
      <c r="J91" s="289"/>
      <c r="K91" s="289"/>
      <c r="L91" s="166"/>
      <c r="M91" s="23"/>
    </row>
    <row r="92" spans="1:13" x14ac:dyDescent="0.2">
      <c r="A92" s="295" t="s">
        <v>13</v>
      </c>
      <c r="B92" s="235"/>
      <c r="C92" s="288"/>
      <c r="D92" s="166"/>
      <c r="E92" s="365"/>
      <c r="F92" s="280"/>
      <c r="G92" s="280"/>
      <c r="H92" s="166"/>
      <c r="I92" s="365"/>
      <c r="J92" s="289"/>
      <c r="K92" s="289"/>
      <c r="L92" s="166"/>
      <c r="M92" s="23"/>
    </row>
    <row r="93" spans="1:13" ht="15.75" x14ac:dyDescent="0.2">
      <c r="A93" s="295" t="s">
        <v>467</v>
      </c>
      <c r="B93" s="280"/>
      <c r="C93" s="280"/>
      <c r="D93" s="166"/>
      <c r="E93" s="365"/>
      <c r="F93" s="280">
        <v>484287</v>
      </c>
      <c r="G93" s="280">
        <v>659880</v>
      </c>
      <c r="H93" s="166">
        <f t="shared" si="14"/>
        <v>36.299999999999997</v>
      </c>
      <c r="I93" s="365">
        <f>IFERROR(100/'Skjema total MA'!F93*G93,0)</f>
        <v>0.21089900195636899</v>
      </c>
      <c r="J93" s="286">
        <f t="shared" ref="J93:J94" si="21">SUM(B93,F93)</f>
        <v>484287</v>
      </c>
      <c r="K93" s="44">
        <f t="shared" ref="K93:K94" si="22">SUM(C93,G93)</f>
        <v>659880</v>
      </c>
      <c r="L93" s="254">
        <f t="shared" ref="L93:L94" si="23">IF(J93=0, "    ---- ", IF(ABS(ROUND(100/J93*K93-100,1))&lt;999,ROUND(100/J93*K93-100,1),IF(ROUND(100/J93*K93-100,1)&gt;999,999,-999)))</f>
        <v>36.299999999999997</v>
      </c>
      <c r="M93" s="23">
        <f>IFERROR(100/'Skjema total MA'!I93*K93,0)</f>
        <v>0.20890699047801425</v>
      </c>
    </row>
    <row r="94" spans="1:13" x14ac:dyDescent="0.2">
      <c r="A94" s="295" t="s">
        <v>12</v>
      </c>
      <c r="B94" s="235"/>
      <c r="C94" s="288"/>
      <c r="D94" s="166"/>
      <c r="E94" s="365"/>
      <c r="F94" s="280">
        <v>484287</v>
      </c>
      <c r="G94" s="280">
        <v>659880</v>
      </c>
      <c r="H94" s="166">
        <f t="shared" si="14"/>
        <v>36.299999999999997</v>
      </c>
      <c r="I94" s="365">
        <f>IFERROR(100/'Skjema total MA'!F94*G94,0)</f>
        <v>85.932635785025823</v>
      </c>
      <c r="J94" s="286">
        <f t="shared" si="21"/>
        <v>484287</v>
      </c>
      <c r="K94" s="44">
        <f t="shared" si="22"/>
        <v>659880</v>
      </c>
      <c r="L94" s="254">
        <f t="shared" si="23"/>
        <v>36.299999999999997</v>
      </c>
      <c r="M94" s="23">
        <f>IFERROR(100/'Skjema total MA'!I94*K94,0)</f>
        <v>85.932635785025823</v>
      </c>
    </row>
    <row r="95" spans="1:13" x14ac:dyDescent="0.2">
      <c r="A95" s="295" t="s">
        <v>13</v>
      </c>
      <c r="B95" s="235"/>
      <c r="C95" s="288"/>
      <c r="D95" s="166"/>
      <c r="E95" s="365"/>
      <c r="F95" s="280"/>
      <c r="G95" s="280"/>
      <c r="H95" s="166"/>
      <c r="I95" s="365"/>
      <c r="J95" s="289"/>
      <c r="K95" s="289"/>
      <c r="L95" s="166"/>
      <c r="M95" s="23"/>
    </row>
    <row r="96" spans="1:13" x14ac:dyDescent="0.2">
      <c r="A96" s="21" t="s">
        <v>351</v>
      </c>
      <c r="B96" s="234"/>
      <c r="C96" s="145"/>
      <c r="D96" s="166"/>
      <c r="E96" s="27"/>
      <c r="F96" s="234"/>
      <c r="G96" s="145"/>
      <c r="H96" s="166"/>
      <c r="I96" s="27"/>
      <c r="J96" s="286"/>
      <c r="K96" s="44"/>
      <c r="L96" s="254"/>
      <c r="M96" s="27"/>
    </row>
    <row r="97" spans="1:13" x14ac:dyDescent="0.2">
      <c r="A97" s="21" t="s">
        <v>350</v>
      </c>
      <c r="B97" s="234"/>
      <c r="C97" s="145"/>
      <c r="D97" s="166"/>
      <c r="E97" s="27"/>
      <c r="F97" s="234"/>
      <c r="G97" s="145"/>
      <c r="H97" s="166"/>
      <c r="I97" s="27"/>
      <c r="J97" s="286"/>
      <c r="K97" s="44"/>
      <c r="L97" s="254"/>
      <c r="M97" s="27"/>
    </row>
    <row r="98" spans="1:13" ht="15.75" x14ac:dyDescent="0.2">
      <c r="A98" s="21" t="s">
        <v>468</v>
      </c>
      <c r="B98" s="234"/>
      <c r="C98" s="234"/>
      <c r="D98" s="166"/>
      <c r="E98" s="27"/>
      <c r="F98" s="291"/>
      <c r="G98" s="291"/>
      <c r="H98" s="166"/>
      <c r="I98" s="27"/>
      <c r="J98" s="286"/>
      <c r="K98" s="44"/>
      <c r="L98" s="254"/>
      <c r="M98" s="27"/>
    </row>
    <row r="99" spans="1:13" x14ac:dyDescent="0.2">
      <c r="A99" s="21" t="s">
        <v>9</v>
      </c>
      <c r="B99" s="291"/>
      <c r="C99" s="292"/>
      <c r="D99" s="166"/>
      <c r="E99" s="27"/>
      <c r="F99" s="234"/>
      <c r="G99" s="145"/>
      <c r="H99" s="166"/>
      <c r="I99" s="27"/>
      <c r="J99" s="286"/>
      <c r="K99" s="44"/>
      <c r="L99" s="254"/>
      <c r="M99" s="27"/>
    </row>
    <row r="100" spans="1:13" x14ac:dyDescent="0.2">
      <c r="A100" s="21" t="s">
        <v>10</v>
      </c>
      <c r="B100" s="291"/>
      <c r="C100" s="292"/>
      <c r="D100" s="166"/>
      <c r="E100" s="27"/>
      <c r="F100" s="234"/>
      <c r="G100" s="234"/>
      <c r="H100" s="166"/>
      <c r="I100" s="27"/>
      <c r="J100" s="286"/>
      <c r="K100" s="44"/>
      <c r="L100" s="254"/>
      <c r="M100" s="27"/>
    </row>
    <row r="101" spans="1:13" ht="15.75" x14ac:dyDescent="0.2">
      <c r="A101" s="295" t="s">
        <v>466</v>
      </c>
      <c r="B101" s="280"/>
      <c r="C101" s="280"/>
      <c r="D101" s="166"/>
      <c r="E101" s="365"/>
      <c r="F101" s="280"/>
      <c r="G101" s="280"/>
      <c r="H101" s="166"/>
      <c r="I101" s="365"/>
      <c r="J101" s="289"/>
      <c r="K101" s="289"/>
      <c r="L101" s="166"/>
      <c r="M101" s="23"/>
    </row>
    <row r="102" spans="1:13" x14ac:dyDescent="0.2">
      <c r="A102" s="295" t="s">
        <v>12</v>
      </c>
      <c r="B102" s="235"/>
      <c r="C102" s="288"/>
      <c r="D102" s="166"/>
      <c r="E102" s="365"/>
      <c r="F102" s="280"/>
      <c r="G102" s="280"/>
      <c r="H102" s="166"/>
      <c r="I102" s="365"/>
      <c r="J102" s="289"/>
      <c r="K102" s="289"/>
      <c r="L102" s="166"/>
      <c r="M102" s="23"/>
    </row>
    <row r="103" spans="1:13" x14ac:dyDescent="0.2">
      <c r="A103" s="295" t="s">
        <v>13</v>
      </c>
      <c r="B103" s="235"/>
      <c r="C103" s="288"/>
      <c r="D103" s="166"/>
      <c r="E103" s="365"/>
      <c r="F103" s="280"/>
      <c r="G103" s="280"/>
      <c r="H103" s="166"/>
      <c r="I103" s="365"/>
      <c r="J103" s="289"/>
      <c r="K103" s="289"/>
      <c r="L103" s="166"/>
      <c r="M103" s="23"/>
    </row>
    <row r="104" spans="1:13" ht="15.75" x14ac:dyDescent="0.2">
      <c r="A104" s="295" t="s">
        <v>467</v>
      </c>
      <c r="B104" s="280"/>
      <c r="C104" s="280"/>
      <c r="D104" s="166"/>
      <c r="E104" s="365"/>
      <c r="F104" s="280"/>
      <c r="G104" s="280"/>
      <c r="H104" s="166"/>
      <c r="I104" s="365"/>
      <c r="J104" s="289"/>
      <c r="K104" s="289"/>
      <c r="L104" s="166"/>
      <c r="M104" s="23"/>
    </row>
    <row r="105" spans="1:13" x14ac:dyDescent="0.2">
      <c r="A105" s="295" t="s">
        <v>12</v>
      </c>
      <c r="B105" s="235"/>
      <c r="C105" s="288"/>
      <c r="D105" s="166"/>
      <c r="E105" s="365"/>
      <c r="F105" s="280"/>
      <c r="G105" s="280"/>
      <c r="H105" s="166"/>
      <c r="I105" s="365"/>
      <c r="J105" s="289"/>
      <c r="K105" s="289"/>
      <c r="L105" s="166"/>
      <c r="M105" s="23"/>
    </row>
    <row r="106" spans="1:13" x14ac:dyDescent="0.2">
      <c r="A106" s="295" t="s">
        <v>13</v>
      </c>
      <c r="B106" s="235"/>
      <c r="C106" s="288"/>
      <c r="D106" s="166"/>
      <c r="E106" s="365"/>
      <c r="F106" s="280"/>
      <c r="G106" s="280"/>
      <c r="H106" s="166"/>
      <c r="I106" s="365"/>
      <c r="J106" s="289"/>
      <c r="K106" s="289"/>
      <c r="L106" s="166"/>
      <c r="M106" s="23"/>
    </row>
    <row r="107" spans="1:13" ht="15.75" x14ac:dyDescent="0.2">
      <c r="A107" s="21" t="s">
        <v>469</v>
      </c>
      <c r="B107" s="234"/>
      <c r="C107" s="145"/>
      <c r="D107" s="166"/>
      <c r="E107" s="27"/>
      <c r="F107" s="234">
        <v>484287</v>
      </c>
      <c r="G107" s="145">
        <v>659880</v>
      </c>
      <c r="H107" s="166">
        <f t="shared" si="14"/>
        <v>36.299999999999997</v>
      </c>
      <c r="I107" s="27">
        <f>IFERROR(100/'Skjema total MA'!F107*G107,0)</f>
        <v>74.862939579207122</v>
      </c>
      <c r="J107" s="286">
        <f t="shared" si="20"/>
        <v>484287</v>
      </c>
      <c r="K107" s="44">
        <f t="shared" si="20"/>
        <v>659880</v>
      </c>
      <c r="L107" s="254">
        <f t="shared" si="16"/>
        <v>36.299999999999997</v>
      </c>
      <c r="M107" s="27">
        <f>IFERROR(100/'Skjema total MA'!I107*K107,0)</f>
        <v>12.051276042921135</v>
      </c>
    </row>
    <row r="108" spans="1:13" ht="15.75" x14ac:dyDescent="0.2">
      <c r="A108" s="21" t="s">
        <v>470</v>
      </c>
      <c r="B108" s="234"/>
      <c r="C108" s="234"/>
      <c r="D108" s="166"/>
      <c r="E108" s="27"/>
      <c r="F108" s="234"/>
      <c r="G108" s="234"/>
      <c r="H108" s="166"/>
      <c r="I108" s="27"/>
      <c r="J108" s="286"/>
      <c r="K108" s="44"/>
      <c r="L108" s="254"/>
      <c r="M108" s="27"/>
    </row>
    <row r="109" spans="1:13" ht="15.75" x14ac:dyDescent="0.2">
      <c r="A109" s="21" t="s">
        <v>471</v>
      </c>
      <c r="B109" s="234"/>
      <c r="C109" s="234"/>
      <c r="D109" s="166"/>
      <c r="E109" s="27"/>
      <c r="F109" s="234">
        <v>327661</v>
      </c>
      <c r="G109" s="234">
        <v>485317.31049</v>
      </c>
      <c r="H109" s="166">
        <f t="shared" si="14"/>
        <v>48.1</v>
      </c>
      <c r="I109" s="27">
        <f>IFERROR(100/'Skjema total MA'!F109*G109,0)</f>
        <v>0.4517315510313693</v>
      </c>
      <c r="J109" s="286">
        <f t="shared" si="20"/>
        <v>327661</v>
      </c>
      <c r="K109" s="44">
        <f t="shared" si="20"/>
        <v>485317.31049</v>
      </c>
      <c r="L109" s="254">
        <f t="shared" si="16"/>
        <v>48.1</v>
      </c>
      <c r="M109" s="27">
        <f>IFERROR(100/'Skjema total MA'!I109*K109,0)</f>
        <v>0.44775496132255932</v>
      </c>
    </row>
    <row r="110" spans="1:13" ht="15.75" x14ac:dyDescent="0.2">
      <c r="A110" s="21" t="s">
        <v>472</v>
      </c>
      <c r="B110" s="234"/>
      <c r="C110" s="234"/>
      <c r="D110" s="166"/>
      <c r="E110" s="27"/>
      <c r="F110" s="234"/>
      <c r="G110" s="234"/>
      <c r="H110" s="166"/>
      <c r="I110" s="27"/>
      <c r="J110" s="286"/>
      <c r="K110" s="44"/>
      <c r="L110" s="254"/>
      <c r="M110" s="27"/>
    </row>
    <row r="111" spans="1:13" ht="15.75" x14ac:dyDescent="0.2">
      <c r="A111" s="13" t="s">
        <v>452</v>
      </c>
      <c r="B111" s="307"/>
      <c r="C111" s="159"/>
      <c r="D111" s="171"/>
      <c r="E111" s="11"/>
      <c r="F111" s="307">
        <v>137032</v>
      </c>
      <c r="G111" s="159">
        <v>93438.851999999999</v>
      </c>
      <c r="H111" s="171">
        <f t="shared" si="14"/>
        <v>-31.8</v>
      </c>
      <c r="I111" s="11">
        <f>IFERROR(100/'Skjema total MA'!F111*G111,0)</f>
        <v>0.70590597950107847</v>
      </c>
      <c r="J111" s="308">
        <f t="shared" si="20"/>
        <v>137032</v>
      </c>
      <c r="K111" s="236">
        <f t="shared" si="20"/>
        <v>93438.851999999999</v>
      </c>
      <c r="L111" s="373">
        <f t="shared" si="16"/>
        <v>-31.8</v>
      </c>
      <c r="M111" s="11">
        <f>IFERROR(100/'Skjema total MA'!I111*K111,0)</f>
        <v>0.6813716936820442</v>
      </c>
    </row>
    <row r="112" spans="1:13" x14ac:dyDescent="0.2">
      <c r="A112" s="21" t="s">
        <v>9</v>
      </c>
      <c r="B112" s="234"/>
      <c r="C112" s="145"/>
      <c r="D112" s="166"/>
      <c r="E112" s="27"/>
      <c r="F112" s="234"/>
      <c r="G112" s="145"/>
      <c r="H112" s="166"/>
      <c r="I112" s="27"/>
      <c r="J112" s="286"/>
      <c r="K112" s="44"/>
      <c r="L112" s="254"/>
      <c r="M112" s="27"/>
    </row>
    <row r="113" spans="1:14" x14ac:dyDescent="0.2">
      <c r="A113" s="21" t="s">
        <v>10</v>
      </c>
      <c r="B113" s="234"/>
      <c r="C113" s="145"/>
      <c r="D113" s="166"/>
      <c r="E113" s="27"/>
      <c r="F113" s="234">
        <v>137032</v>
      </c>
      <c r="G113" s="145">
        <v>93438.851999999999</v>
      </c>
      <c r="H113" s="166">
        <f t="shared" ref="H113:H125" si="24">IF(F113=0, "    ---- ", IF(ABS(ROUND(100/F113*G113-100,1))&lt;999,ROUND(100/F113*G113-100,1),IF(ROUND(100/F113*G113-100,1)&gt;999,999,-999)))</f>
        <v>-31.8</v>
      </c>
      <c r="I113" s="27">
        <f>IFERROR(100/'Skjema total MA'!F113*G113,0)</f>
        <v>0.70790974213183144</v>
      </c>
      <c r="J113" s="286">
        <f t="shared" ref="J113:K125" si="25">SUM(B113,F113)</f>
        <v>137032</v>
      </c>
      <c r="K113" s="44">
        <f t="shared" si="25"/>
        <v>93438.851999999999</v>
      </c>
      <c r="L113" s="254">
        <f t="shared" ref="L113:L125" si="26">IF(J113=0, "    ---- ", IF(ABS(ROUND(100/J113*K113-100,1))&lt;999,ROUND(100/J113*K113-100,1),IF(ROUND(100/J113*K113-100,1)&gt;999,999,-999)))</f>
        <v>-31.8</v>
      </c>
      <c r="M113" s="27">
        <f>IFERROR(100/'Skjema total MA'!I113*K113,0)</f>
        <v>0.70781522268116348</v>
      </c>
    </row>
    <row r="114" spans="1:14" x14ac:dyDescent="0.2">
      <c r="A114" s="21" t="s">
        <v>26</v>
      </c>
      <c r="B114" s="234"/>
      <c r="C114" s="145"/>
      <c r="D114" s="166"/>
      <c r="E114" s="27"/>
      <c r="F114" s="234"/>
      <c r="G114" s="145"/>
      <c r="H114" s="166"/>
      <c r="I114" s="27"/>
      <c r="J114" s="286"/>
      <c r="K114" s="44"/>
      <c r="L114" s="254"/>
      <c r="M114" s="27"/>
    </row>
    <row r="115" spans="1:14" x14ac:dyDescent="0.2">
      <c r="A115" s="295" t="s">
        <v>15</v>
      </c>
      <c r="B115" s="280"/>
      <c r="C115" s="280"/>
      <c r="D115" s="166"/>
      <c r="E115" s="365"/>
      <c r="F115" s="280"/>
      <c r="G115" s="280"/>
      <c r="H115" s="166"/>
      <c r="I115" s="365"/>
      <c r="J115" s="289"/>
      <c r="K115" s="289"/>
      <c r="L115" s="166"/>
      <c r="M115" s="23"/>
    </row>
    <row r="116" spans="1:14" ht="15.75" x14ac:dyDescent="0.2">
      <c r="A116" s="21" t="s">
        <v>473</v>
      </c>
      <c r="B116" s="234"/>
      <c r="C116" s="234"/>
      <c r="D116" s="166"/>
      <c r="E116" s="27"/>
      <c r="F116" s="234"/>
      <c r="G116" s="234"/>
      <c r="H116" s="166"/>
      <c r="I116" s="27"/>
      <c r="J116" s="286"/>
      <c r="K116" s="44"/>
      <c r="L116" s="254"/>
      <c r="M116" s="27"/>
    </row>
    <row r="117" spans="1:14" ht="15.75" x14ac:dyDescent="0.2">
      <c r="A117" s="21" t="s">
        <v>474</v>
      </c>
      <c r="B117" s="234"/>
      <c r="C117" s="234"/>
      <c r="D117" s="166"/>
      <c r="E117" s="27"/>
      <c r="F117" s="234">
        <v>137032</v>
      </c>
      <c r="G117" s="234">
        <v>93346.263999999996</v>
      </c>
      <c r="H117" s="166">
        <f t="shared" si="24"/>
        <v>-31.9</v>
      </c>
      <c r="I117" s="27">
        <f>IFERROR(100/'Skjema total MA'!F117*G117,0)</f>
        <v>2.9783908196747588</v>
      </c>
      <c r="J117" s="286">
        <f t="shared" si="25"/>
        <v>137032</v>
      </c>
      <c r="K117" s="44">
        <f t="shared" si="25"/>
        <v>93346.263999999996</v>
      </c>
      <c r="L117" s="254">
        <f t="shared" si="26"/>
        <v>-31.9</v>
      </c>
      <c r="M117" s="27">
        <f>IFERROR(100/'Skjema total MA'!I117*K117,0)</f>
        <v>2.9783908196747588</v>
      </c>
    </row>
    <row r="118" spans="1:14" ht="15.75" x14ac:dyDescent="0.2">
      <c r="A118" s="21" t="s">
        <v>472</v>
      </c>
      <c r="B118" s="234"/>
      <c r="C118" s="234"/>
      <c r="D118" s="166"/>
      <c r="E118" s="27"/>
      <c r="F118" s="234"/>
      <c r="G118" s="234"/>
      <c r="H118" s="166"/>
      <c r="I118" s="27"/>
      <c r="J118" s="286"/>
      <c r="K118" s="44"/>
      <c r="L118" s="254"/>
      <c r="M118" s="27"/>
    </row>
    <row r="119" spans="1:14" ht="15.75" x14ac:dyDescent="0.2">
      <c r="A119" s="13" t="s">
        <v>453</v>
      </c>
      <c r="B119" s="307"/>
      <c r="C119" s="159"/>
      <c r="D119" s="171"/>
      <c r="E119" s="11"/>
      <c r="F119" s="307">
        <v>1294</v>
      </c>
      <c r="G119" s="159">
        <v>9449.0473999999995</v>
      </c>
      <c r="H119" s="171">
        <f t="shared" si="24"/>
        <v>630.20000000000005</v>
      </c>
      <c r="I119" s="11">
        <f>IFERROR(100/'Skjema total MA'!F119*G119,0)</f>
        <v>6.9682020964251606E-2</v>
      </c>
      <c r="J119" s="308">
        <f t="shared" si="25"/>
        <v>1294</v>
      </c>
      <c r="K119" s="236">
        <f t="shared" si="25"/>
        <v>9449.0473999999995</v>
      </c>
      <c r="L119" s="373">
        <f t="shared" si="26"/>
        <v>630.20000000000005</v>
      </c>
      <c r="M119" s="11">
        <f>IFERROR(100/'Skjema total MA'!I119*K119,0)</f>
        <v>6.7243849874358733E-2</v>
      </c>
    </row>
    <row r="120" spans="1:14" x14ac:dyDescent="0.2">
      <c r="A120" s="21" t="s">
        <v>9</v>
      </c>
      <c r="B120" s="234"/>
      <c r="C120" s="145"/>
      <c r="D120" s="166"/>
      <c r="E120" s="27"/>
      <c r="F120" s="234"/>
      <c r="G120" s="145"/>
      <c r="H120" s="166"/>
      <c r="I120" s="27"/>
      <c r="J120" s="286"/>
      <c r="K120" s="44"/>
      <c r="L120" s="254"/>
      <c r="M120" s="27"/>
    </row>
    <row r="121" spans="1:14" x14ac:dyDescent="0.2">
      <c r="A121" s="21" t="s">
        <v>10</v>
      </c>
      <c r="B121" s="234"/>
      <c r="C121" s="145"/>
      <c r="D121" s="166"/>
      <c r="E121" s="27"/>
      <c r="F121" s="234">
        <v>1294</v>
      </c>
      <c r="G121" s="145">
        <v>9449.0473999999995</v>
      </c>
      <c r="H121" s="166">
        <f t="shared" si="24"/>
        <v>630.20000000000005</v>
      </c>
      <c r="I121" s="27">
        <f>IFERROR(100/'Skjema total MA'!F121*G121,0)</f>
        <v>6.9682020964251606E-2</v>
      </c>
      <c r="J121" s="286">
        <f t="shared" si="25"/>
        <v>1294</v>
      </c>
      <c r="K121" s="44">
        <f t="shared" si="25"/>
        <v>9449.0473999999995</v>
      </c>
      <c r="L121" s="254">
        <f t="shared" si="26"/>
        <v>630.20000000000005</v>
      </c>
      <c r="M121" s="27">
        <f>IFERROR(100/'Skjema total MA'!I121*K121,0)</f>
        <v>6.9481414389105198E-2</v>
      </c>
    </row>
    <row r="122" spans="1:14" x14ac:dyDescent="0.2">
      <c r="A122" s="21" t="s">
        <v>26</v>
      </c>
      <c r="B122" s="234"/>
      <c r="C122" s="145"/>
      <c r="D122" s="166"/>
      <c r="E122" s="27"/>
      <c r="F122" s="234"/>
      <c r="G122" s="145"/>
      <c r="H122" s="166"/>
      <c r="I122" s="27"/>
      <c r="J122" s="286"/>
      <c r="K122" s="44"/>
      <c r="L122" s="254"/>
      <c r="M122" s="27"/>
    </row>
    <row r="123" spans="1:14" x14ac:dyDescent="0.2">
      <c r="A123" s="295" t="s">
        <v>14</v>
      </c>
      <c r="B123" s="280"/>
      <c r="C123" s="280"/>
      <c r="D123" s="166"/>
      <c r="E123" s="365"/>
      <c r="F123" s="280"/>
      <c r="G123" s="280"/>
      <c r="H123" s="166"/>
      <c r="I123" s="365"/>
      <c r="J123" s="289"/>
      <c r="K123" s="289"/>
      <c r="L123" s="166"/>
      <c r="M123" s="23"/>
    </row>
    <row r="124" spans="1:14" ht="15.75" x14ac:dyDescent="0.2">
      <c r="A124" s="21" t="s">
        <v>479</v>
      </c>
      <c r="B124" s="234"/>
      <c r="C124" s="234"/>
      <c r="D124" s="166"/>
      <c r="E124" s="27"/>
      <c r="F124" s="234"/>
      <c r="G124" s="234"/>
      <c r="H124" s="166"/>
      <c r="I124" s="27"/>
      <c r="J124" s="286"/>
      <c r="K124" s="44"/>
      <c r="L124" s="254"/>
      <c r="M124" s="27"/>
    </row>
    <row r="125" spans="1:14" ht="15.75" x14ac:dyDescent="0.2">
      <c r="A125" s="21" t="s">
        <v>471</v>
      </c>
      <c r="B125" s="234"/>
      <c r="C125" s="234"/>
      <c r="D125" s="166"/>
      <c r="E125" s="27"/>
      <c r="F125" s="234">
        <v>0</v>
      </c>
      <c r="G125" s="234">
        <v>9449.0473999999995</v>
      </c>
      <c r="H125" s="166" t="str">
        <f t="shared" si="24"/>
        <v xml:space="preserve">    ---- </v>
      </c>
      <c r="I125" s="27">
        <f>IFERROR(100/'Skjema total MA'!F125*G125,0)</f>
        <v>0.30358898399411294</v>
      </c>
      <c r="J125" s="286">
        <f t="shared" si="25"/>
        <v>0</v>
      </c>
      <c r="K125" s="44">
        <f t="shared" si="25"/>
        <v>9449.0473999999995</v>
      </c>
      <c r="L125" s="254" t="str">
        <f t="shared" si="26"/>
        <v xml:space="preserve">    ---- </v>
      </c>
      <c r="M125" s="27">
        <f>IFERROR(100/'Skjema total MA'!I125*K125,0)</f>
        <v>0.30323827765784112</v>
      </c>
    </row>
    <row r="126" spans="1:14" ht="15.75" x14ac:dyDescent="0.2">
      <c r="A126" s="10" t="s">
        <v>472</v>
      </c>
      <c r="B126" s="45"/>
      <c r="C126" s="45"/>
      <c r="D126" s="167"/>
      <c r="E126" s="366"/>
      <c r="F126" s="45"/>
      <c r="G126" s="45"/>
      <c r="H126" s="167"/>
      <c r="I126" s="22"/>
      <c r="J126" s="287"/>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975"/>
      <c r="C130" s="975"/>
      <c r="D130" s="975"/>
      <c r="E130" s="298"/>
      <c r="F130" s="975"/>
      <c r="G130" s="975"/>
      <c r="H130" s="975"/>
      <c r="I130" s="298"/>
      <c r="J130" s="975"/>
      <c r="K130" s="975"/>
      <c r="L130" s="975"/>
      <c r="M130" s="298"/>
    </row>
    <row r="131" spans="1:14" s="3" customFormat="1" x14ac:dyDescent="0.2">
      <c r="A131" s="144"/>
      <c r="B131" s="973" t="s">
        <v>0</v>
      </c>
      <c r="C131" s="974"/>
      <c r="D131" s="974"/>
      <c r="E131" s="300"/>
      <c r="F131" s="973" t="s">
        <v>1</v>
      </c>
      <c r="G131" s="974"/>
      <c r="H131" s="974"/>
      <c r="I131" s="303"/>
      <c r="J131" s="973" t="s">
        <v>2</v>
      </c>
      <c r="K131" s="974"/>
      <c r="L131" s="974"/>
      <c r="M131" s="303"/>
      <c r="N131" s="148"/>
    </row>
    <row r="132" spans="1:14" s="3" customFormat="1" x14ac:dyDescent="0.2">
      <c r="A132" s="140"/>
      <c r="B132" s="152" t="s">
        <v>492</v>
      </c>
      <c r="C132" s="152" t="s">
        <v>493</v>
      </c>
      <c r="D132" s="245" t="s">
        <v>3</v>
      </c>
      <c r="E132" s="304" t="s">
        <v>29</v>
      </c>
      <c r="F132" s="152" t="s">
        <v>492</v>
      </c>
      <c r="G132" s="152" t="s">
        <v>493</v>
      </c>
      <c r="H132" s="206" t="s">
        <v>3</v>
      </c>
      <c r="I132" s="162" t="s">
        <v>29</v>
      </c>
      <c r="J132" s="152" t="s">
        <v>492</v>
      </c>
      <c r="K132" s="152" t="s">
        <v>493</v>
      </c>
      <c r="L132" s="246" t="s">
        <v>3</v>
      </c>
      <c r="M132" s="162" t="s">
        <v>29</v>
      </c>
      <c r="N132" s="148"/>
    </row>
    <row r="133" spans="1:14" s="3" customFormat="1" x14ac:dyDescent="0.2">
      <c r="A133" s="947"/>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475</v>
      </c>
      <c r="B134" s="236"/>
      <c r="C134" s="308"/>
      <c r="D134" s="349"/>
      <c r="E134" s="11"/>
      <c r="F134" s="315"/>
      <c r="G134" s="316"/>
      <c r="H134" s="376"/>
      <c r="I134" s="24"/>
      <c r="J134" s="317"/>
      <c r="K134" s="317"/>
      <c r="L134" s="372"/>
      <c r="M134" s="11"/>
      <c r="N134" s="148"/>
    </row>
    <row r="135" spans="1:14" s="3" customFormat="1" ht="15.75" x14ac:dyDescent="0.2">
      <c r="A135" s="13" t="s">
        <v>480</v>
      </c>
      <c r="B135" s="236"/>
      <c r="C135" s="308"/>
      <c r="D135" s="171"/>
      <c r="E135" s="11"/>
      <c r="F135" s="236"/>
      <c r="G135" s="308"/>
      <c r="H135" s="377"/>
      <c r="I135" s="24"/>
      <c r="J135" s="307"/>
      <c r="K135" s="307"/>
      <c r="L135" s="373"/>
      <c r="M135" s="11"/>
      <c r="N135" s="148"/>
    </row>
    <row r="136" spans="1:14" s="3" customFormat="1" ht="15.75" x14ac:dyDescent="0.2">
      <c r="A136" s="13" t="s">
        <v>477</v>
      </c>
      <c r="B136" s="236"/>
      <c r="C136" s="308"/>
      <c r="D136" s="171"/>
      <c r="E136" s="11"/>
      <c r="F136" s="236"/>
      <c r="G136" s="308"/>
      <c r="H136" s="377"/>
      <c r="I136" s="24"/>
      <c r="J136" s="307"/>
      <c r="K136" s="307"/>
      <c r="L136" s="373"/>
      <c r="M136" s="11"/>
      <c r="N136" s="148"/>
    </row>
    <row r="137" spans="1:14" s="3" customFormat="1" ht="15.75" x14ac:dyDescent="0.2">
      <c r="A137" s="41" t="s">
        <v>478</v>
      </c>
      <c r="B137" s="275"/>
      <c r="C137" s="314"/>
      <c r="D137" s="169"/>
      <c r="E137" s="9"/>
      <c r="F137" s="275"/>
      <c r="G137" s="314"/>
      <c r="H137" s="378"/>
      <c r="I137" s="36"/>
      <c r="J137" s="313"/>
      <c r="K137" s="313"/>
      <c r="L137" s="374"/>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453" priority="132">
      <formula>kvartal &lt; 4</formula>
    </cfRule>
  </conditionalFormatting>
  <conditionalFormatting sqref="B69">
    <cfRule type="expression" dxfId="452" priority="100">
      <formula>kvartal &lt; 4</formula>
    </cfRule>
  </conditionalFormatting>
  <conditionalFormatting sqref="C69">
    <cfRule type="expression" dxfId="451" priority="99">
      <formula>kvartal &lt; 4</formula>
    </cfRule>
  </conditionalFormatting>
  <conditionalFormatting sqref="B72">
    <cfRule type="expression" dxfId="450" priority="98">
      <formula>kvartal &lt; 4</formula>
    </cfRule>
  </conditionalFormatting>
  <conditionalFormatting sqref="C72">
    <cfRule type="expression" dxfId="449" priority="97">
      <formula>kvartal &lt; 4</formula>
    </cfRule>
  </conditionalFormatting>
  <conditionalFormatting sqref="B80">
    <cfRule type="expression" dxfId="448" priority="96">
      <formula>kvartal &lt; 4</formula>
    </cfRule>
  </conditionalFormatting>
  <conditionalFormatting sqref="C80">
    <cfRule type="expression" dxfId="447" priority="95">
      <formula>kvartal &lt; 4</formula>
    </cfRule>
  </conditionalFormatting>
  <conditionalFormatting sqref="B83">
    <cfRule type="expression" dxfId="446" priority="94">
      <formula>kvartal &lt; 4</formula>
    </cfRule>
  </conditionalFormatting>
  <conditionalFormatting sqref="C83">
    <cfRule type="expression" dxfId="445" priority="93">
      <formula>kvartal &lt; 4</formula>
    </cfRule>
  </conditionalFormatting>
  <conditionalFormatting sqref="B90">
    <cfRule type="expression" dxfId="444" priority="84">
      <formula>kvartal &lt; 4</formula>
    </cfRule>
  </conditionalFormatting>
  <conditionalFormatting sqref="C90">
    <cfRule type="expression" dxfId="443" priority="83">
      <formula>kvartal &lt; 4</formula>
    </cfRule>
  </conditionalFormatting>
  <conditionalFormatting sqref="B93">
    <cfRule type="expression" dxfId="442" priority="82">
      <formula>kvartal &lt; 4</formula>
    </cfRule>
  </conditionalFormatting>
  <conditionalFormatting sqref="C93">
    <cfRule type="expression" dxfId="441" priority="81">
      <formula>kvartal &lt; 4</formula>
    </cfRule>
  </conditionalFormatting>
  <conditionalFormatting sqref="B101">
    <cfRule type="expression" dxfId="440" priority="80">
      <formula>kvartal &lt; 4</formula>
    </cfRule>
  </conditionalFormatting>
  <conditionalFormatting sqref="C101">
    <cfRule type="expression" dxfId="439" priority="79">
      <formula>kvartal &lt; 4</formula>
    </cfRule>
  </conditionalFormatting>
  <conditionalFormatting sqref="B104">
    <cfRule type="expression" dxfId="438" priority="78">
      <formula>kvartal &lt; 4</formula>
    </cfRule>
  </conditionalFormatting>
  <conditionalFormatting sqref="C104">
    <cfRule type="expression" dxfId="437" priority="77">
      <formula>kvartal &lt; 4</formula>
    </cfRule>
  </conditionalFormatting>
  <conditionalFormatting sqref="B115">
    <cfRule type="expression" dxfId="436" priority="76">
      <formula>kvartal &lt; 4</formula>
    </cfRule>
  </conditionalFormatting>
  <conditionalFormatting sqref="C115">
    <cfRule type="expression" dxfId="435" priority="75">
      <formula>kvartal &lt; 4</formula>
    </cfRule>
  </conditionalFormatting>
  <conditionalFormatting sqref="B123">
    <cfRule type="expression" dxfId="434" priority="74">
      <formula>kvartal &lt; 4</formula>
    </cfRule>
  </conditionalFormatting>
  <conditionalFormatting sqref="C123">
    <cfRule type="expression" dxfId="433" priority="73">
      <formula>kvartal &lt; 4</formula>
    </cfRule>
  </conditionalFormatting>
  <conditionalFormatting sqref="F70">
    <cfRule type="expression" dxfId="432" priority="72">
      <formula>kvartal &lt; 4</formula>
    </cfRule>
  </conditionalFormatting>
  <conditionalFormatting sqref="G70">
    <cfRule type="expression" dxfId="431" priority="71">
      <formula>kvartal &lt; 4</formula>
    </cfRule>
  </conditionalFormatting>
  <conditionalFormatting sqref="F71:G71">
    <cfRule type="expression" dxfId="430" priority="70">
      <formula>kvartal &lt; 4</formula>
    </cfRule>
  </conditionalFormatting>
  <conditionalFormatting sqref="F73:G74">
    <cfRule type="expression" dxfId="429" priority="69">
      <formula>kvartal &lt; 4</formula>
    </cfRule>
  </conditionalFormatting>
  <conditionalFormatting sqref="F81:G82">
    <cfRule type="expression" dxfId="428" priority="68">
      <formula>kvartal &lt; 4</formula>
    </cfRule>
  </conditionalFormatting>
  <conditionalFormatting sqref="F84:G85">
    <cfRule type="expression" dxfId="427" priority="67">
      <formula>kvartal &lt; 4</formula>
    </cfRule>
  </conditionalFormatting>
  <conditionalFormatting sqref="F91:G92">
    <cfRule type="expression" dxfId="426" priority="62">
      <formula>kvartal &lt; 4</formula>
    </cfRule>
  </conditionalFormatting>
  <conditionalFormatting sqref="F94:G95">
    <cfRule type="expression" dxfId="425" priority="61">
      <formula>kvartal &lt; 4</formula>
    </cfRule>
  </conditionalFormatting>
  <conditionalFormatting sqref="F102:G103">
    <cfRule type="expression" dxfId="424" priority="60">
      <formula>kvartal &lt; 4</formula>
    </cfRule>
  </conditionalFormatting>
  <conditionalFormatting sqref="F105:G106">
    <cfRule type="expression" dxfId="423" priority="59">
      <formula>kvartal &lt; 4</formula>
    </cfRule>
  </conditionalFormatting>
  <conditionalFormatting sqref="F115">
    <cfRule type="expression" dxfId="422" priority="58">
      <formula>kvartal &lt; 4</formula>
    </cfRule>
  </conditionalFormatting>
  <conditionalFormatting sqref="G115">
    <cfRule type="expression" dxfId="421" priority="57">
      <formula>kvartal &lt; 4</formula>
    </cfRule>
  </conditionalFormatting>
  <conditionalFormatting sqref="F123:G123">
    <cfRule type="expression" dxfId="420" priority="56">
      <formula>kvartal &lt; 4</formula>
    </cfRule>
  </conditionalFormatting>
  <conditionalFormatting sqref="F69:G69">
    <cfRule type="expression" dxfId="419" priority="55">
      <formula>kvartal &lt; 4</formula>
    </cfRule>
  </conditionalFormatting>
  <conditionalFormatting sqref="F72:G72">
    <cfRule type="expression" dxfId="418" priority="54">
      <formula>kvartal &lt; 4</formula>
    </cfRule>
  </conditionalFormatting>
  <conditionalFormatting sqref="F80:G80">
    <cfRule type="expression" dxfId="417" priority="53">
      <formula>kvartal &lt; 4</formula>
    </cfRule>
  </conditionalFormatting>
  <conditionalFormatting sqref="F83:G83">
    <cfRule type="expression" dxfId="416" priority="52">
      <formula>kvartal &lt; 4</formula>
    </cfRule>
  </conditionalFormatting>
  <conditionalFormatting sqref="F90:G90">
    <cfRule type="expression" dxfId="415" priority="46">
      <formula>kvartal &lt; 4</formula>
    </cfRule>
  </conditionalFormatting>
  <conditionalFormatting sqref="F93">
    <cfRule type="expression" dxfId="414" priority="45">
      <formula>kvartal &lt; 4</formula>
    </cfRule>
  </conditionalFormatting>
  <conditionalFormatting sqref="G93">
    <cfRule type="expression" dxfId="413" priority="44">
      <formula>kvartal &lt; 4</formula>
    </cfRule>
  </conditionalFormatting>
  <conditionalFormatting sqref="F101">
    <cfRule type="expression" dxfId="412" priority="43">
      <formula>kvartal &lt; 4</formula>
    </cfRule>
  </conditionalFormatting>
  <conditionalFormatting sqref="G101">
    <cfRule type="expression" dxfId="411" priority="42">
      <formula>kvartal &lt; 4</formula>
    </cfRule>
  </conditionalFormatting>
  <conditionalFormatting sqref="G104">
    <cfRule type="expression" dxfId="410" priority="41">
      <formula>kvartal &lt; 4</formula>
    </cfRule>
  </conditionalFormatting>
  <conditionalFormatting sqref="F104">
    <cfRule type="expression" dxfId="409" priority="40">
      <formula>kvartal &lt; 4</formula>
    </cfRule>
  </conditionalFormatting>
  <conditionalFormatting sqref="J69:K71">
    <cfRule type="expression" dxfId="408" priority="39">
      <formula>kvartal &lt; 4</formula>
    </cfRule>
  </conditionalFormatting>
  <conditionalFormatting sqref="J74:K74">
    <cfRule type="expression" dxfId="407" priority="38">
      <formula>kvartal &lt; 4</formula>
    </cfRule>
  </conditionalFormatting>
  <conditionalFormatting sqref="J80:K85">
    <cfRule type="expression" dxfId="406" priority="37">
      <formula>kvartal &lt; 4</formula>
    </cfRule>
  </conditionalFormatting>
  <conditionalFormatting sqref="J90:K92 J95:K95">
    <cfRule type="expression" dxfId="405" priority="34">
      <formula>kvartal &lt; 4</formula>
    </cfRule>
  </conditionalFormatting>
  <conditionalFormatting sqref="J101:K106">
    <cfRule type="expression" dxfId="404" priority="33">
      <formula>kvartal &lt; 4</formula>
    </cfRule>
  </conditionalFormatting>
  <conditionalFormatting sqref="J115:K115">
    <cfRule type="expression" dxfId="403" priority="32">
      <formula>kvartal &lt; 4</formula>
    </cfRule>
  </conditionalFormatting>
  <conditionalFormatting sqref="J123:K123">
    <cfRule type="expression" dxfId="402" priority="31">
      <formula>kvartal &lt; 4</formula>
    </cfRule>
  </conditionalFormatting>
  <conditionalFormatting sqref="A50:A52">
    <cfRule type="expression" dxfId="401" priority="12">
      <formula>kvartal &lt; 4</formula>
    </cfRule>
  </conditionalFormatting>
  <conditionalFormatting sqref="A69:A74">
    <cfRule type="expression" dxfId="400" priority="10">
      <formula>kvartal &lt; 4</formula>
    </cfRule>
  </conditionalFormatting>
  <conditionalFormatting sqref="A80:A85">
    <cfRule type="expression" dxfId="399" priority="9">
      <formula>kvartal &lt; 4</formula>
    </cfRule>
  </conditionalFormatting>
  <conditionalFormatting sqref="A90:A95">
    <cfRule type="expression" dxfId="398" priority="6">
      <formula>kvartal &lt; 4</formula>
    </cfRule>
  </conditionalFormatting>
  <conditionalFormatting sqref="A101:A106">
    <cfRule type="expression" dxfId="397" priority="5">
      <formula>kvartal &lt; 4</formula>
    </cfRule>
  </conditionalFormatting>
  <conditionalFormatting sqref="A115">
    <cfRule type="expression" dxfId="396" priority="4">
      <formula>kvartal &lt; 4</formula>
    </cfRule>
  </conditionalFormatting>
  <conditionalFormatting sqref="A123">
    <cfRule type="expression" dxfId="395" priority="3">
      <formula>kvartal &lt; 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139</v>
      </c>
      <c r="B1" s="945"/>
      <c r="C1" s="248" t="s">
        <v>136</v>
      </c>
      <c r="D1" s="26"/>
      <c r="E1" s="26"/>
      <c r="F1" s="26"/>
      <c r="G1" s="26"/>
      <c r="H1" s="26"/>
      <c r="I1" s="26"/>
      <c r="J1" s="26"/>
      <c r="K1" s="26"/>
      <c r="L1" s="26"/>
      <c r="M1" s="26"/>
    </row>
    <row r="2" spans="1:14" ht="15.75" x14ac:dyDescent="0.25">
      <c r="A2" s="165" t="s">
        <v>28</v>
      </c>
      <c r="B2" s="972"/>
      <c r="C2" s="972"/>
      <c r="D2" s="972"/>
      <c r="E2" s="298"/>
      <c r="F2" s="972"/>
      <c r="G2" s="972"/>
      <c r="H2" s="972"/>
      <c r="I2" s="298"/>
      <c r="J2" s="972"/>
      <c r="K2" s="972"/>
      <c r="L2" s="972"/>
      <c r="M2" s="298"/>
    </row>
    <row r="3" spans="1:14" ht="15.75" x14ac:dyDescent="0.25">
      <c r="A3" s="163"/>
      <c r="B3" s="298"/>
      <c r="C3" s="298"/>
      <c r="D3" s="298"/>
      <c r="E3" s="298"/>
      <c r="F3" s="298"/>
      <c r="G3" s="298"/>
      <c r="H3" s="298"/>
      <c r="I3" s="298"/>
      <c r="J3" s="298"/>
      <c r="K3" s="298"/>
      <c r="L3" s="298"/>
      <c r="M3" s="298"/>
    </row>
    <row r="4" spans="1:14" x14ac:dyDescent="0.2">
      <c r="A4" s="144"/>
      <c r="B4" s="973" t="s">
        <v>0</v>
      </c>
      <c r="C4" s="974"/>
      <c r="D4" s="974"/>
      <c r="E4" s="300"/>
      <c r="F4" s="973" t="s">
        <v>1</v>
      </c>
      <c r="G4" s="974"/>
      <c r="H4" s="974"/>
      <c r="I4" s="303"/>
      <c r="J4" s="973" t="s">
        <v>2</v>
      </c>
      <c r="K4" s="974"/>
      <c r="L4" s="974"/>
      <c r="M4" s="303"/>
    </row>
    <row r="5" spans="1:14" x14ac:dyDescent="0.2">
      <c r="A5" s="158"/>
      <c r="B5" s="152" t="s">
        <v>492</v>
      </c>
      <c r="C5" s="152" t="s">
        <v>493</v>
      </c>
      <c r="D5" s="245" t="s">
        <v>3</v>
      </c>
      <c r="E5" s="304" t="s">
        <v>29</v>
      </c>
      <c r="F5" s="152" t="s">
        <v>492</v>
      </c>
      <c r="G5" s="152" t="s">
        <v>493</v>
      </c>
      <c r="H5" s="245" t="s">
        <v>3</v>
      </c>
      <c r="I5" s="162" t="s">
        <v>29</v>
      </c>
      <c r="J5" s="152" t="s">
        <v>492</v>
      </c>
      <c r="K5" s="152" t="s">
        <v>493</v>
      </c>
      <c r="L5" s="245" t="s">
        <v>3</v>
      </c>
      <c r="M5" s="162" t="s">
        <v>29</v>
      </c>
    </row>
    <row r="6" spans="1:14" x14ac:dyDescent="0.2">
      <c r="A6" s="946"/>
      <c r="B6" s="156"/>
      <c r="C6" s="156"/>
      <c r="D6" s="246" t="s">
        <v>4</v>
      </c>
      <c r="E6" s="156" t="s">
        <v>30</v>
      </c>
      <c r="F6" s="161"/>
      <c r="G6" s="161"/>
      <c r="H6" s="245" t="s">
        <v>4</v>
      </c>
      <c r="I6" s="156" t="s">
        <v>30</v>
      </c>
      <c r="J6" s="161"/>
      <c r="K6" s="161"/>
      <c r="L6" s="245" t="s">
        <v>4</v>
      </c>
      <c r="M6" s="156" t="s">
        <v>30</v>
      </c>
    </row>
    <row r="7" spans="1:14" ht="15.75" x14ac:dyDescent="0.2">
      <c r="A7" s="14" t="s">
        <v>23</v>
      </c>
      <c r="B7" s="305">
        <v>855157.35014999995</v>
      </c>
      <c r="C7" s="306">
        <v>912280.78319999995</v>
      </c>
      <c r="D7" s="349">
        <f>IF(B7=0, "    ---- ", IF(ABS(ROUND(100/B7*C7-100,1))&lt;999,ROUND(100/B7*C7-100,1),IF(ROUND(100/B7*C7-100,1)&gt;999,999,-999)))</f>
        <v>6.7</v>
      </c>
      <c r="E7" s="11">
        <f>IFERROR(100/'Skjema total MA'!C7*C7,0)</f>
        <v>19.401047488365876</v>
      </c>
      <c r="F7" s="305">
        <v>369323.76062000002</v>
      </c>
      <c r="G7" s="306">
        <v>410572.87265999999</v>
      </c>
      <c r="H7" s="349">
        <f>IF(F7=0, "    ---- ", IF(ABS(ROUND(100/F7*G7-100,1))&lt;999,ROUND(100/F7*G7-100,1),IF(ROUND(100/F7*G7-100,1)&gt;999,999,-999)))</f>
        <v>11.2</v>
      </c>
      <c r="I7" s="160">
        <f>IFERROR(100/'Skjema total MA'!F7*G7,0)</f>
        <v>3.9299764131424557</v>
      </c>
      <c r="J7" s="307">
        <f t="shared" ref="J7:K12" si="0">SUM(B7,F7)</f>
        <v>1224481.1107699999</v>
      </c>
      <c r="K7" s="308">
        <f t="shared" si="0"/>
        <v>1322853.6558599998</v>
      </c>
      <c r="L7" s="372">
        <f>IF(J7=0, "    ---- ", IF(ABS(ROUND(100/J7*K7-100,1))&lt;999,ROUND(100/J7*K7-100,1),IF(ROUND(100/J7*K7-100,1)&gt;999,999,-999)))</f>
        <v>8</v>
      </c>
      <c r="M7" s="11">
        <f>IFERROR(100/'Skjema total MA'!I7*K7,0)</f>
        <v>8.7320335492920265</v>
      </c>
    </row>
    <row r="8" spans="1:14" ht="15.75" x14ac:dyDescent="0.2">
      <c r="A8" s="21" t="s">
        <v>25</v>
      </c>
      <c r="B8" s="280">
        <v>763841.23266409605</v>
      </c>
      <c r="C8" s="281">
        <v>818793.18714959</v>
      </c>
      <c r="D8" s="166">
        <f t="shared" ref="D8:D10" si="1">IF(B8=0, "    ---- ", IF(ABS(ROUND(100/B8*C8-100,1))&lt;999,ROUND(100/B8*C8-100,1),IF(ROUND(100/B8*C8-100,1)&gt;999,999,-999)))</f>
        <v>7.2</v>
      </c>
      <c r="E8" s="27">
        <f>IFERROR(100/'Skjema total MA'!C8*C8,0)</f>
        <v>29.150377594005825</v>
      </c>
      <c r="F8" s="284"/>
      <c r="G8" s="285"/>
      <c r="H8" s="166"/>
      <c r="I8" s="175"/>
      <c r="J8" s="234">
        <f t="shared" si="0"/>
        <v>763841.23266409605</v>
      </c>
      <c r="K8" s="286">
        <f t="shared" si="0"/>
        <v>818793.18714959</v>
      </c>
      <c r="L8" s="166">
        <f t="shared" ref="L8:L9" si="2">IF(J8=0, "    ---- ", IF(ABS(ROUND(100/J8*K8-100,1))&lt;999,ROUND(100/J8*K8-100,1),IF(ROUND(100/J8*K8-100,1)&gt;999,999,-999)))</f>
        <v>7.2</v>
      </c>
      <c r="M8" s="27">
        <f>IFERROR(100/'Skjema total MA'!I8*K8,0)</f>
        <v>29.150377594005825</v>
      </c>
    </row>
    <row r="9" spans="1:14" ht="15.75" x14ac:dyDescent="0.2">
      <c r="A9" s="21" t="s">
        <v>24</v>
      </c>
      <c r="B9" s="280">
        <v>90928.007405449302</v>
      </c>
      <c r="C9" s="281">
        <v>94965.588671925594</v>
      </c>
      <c r="D9" s="166">
        <f t="shared" si="1"/>
        <v>4.4000000000000004</v>
      </c>
      <c r="E9" s="27">
        <f>IFERROR(100/'Skjema total MA'!C9*C9,0)</f>
        <v>9.6440845774726007</v>
      </c>
      <c r="F9" s="284"/>
      <c r="G9" s="285"/>
      <c r="H9" s="166"/>
      <c r="I9" s="175"/>
      <c r="J9" s="234">
        <f t="shared" si="0"/>
        <v>90928.007405449302</v>
      </c>
      <c r="K9" s="286">
        <f t="shared" si="0"/>
        <v>94965.588671925594</v>
      </c>
      <c r="L9" s="166">
        <f t="shared" si="2"/>
        <v>4.4000000000000004</v>
      </c>
      <c r="M9" s="27">
        <f>IFERROR(100/'Skjema total MA'!I9*K9,0)</f>
        <v>9.6440845774726007</v>
      </c>
    </row>
    <row r="10" spans="1:14" ht="15.75" x14ac:dyDescent="0.2">
      <c r="A10" s="13" t="s">
        <v>451</v>
      </c>
      <c r="B10" s="309">
        <v>849226.27754000004</v>
      </c>
      <c r="C10" s="310">
        <v>851594.36453000002</v>
      </c>
      <c r="D10" s="171">
        <f t="shared" si="1"/>
        <v>0.3</v>
      </c>
      <c r="E10" s="11">
        <f>IFERROR(100/'Skjema total MA'!C10*C10,0)</f>
        <v>4.0281924790567425</v>
      </c>
      <c r="F10" s="309">
        <v>2141523.88038</v>
      </c>
      <c r="G10" s="310">
        <v>2717296.87861</v>
      </c>
      <c r="H10" s="171">
        <f t="shared" ref="H10:H12" si="3">IF(F10=0, "    ---- ", IF(ABS(ROUND(100/F10*G10-100,1))&lt;999,ROUND(100/F10*G10-100,1),IF(ROUND(100/F10*G10-100,1)&gt;999,999,-999)))</f>
        <v>26.9</v>
      </c>
      <c r="I10" s="160">
        <f>IFERROR(100/'Skjema total MA'!F10*G10,0)</f>
        <v>5.1291409139628721</v>
      </c>
      <c r="J10" s="307">
        <f t="shared" si="0"/>
        <v>2990750.1579200001</v>
      </c>
      <c r="K10" s="308">
        <f t="shared" si="0"/>
        <v>3568891.2431399999</v>
      </c>
      <c r="L10" s="373">
        <f t="shared" ref="L10:L12" si="4">IF(J10=0, "    ---- ", IF(ABS(ROUND(100/J10*K10-100,1))&lt;999,ROUND(100/J10*K10-100,1),IF(ROUND(100/J10*K10-100,1)&gt;999,999,-999)))</f>
        <v>19.3</v>
      </c>
      <c r="M10" s="11">
        <f>IFERROR(100/'Skjema total MA'!I10*K10,0)</f>
        <v>4.8151167615484791</v>
      </c>
    </row>
    <row r="11" spans="1:14" s="43" customFormat="1" ht="15.75" x14ac:dyDescent="0.2">
      <c r="A11" s="13" t="s">
        <v>452</v>
      </c>
      <c r="B11" s="309"/>
      <c r="C11" s="310"/>
      <c r="D11" s="171"/>
      <c r="E11" s="11"/>
      <c r="F11" s="309">
        <v>45854.274660000003</v>
      </c>
      <c r="G11" s="310">
        <v>31375.167990000002</v>
      </c>
      <c r="H11" s="171">
        <f t="shared" si="3"/>
        <v>-31.6</v>
      </c>
      <c r="I11" s="160">
        <f>IFERROR(100/'Skjema total MA'!F11*G11,0)</f>
        <v>7.6024090122516093</v>
      </c>
      <c r="J11" s="307">
        <f t="shared" si="0"/>
        <v>45854.274660000003</v>
      </c>
      <c r="K11" s="308">
        <f t="shared" si="0"/>
        <v>31375.167990000002</v>
      </c>
      <c r="L11" s="373">
        <f t="shared" si="4"/>
        <v>-31.6</v>
      </c>
      <c r="M11" s="11">
        <f>IFERROR(100/'Skjema total MA'!I11*K11,0)</f>
        <v>6.5651702417436937</v>
      </c>
      <c r="N11" s="143"/>
    </row>
    <row r="12" spans="1:14" s="43" customFormat="1" ht="15.75" x14ac:dyDescent="0.2">
      <c r="A12" s="41" t="s">
        <v>453</v>
      </c>
      <c r="B12" s="311"/>
      <c r="C12" s="312"/>
      <c r="D12" s="169"/>
      <c r="E12" s="36"/>
      <c r="F12" s="311">
        <v>3176.7204499999998</v>
      </c>
      <c r="G12" s="312">
        <v>19000.259129999999</v>
      </c>
      <c r="H12" s="169">
        <f t="shared" si="3"/>
        <v>498.1</v>
      </c>
      <c r="I12" s="169">
        <f>IFERROR(100/'Skjema total MA'!F12*G12,0)</f>
        <v>5.8565441684509816</v>
      </c>
      <c r="J12" s="313">
        <f t="shared" si="0"/>
        <v>3176.7204499999998</v>
      </c>
      <c r="K12" s="314">
        <f t="shared" si="0"/>
        <v>19000.259129999999</v>
      </c>
      <c r="L12" s="374">
        <f t="shared" si="4"/>
        <v>498.1</v>
      </c>
      <c r="M12" s="36">
        <f>IFERROR(100/'Skjema total MA'!I12*K12,0)</f>
        <v>5.5470539975220658</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975"/>
      <c r="C18" s="975"/>
      <c r="D18" s="975"/>
      <c r="E18" s="298"/>
      <c r="F18" s="975"/>
      <c r="G18" s="975"/>
      <c r="H18" s="975"/>
      <c r="I18" s="298"/>
      <c r="J18" s="975"/>
      <c r="K18" s="975"/>
      <c r="L18" s="975"/>
      <c r="M18" s="298"/>
    </row>
    <row r="19" spans="1:14" x14ac:dyDescent="0.2">
      <c r="A19" s="144"/>
      <c r="B19" s="973" t="s">
        <v>0</v>
      </c>
      <c r="C19" s="974"/>
      <c r="D19" s="974"/>
      <c r="E19" s="300"/>
      <c r="F19" s="973" t="s">
        <v>1</v>
      </c>
      <c r="G19" s="974"/>
      <c r="H19" s="974"/>
      <c r="I19" s="303"/>
      <c r="J19" s="973" t="s">
        <v>2</v>
      </c>
      <c r="K19" s="974"/>
      <c r="L19" s="974"/>
      <c r="M19" s="303"/>
    </row>
    <row r="20" spans="1:14" x14ac:dyDescent="0.2">
      <c r="A20" s="140" t="s">
        <v>5</v>
      </c>
      <c r="B20" s="152" t="s">
        <v>492</v>
      </c>
      <c r="C20" s="152" t="s">
        <v>493</v>
      </c>
      <c r="D20" s="162" t="s">
        <v>3</v>
      </c>
      <c r="E20" s="304" t="s">
        <v>29</v>
      </c>
      <c r="F20" s="152" t="s">
        <v>492</v>
      </c>
      <c r="G20" s="152" t="s">
        <v>493</v>
      </c>
      <c r="H20" s="162" t="s">
        <v>3</v>
      </c>
      <c r="I20" s="162" t="s">
        <v>29</v>
      </c>
      <c r="J20" s="152" t="s">
        <v>492</v>
      </c>
      <c r="K20" s="152" t="s">
        <v>493</v>
      </c>
      <c r="L20" s="162" t="s">
        <v>3</v>
      </c>
      <c r="M20" s="162" t="s">
        <v>29</v>
      </c>
    </row>
    <row r="21" spans="1:14" x14ac:dyDescent="0.2">
      <c r="A21" s="947"/>
      <c r="B21" s="156"/>
      <c r="C21" s="156"/>
      <c r="D21" s="246" t="s">
        <v>4</v>
      </c>
      <c r="E21" s="156" t="s">
        <v>30</v>
      </c>
      <c r="F21" s="161"/>
      <c r="G21" s="161"/>
      <c r="H21" s="245" t="s">
        <v>4</v>
      </c>
      <c r="I21" s="156" t="s">
        <v>30</v>
      </c>
      <c r="J21" s="161"/>
      <c r="K21" s="161"/>
      <c r="L21" s="156" t="s">
        <v>4</v>
      </c>
      <c r="M21" s="156" t="s">
        <v>30</v>
      </c>
    </row>
    <row r="22" spans="1:14" ht="15.75" x14ac:dyDescent="0.2">
      <c r="A22" s="14" t="s">
        <v>23</v>
      </c>
      <c r="B22" s="309">
        <v>527788.66003000003</v>
      </c>
      <c r="C22" s="309">
        <v>639395.41255999997</v>
      </c>
      <c r="D22" s="349">
        <f t="shared" ref="D22:D35" si="5">IF(B22=0, "    ---- ", IF(ABS(ROUND(100/B22*C22-100,1))&lt;999,ROUND(100/B22*C22-100,1),IF(ROUND(100/B22*C22-100,1)&gt;999,999,-999)))</f>
        <v>21.1</v>
      </c>
      <c r="E22" s="11">
        <f>IFERROR(100/'Skjema total MA'!C22*C22,0)</f>
        <v>35.746526240903982</v>
      </c>
      <c r="F22" s="317">
        <v>217205.85592999999</v>
      </c>
      <c r="G22" s="317">
        <v>299237.27568000002</v>
      </c>
      <c r="H22" s="349">
        <f t="shared" ref="H22:H35" si="6">IF(F22=0, "    ---- ", IF(ABS(ROUND(100/F22*G22-100,1))&lt;999,ROUND(100/F22*G22-100,1),IF(ROUND(100/F22*G22-100,1)&gt;999,999,-999)))</f>
        <v>37.799999999999997</v>
      </c>
      <c r="I22" s="11">
        <f>IFERROR(100/'Skjema total MA'!F22*G22,0)</f>
        <v>22.642292978371525</v>
      </c>
      <c r="J22" s="315">
        <f t="shared" ref="J22:K35" si="7">SUM(B22,F22)</f>
        <v>744994.51595999999</v>
      </c>
      <c r="K22" s="315">
        <f t="shared" si="7"/>
        <v>938632.68824000005</v>
      </c>
      <c r="L22" s="372">
        <f t="shared" ref="L22:L35" si="8">IF(J22=0, "    ---- ", IF(ABS(ROUND(100/J22*K22-100,1))&lt;999,ROUND(100/J22*K22-100,1),IF(ROUND(100/J22*K22-100,1)&gt;999,999,-999)))</f>
        <v>26</v>
      </c>
      <c r="M22" s="24">
        <f>IFERROR(100/'Skjema total MA'!I22*K22,0)</f>
        <v>30.178417700948014</v>
      </c>
    </row>
    <row r="23" spans="1:14" ht="15.75" x14ac:dyDescent="0.2">
      <c r="A23" s="753" t="s">
        <v>454</v>
      </c>
      <c r="B23" s="280">
        <v>523619.80314374098</v>
      </c>
      <c r="C23" s="280">
        <v>634345.00475369801</v>
      </c>
      <c r="D23" s="166">
        <f t="shared" si="5"/>
        <v>21.1</v>
      </c>
      <c r="E23" s="11">
        <f>IFERROR(100/'Skjema total MA'!C23*C23,0)</f>
        <v>37.695170015678684</v>
      </c>
      <c r="F23" s="289">
        <v>8186.9273400000002</v>
      </c>
      <c r="G23" s="289">
        <v>7724.7907999999998</v>
      </c>
      <c r="H23" s="166">
        <f t="shared" si="6"/>
        <v>-5.6</v>
      </c>
      <c r="I23" s="365">
        <f>IFERROR(100/'Skjema total MA'!F23*G23,0)</f>
        <v>7.7595681134641454</v>
      </c>
      <c r="J23" s="289">
        <f t="shared" ref="J23:J26" si="9">SUM(B23,F23)</f>
        <v>531806.73048374103</v>
      </c>
      <c r="K23" s="289">
        <f t="shared" ref="K23:K26" si="10">SUM(C23,G23)</f>
        <v>642069.79555369797</v>
      </c>
      <c r="L23" s="166">
        <f t="shared" si="8"/>
        <v>20.7</v>
      </c>
      <c r="M23" s="23">
        <f>IFERROR(100/'Skjema total MA'!I23*K23,0)</f>
        <v>36.023167858264777</v>
      </c>
    </row>
    <row r="24" spans="1:14" ht="15.75" x14ac:dyDescent="0.2">
      <c r="A24" s="753" t="s">
        <v>455</v>
      </c>
      <c r="B24" s="280">
        <v>4168.8568862593902</v>
      </c>
      <c r="C24" s="280">
        <v>5050.4078063024499</v>
      </c>
      <c r="D24" s="166">
        <f t="shared" si="5"/>
        <v>21.1</v>
      </c>
      <c r="E24" s="11">
        <f>IFERROR(100/'Skjema total MA'!C24*C24,0)</f>
        <v>13.412594794565953</v>
      </c>
      <c r="F24" s="289">
        <v>-62.279069999999997</v>
      </c>
      <c r="G24" s="289">
        <v>-74.96857</v>
      </c>
      <c r="H24" s="166">
        <f t="shared" si="6"/>
        <v>20.399999999999999</v>
      </c>
      <c r="I24" s="365">
        <f>IFERROR(100/'Skjema total MA'!F24*G24,0)</f>
        <v>-41.787934533551187</v>
      </c>
      <c r="J24" s="289">
        <f t="shared" si="9"/>
        <v>4106.5778162593906</v>
      </c>
      <c r="K24" s="289">
        <f t="shared" si="10"/>
        <v>4975.4392363024499</v>
      </c>
      <c r="L24" s="166">
        <f t="shared" si="8"/>
        <v>21.2</v>
      </c>
      <c r="M24" s="23">
        <f>IFERROR(100/'Skjema total MA'!I24*K24,0)</f>
        <v>13.150840599584075</v>
      </c>
    </row>
    <row r="25" spans="1:14" ht="15.75" x14ac:dyDescent="0.2">
      <c r="A25" s="753" t="s">
        <v>456</v>
      </c>
      <c r="B25" s="280"/>
      <c r="C25" s="280"/>
      <c r="D25" s="166"/>
      <c r="E25" s="11"/>
      <c r="F25" s="289">
        <v>10486.551369999999</v>
      </c>
      <c r="G25" s="289">
        <v>9371.2122600000002</v>
      </c>
      <c r="H25" s="166">
        <f t="shared" si="6"/>
        <v>-10.6</v>
      </c>
      <c r="I25" s="365">
        <f>IFERROR(100/'Skjema total MA'!F25*G25,0)</f>
        <v>34.251332461967884</v>
      </c>
      <c r="J25" s="289">
        <f t="shared" si="9"/>
        <v>10486.551369999999</v>
      </c>
      <c r="K25" s="289">
        <f t="shared" si="10"/>
        <v>9371.2122600000002</v>
      </c>
      <c r="L25" s="166">
        <f t="shared" si="8"/>
        <v>-10.6</v>
      </c>
      <c r="M25" s="23">
        <f>IFERROR(100/'Skjema total MA'!I25*K25,0)</f>
        <v>13.792727804552728</v>
      </c>
    </row>
    <row r="26" spans="1:14" ht="15.75" x14ac:dyDescent="0.2">
      <c r="A26" s="753" t="s">
        <v>457</v>
      </c>
      <c r="B26" s="280"/>
      <c r="C26" s="280"/>
      <c r="D26" s="166"/>
      <c r="E26" s="11"/>
      <c r="F26" s="289">
        <v>198594.65629000001</v>
      </c>
      <c r="G26" s="289">
        <v>282216.24118999997</v>
      </c>
      <c r="H26" s="166">
        <f t="shared" si="6"/>
        <v>42.1</v>
      </c>
      <c r="I26" s="365">
        <f>IFERROR(100/'Skjema total MA'!F26*G26,0)</f>
        <v>23.626421865109005</v>
      </c>
      <c r="J26" s="289">
        <f t="shared" si="9"/>
        <v>198594.65629000001</v>
      </c>
      <c r="K26" s="289">
        <f t="shared" si="10"/>
        <v>282216.24118999997</v>
      </c>
      <c r="L26" s="166">
        <f t="shared" si="8"/>
        <v>42.1</v>
      </c>
      <c r="M26" s="23">
        <f>IFERROR(100/'Skjema total MA'!I26*K26,0)</f>
        <v>23.626421865109005</v>
      </c>
    </row>
    <row r="27" spans="1:14" x14ac:dyDescent="0.2">
      <c r="A27" s="753" t="s">
        <v>11</v>
      </c>
      <c r="B27" s="280"/>
      <c r="C27" s="280"/>
      <c r="D27" s="166"/>
      <c r="E27" s="11"/>
      <c r="F27" s="289"/>
      <c r="G27" s="289"/>
      <c r="H27" s="166"/>
      <c r="I27" s="365"/>
      <c r="J27" s="289"/>
      <c r="K27" s="289"/>
      <c r="L27" s="166"/>
      <c r="M27" s="23"/>
    </row>
    <row r="28" spans="1:14" ht="15.75" x14ac:dyDescent="0.2">
      <c r="A28" s="49" t="s">
        <v>279</v>
      </c>
      <c r="B28" s="44">
        <v>539601.21599896695</v>
      </c>
      <c r="C28" s="286">
        <v>558011.22908428998</v>
      </c>
      <c r="D28" s="166">
        <f t="shared" si="5"/>
        <v>3.4</v>
      </c>
      <c r="E28" s="11">
        <f>IFERROR(100/'Skjema total MA'!C28*C28,0)</f>
        <v>29.689597472001669</v>
      </c>
      <c r="F28" s="234"/>
      <c r="G28" s="286"/>
      <c r="H28" s="166"/>
      <c r="I28" s="27"/>
      <c r="J28" s="44">
        <f t="shared" si="7"/>
        <v>539601.21599896695</v>
      </c>
      <c r="K28" s="44">
        <f t="shared" si="7"/>
        <v>558011.22908428998</v>
      </c>
      <c r="L28" s="254">
        <f t="shared" si="8"/>
        <v>3.4</v>
      </c>
      <c r="M28" s="23">
        <f>IFERROR(100/'Skjema total MA'!I28*K28,0)</f>
        <v>29.689597472001669</v>
      </c>
    </row>
    <row r="29" spans="1:14" s="3" customFormat="1" ht="15.75" x14ac:dyDescent="0.2">
      <c r="A29" s="13" t="s">
        <v>451</v>
      </c>
      <c r="B29" s="236">
        <v>5283680.1030999999</v>
      </c>
      <c r="C29" s="236">
        <v>5523902.9984799996</v>
      </c>
      <c r="D29" s="171">
        <f t="shared" si="5"/>
        <v>4.5</v>
      </c>
      <c r="E29" s="11">
        <f>IFERROR(100/'Skjema total MA'!C29*C29,0)</f>
        <v>11.758723754263265</v>
      </c>
      <c r="F29" s="307">
        <v>2120163.2861500001</v>
      </c>
      <c r="G29" s="307">
        <v>2663787.44875</v>
      </c>
      <c r="H29" s="171">
        <f t="shared" si="6"/>
        <v>25.6</v>
      </c>
      <c r="I29" s="11">
        <f>IFERROR(100/'Skjema total MA'!F29*G29,0)</f>
        <v>11.924739812327759</v>
      </c>
      <c r="J29" s="236">
        <f t="shared" si="7"/>
        <v>7403843.38925</v>
      </c>
      <c r="K29" s="236">
        <f t="shared" si="7"/>
        <v>8187690.44723</v>
      </c>
      <c r="L29" s="373">
        <f t="shared" si="8"/>
        <v>10.6</v>
      </c>
      <c r="M29" s="24">
        <f>IFERROR(100/'Skjema total MA'!I29*K29,0)</f>
        <v>11.812225885526459</v>
      </c>
      <c r="N29" s="148"/>
    </row>
    <row r="30" spans="1:14" s="3" customFormat="1" ht="15.75" x14ac:dyDescent="0.2">
      <c r="A30" s="753" t="s">
        <v>454</v>
      </c>
      <c r="B30" s="280">
        <v>3031205.1555175302</v>
      </c>
      <c r="C30" s="280">
        <v>3169019.1156249898</v>
      </c>
      <c r="D30" s="166">
        <f t="shared" si="5"/>
        <v>4.5</v>
      </c>
      <c r="E30" s="11">
        <f>IFERROR(100/'Skjema total MA'!C30*C30,0)</f>
        <v>17.932038646958119</v>
      </c>
      <c r="F30" s="289">
        <v>562528.75887000002</v>
      </c>
      <c r="G30" s="289">
        <v>617245.03763999895</v>
      </c>
      <c r="H30" s="166">
        <f t="shared" si="6"/>
        <v>9.6999999999999993</v>
      </c>
      <c r="I30" s="365">
        <f>IFERROR(100/'Skjema total MA'!F30*G30,0)</f>
        <v>13.861952785975358</v>
      </c>
      <c r="J30" s="289">
        <f t="shared" ref="J30:J33" si="11">SUM(B30,F30)</f>
        <v>3593733.9143875302</v>
      </c>
      <c r="K30" s="289">
        <f t="shared" ref="K30:K33" si="12">SUM(C30,G30)</f>
        <v>3786264.1532649887</v>
      </c>
      <c r="L30" s="166">
        <f t="shared" si="8"/>
        <v>5.4</v>
      </c>
      <c r="M30" s="23">
        <f>IFERROR(100/'Skjema total MA'!I30*K30,0)</f>
        <v>17.112914311182909</v>
      </c>
      <c r="N30" s="148"/>
    </row>
    <row r="31" spans="1:14" s="3" customFormat="1" ht="15.75" x14ac:dyDescent="0.2">
      <c r="A31" s="753" t="s">
        <v>455</v>
      </c>
      <c r="B31" s="280">
        <v>2252474.9475824698</v>
      </c>
      <c r="C31" s="280">
        <v>2354883.8828550102</v>
      </c>
      <c r="D31" s="166">
        <f t="shared" si="5"/>
        <v>4.5</v>
      </c>
      <c r="E31" s="11">
        <f>IFERROR(100/'Skjema total MA'!C31*C31,0)</f>
        <v>9.0029431635344412</v>
      </c>
      <c r="F31" s="289">
        <v>867501.39121000003</v>
      </c>
      <c r="G31" s="289">
        <v>917528.73288000003</v>
      </c>
      <c r="H31" s="166">
        <f t="shared" si="6"/>
        <v>5.8</v>
      </c>
      <c r="I31" s="365">
        <f>IFERROR(100/'Skjema total MA'!F31*G31,0)</f>
        <v>9.3401838143056644</v>
      </c>
      <c r="J31" s="289">
        <f t="shared" si="11"/>
        <v>3119976.3387924698</v>
      </c>
      <c r="K31" s="289">
        <f t="shared" si="12"/>
        <v>3272412.6157350102</v>
      </c>
      <c r="L31" s="166">
        <f t="shared" si="8"/>
        <v>4.9000000000000004</v>
      </c>
      <c r="M31" s="23">
        <f>IFERROR(100/'Skjema total MA'!I31*K31,0)</f>
        <v>9.0950177252596358</v>
      </c>
      <c r="N31" s="148"/>
    </row>
    <row r="32" spans="1:14" ht="15.75" x14ac:dyDescent="0.2">
      <c r="A32" s="753" t="s">
        <v>456</v>
      </c>
      <c r="B32" s="280"/>
      <c r="C32" s="280"/>
      <c r="D32" s="166"/>
      <c r="E32" s="11"/>
      <c r="F32" s="289">
        <v>348853.28123999998</v>
      </c>
      <c r="G32" s="289">
        <v>427441.75848999998</v>
      </c>
      <c r="H32" s="166">
        <f t="shared" si="6"/>
        <v>22.5</v>
      </c>
      <c r="I32" s="365">
        <f>IFERROR(100/'Skjema total MA'!F32*G32,0)</f>
        <v>9.1655413230483891</v>
      </c>
      <c r="J32" s="289">
        <f t="shared" si="11"/>
        <v>348853.28123999998</v>
      </c>
      <c r="K32" s="289">
        <f t="shared" si="12"/>
        <v>427441.75848999998</v>
      </c>
      <c r="L32" s="166">
        <f t="shared" si="8"/>
        <v>22.5</v>
      </c>
      <c r="M32" s="23">
        <f>IFERROR(100/'Skjema total MA'!I32*K32,0)</f>
        <v>5.566456392770383</v>
      </c>
    </row>
    <row r="33" spans="1:14" ht="15.75" x14ac:dyDescent="0.2">
      <c r="A33" s="753" t="s">
        <v>457</v>
      </c>
      <c r="B33" s="280"/>
      <c r="C33" s="280"/>
      <c r="D33" s="166"/>
      <c r="E33" s="11"/>
      <c r="F33" s="289">
        <v>341279.85483000003</v>
      </c>
      <c r="G33" s="289">
        <v>701571.91974000004</v>
      </c>
      <c r="H33" s="166">
        <f t="shared" si="6"/>
        <v>105.6</v>
      </c>
      <c r="I33" s="365">
        <f>IFERROR(100/'Skjema total MA'!F34*G33,0)</f>
        <v>999.6785925205487</v>
      </c>
      <c r="J33" s="289">
        <f t="shared" si="11"/>
        <v>341279.85483000003</v>
      </c>
      <c r="K33" s="289">
        <f t="shared" si="12"/>
        <v>701571.91974000004</v>
      </c>
      <c r="L33" s="166">
        <f t="shared" si="8"/>
        <v>105.6</v>
      </c>
      <c r="M33" s="23">
        <f>IFERROR(100/'Skjema total MA'!I34*K33,0)</f>
        <v>725.24177126661232</v>
      </c>
    </row>
    <row r="34" spans="1:14" ht="15.75" x14ac:dyDescent="0.2">
      <c r="A34" s="13" t="s">
        <v>452</v>
      </c>
      <c r="B34" s="236"/>
      <c r="C34" s="308"/>
      <c r="D34" s="171"/>
      <c r="E34" s="11"/>
      <c r="F34" s="307">
        <v>27174.123960000001</v>
      </c>
      <c r="G34" s="308">
        <v>17628.94083</v>
      </c>
      <c r="H34" s="171">
        <f t="shared" si="6"/>
        <v>-35.1</v>
      </c>
      <c r="I34" s="11">
        <f>IFERROR(100/'Skjema total MA'!F34*G34,0)</f>
        <v>25.119698010566832</v>
      </c>
      <c r="J34" s="236">
        <f t="shared" si="7"/>
        <v>27174.123960000001</v>
      </c>
      <c r="K34" s="236">
        <f t="shared" si="7"/>
        <v>17628.94083</v>
      </c>
      <c r="L34" s="373">
        <f t="shared" si="8"/>
        <v>-35.1</v>
      </c>
      <c r="M34" s="24">
        <f>IFERROR(100/'Skjema total MA'!I34*K34,0)</f>
        <v>18.223711516050511</v>
      </c>
    </row>
    <row r="35" spans="1:14" ht="15.75" x14ac:dyDescent="0.2">
      <c r="A35" s="13" t="s">
        <v>453</v>
      </c>
      <c r="B35" s="236">
        <v>675.37724000000003</v>
      </c>
      <c r="C35" s="308">
        <v>801.90830000000005</v>
      </c>
      <c r="D35" s="171">
        <f t="shared" si="5"/>
        <v>18.7</v>
      </c>
      <c r="E35" s="11">
        <f>IFERROR(100/'Skjema total MA'!C35*C35,0)</f>
        <v>-2.747197728875165</v>
      </c>
      <c r="F35" s="307">
        <v>6161.34681</v>
      </c>
      <c r="G35" s="308">
        <v>8544.6726899999994</v>
      </c>
      <c r="H35" s="171">
        <f t="shared" si="6"/>
        <v>38.700000000000003</v>
      </c>
      <c r="I35" s="11">
        <f>IFERROR(100/'Skjema total MA'!F35*G35,0)</f>
        <v>6.4251298824057494</v>
      </c>
      <c r="J35" s="236">
        <f t="shared" si="7"/>
        <v>6836.7240499999998</v>
      </c>
      <c r="K35" s="236">
        <f t="shared" si="7"/>
        <v>9346.5809899999986</v>
      </c>
      <c r="L35" s="373">
        <f t="shared" si="8"/>
        <v>36.700000000000003</v>
      </c>
      <c r="M35" s="24">
        <f>IFERROR(100/'Skjema total MA'!I35*K35,0)</f>
        <v>9.0045625327515371</v>
      </c>
    </row>
    <row r="36" spans="1:14" ht="15.75" x14ac:dyDescent="0.2">
      <c r="A36" s="12" t="s">
        <v>287</v>
      </c>
      <c r="B36" s="236"/>
      <c r="C36" s="308"/>
      <c r="D36" s="171"/>
      <c r="E36" s="11"/>
      <c r="F36" s="318"/>
      <c r="G36" s="319"/>
      <c r="H36" s="171"/>
      <c r="I36" s="379"/>
      <c r="J36" s="236"/>
      <c r="K36" s="236"/>
      <c r="L36" s="373"/>
      <c r="M36" s="24"/>
    </row>
    <row r="37" spans="1:14" ht="15.75" x14ac:dyDescent="0.2">
      <c r="A37" s="12" t="s">
        <v>459</v>
      </c>
      <c r="B37" s="236"/>
      <c r="C37" s="308"/>
      <c r="D37" s="171"/>
      <c r="E37" s="11"/>
      <c r="F37" s="318"/>
      <c r="G37" s="320"/>
      <c r="H37" s="171"/>
      <c r="I37" s="379"/>
      <c r="J37" s="236"/>
      <c r="K37" s="236"/>
      <c r="L37" s="373"/>
      <c r="M37" s="24"/>
    </row>
    <row r="38" spans="1:14" ht="15.75" x14ac:dyDescent="0.2">
      <c r="A38" s="12" t="s">
        <v>460</v>
      </c>
      <c r="B38" s="236"/>
      <c r="C38" s="308"/>
      <c r="D38" s="171"/>
      <c r="E38" s="24"/>
      <c r="F38" s="318"/>
      <c r="G38" s="319"/>
      <c r="H38" s="171"/>
      <c r="I38" s="379"/>
      <c r="J38" s="236"/>
      <c r="K38" s="236"/>
      <c r="L38" s="373"/>
      <c r="M38" s="24"/>
    </row>
    <row r="39" spans="1:14" ht="15.75" x14ac:dyDescent="0.2">
      <c r="A39" s="18" t="s">
        <v>461</v>
      </c>
      <c r="B39" s="275"/>
      <c r="C39" s="314"/>
      <c r="D39" s="169"/>
      <c r="E39" s="36"/>
      <c r="F39" s="321"/>
      <c r="G39" s="322"/>
      <c r="H39" s="169"/>
      <c r="I39" s="36"/>
      <c r="J39" s="236"/>
      <c r="K39" s="236"/>
      <c r="L39" s="374"/>
      <c r="M39" s="36"/>
    </row>
    <row r="40" spans="1:14" ht="15.75" x14ac:dyDescent="0.25">
      <c r="A40" s="47"/>
      <c r="B40" s="253"/>
      <c r="C40" s="253"/>
      <c r="D40" s="976"/>
      <c r="E40" s="976"/>
      <c r="F40" s="976"/>
      <c r="G40" s="976"/>
      <c r="H40" s="976"/>
      <c r="I40" s="976"/>
      <c r="J40" s="976"/>
      <c r="K40" s="976"/>
      <c r="L40" s="976"/>
      <c r="M40" s="301"/>
    </row>
    <row r="41" spans="1:14" x14ac:dyDescent="0.2">
      <c r="A41" s="155"/>
    </row>
    <row r="42" spans="1:14" ht="15.75" x14ac:dyDescent="0.25">
      <c r="A42" s="147" t="s">
        <v>276</v>
      </c>
      <c r="B42" s="972"/>
      <c r="C42" s="972"/>
      <c r="D42" s="972"/>
      <c r="E42" s="298"/>
      <c r="F42" s="977"/>
      <c r="G42" s="977"/>
      <c r="H42" s="977"/>
      <c r="I42" s="301"/>
      <c r="J42" s="977"/>
      <c r="K42" s="977"/>
      <c r="L42" s="977"/>
      <c r="M42" s="301"/>
    </row>
    <row r="43" spans="1:14" ht="15.75" x14ac:dyDescent="0.25">
      <c r="A43" s="163"/>
      <c r="B43" s="302"/>
      <c r="C43" s="302"/>
      <c r="D43" s="302"/>
      <c r="E43" s="302"/>
      <c r="F43" s="301"/>
      <c r="G43" s="301"/>
      <c r="H43" s="301"/>
      <c r="I43" s="301"/>
      <c r="J43" s="301"/>
      <c r="K43" s="301"/>
      <c r="L43" s="301"/>
      <c r="M43" s="301"/>
    </row>
    <row r="44" spans="1:14" ht="15.75" x14ac:dyDescent="0.25">
      <c r="A44" s="247"/>
      <c r="B44" s="973" t="s">
        <v>0</v>
      </c>
      <c r="C44" s="974"/>
      <c r="D44" s="974"/>
      <c r="E44" s="243"/>
      <c r="F44" s="301"/>
      <c r="G44" s="301"/>
      <c r="H44" s="301"/>
      <c r="I44" s="301"/>
      <c r="J44" s="301"/>
      <c r="K44" s="301"/>
      <c r="L44" s="301"/>
      <c r="M44" s="301"/>
    </row>
    <row r="45" spans="1:14" s="3" customFormat="1" x14ac:dyDescent="0.2">
      <c r="A45" s="140"/>
      <c r="B45" s="152" t="s">
        <v>492</v>
      </c>
      <c r="C45" s="152" t="s">
        <v>493</v>
      </c>
      <c r="D45" s="162" t="s">
        <v>3</v>
      </c>
      <c r="E45" s="162" t="s">
        <v>29</v>
      </c>
      <c r="F45" s="174"/>
      <c r="G45" s="174"/>
      <c r="H45" s="173"/>
      <c r="I45" s="173"/>
      <c r="J45" s="174"/>
      <c r="K45" s="174"/>
      <c r="L45" s="173"/>
      <c r="M45" s="173"/>
      <c r="N45" s="148"/>
    </row>
    <row r="46" spans="1:14" s="3" customFormat="1" x14ac:dyDescent="0.2">
      <c r="A46" s="947"/>
      <c r="B46" s="244"/>
      <c r="C46" s="244"/>
      <c r="D46" s="245" t="s">
        <v>4</v>
      </c>
      <c r="E46" s="156" t="s">
        <v>30</v>
      </c>
      <c r="F46" s="173"/>
      <c r="G46" s="173"/>
      <c r="H46" s="173"/>
      <c r="I46" s="173"/>
      <c r="J46" s="173"/>
      <c r="K46" s="173"/>
      <c r="L46" s="173"/>
      <c r="M46" s="173"/>
      <c r="N46" s="148"/>
    </row>
    <row r="47" spans="1:14" s="3" customFormat="1" ht="15.75" x14ac:dyDescent="0.2">
      <c r="A47" s="14" t="s">
        <v>23</v>
      </c>
      <c r="B47" s="309">
        <v>755498.07804999989</v>
      </c>
      <c r="C47" s="310">
        <v>734354.68797999993</v>
      </c>
      <c r="D47" s="372">
        <f t="shared" ref="D47:D58" si="13">IF(B47=0, "    ---- ", IF(ABS(ROUND(100/B47*C47-100,1))&lt;999,ROUND(100/B47*C47-100,1),IF(ROUND(100/B47*C47-100,1)&gt;999,999,-999)))</f>
        <v>-2.8</v>
      </c>
      <c r="E47" s="11">
        <f>IFERROR(100/'Skjema total MA'!C47*C47,0)</f>
        <v>16.967360248654437</v>
      </c>
      <c r="F47" s="145"/>
      <c r="G47" s="33"/>
      <c r="H47" s="159"/>
      <c r="I47" s="159"/>
      <c r="J47" s="37"/>
      <c r="K47" s="37"/>
      <c r="L47" s="159"/>
      <c r="M47" s="159"/>
      <c r="N47" s="148"/>
    </row>
    <row r="48" spans="1:14" s="3" customFormat="1" ht="15.75" x14ac:dyDescent="0.2">
      <c r="A48" s="38" t="s">
        <v>462</v>
      </c>
      <c r="B48" s="280">
        <v>98238.537970000005</v>
      </c>
      <c r="C48" s="281">
        <v>98695.161170000007</v>
      </c>
      <c r="D48" s="254">
        <f t="shared" si="13"/>
        <v>0.5</v>
      </c>
      <c r="E48" s="27">
        <f>IFERROR(100/'Skjema total MA'!C48*C48,0)</f>
        <v>4.1132676052311092</v>
      </c>
      <c r="F48" s="145"/>
      <c r="G48" s="33"/>
      <c r="H48" s="145"/>
      <c r="I48" s="145"/>
      <c r="J48" s="33"/>
      <c r="K48" s="33"/>
      <c r="L48" s="159"/>
      <c r="M48" s="159"/>
      <c r="N48" s="148"/>
    </row>
    <row r="49" spans="1:14" s="3" customFormat="1" ht="15.75" x14ac:dyDescent="0.2">
      <c r="A49" s="38" t="s">
        <v>463</v>
      </c>
      <c r="B49" s="44">
        <v>657259.54007999995</v>
      </c>
      <c r="C49" s="286">
        <v>635659.52680999995</v>
      </c>
      <c r="D49" s="254">
        <f>IF(B49=0, "    ---- ", IF(ABS(ROUND(100/B49*C49-100,1))&lt;999,ROUND(100/B49*C49-100,1),IF(ROUND(100/B49*C49-100,1)&gt;999,999,-999)))</f>
        <v>-3.3</v>
      </c>
      <c r="E49" s="27">
        <f>IFERROR(100/'Skjema total MA'!C49*C49,0)</f>
        <v>32.959485639508578</v>
      </c>
      <c r="F49" s="145"/>
      <c r="G49" s="33"/>
      <c r="H49" s="145"/>
      <c r="I49" s="145"/>
      <c r="J49" s="37"/>
      <c r="K49" s="37"/>
      <c r="L49" s="159"/>
      <c r="M49" s="159"/>
      <c r="N49" s="148"/>
    </row>
    <row r="50" spans="1:14" s="3" customFormat="1" x14ac:dyDescent="0.2">
      <c r="A50" s="295" t="s">
        <v>6</v>
      </c>
      <c r="B50" s="289"/>
      <c r="C50" s="290"/>
      <c r="D50" s="254"/>
      <c r="E50" s="23"/>
      <c r="F50" s="145"/>
      <c r="G50" s="33"/>
      <c r="H50" s="145"/>
      <c r="I50" s="145"/>
      <c r="J50" s="33"/>
      <c r="K50" s="33"/>
      <c r="L50" s="159"/>
      <c r="M50" s="159"/>
      <c r="N50" s="148"/>
    </row>
    <row r="51" spans="1:14" s="3" customFormat="1" x14ac:dyDescent="0.2">
      <c r="A51" s="295" t="s">
        <v>7</v>
      </c>
      <c r="B51" s="289">
        <v>449457.74112000002</v>
      </c>
      <c r="C51" s="290">
        <v>441020.5148</v>
      </c>
      <c r="D51" s="254">
        <f>IF(B51=0, "    ---- ", IF(ABS(ROUND(100/B51*C51-100,1))&lt;999,ROUND(100/B51*C51-100,1),IF(ROUND(100/B51*C51-100,1)&gt;999,999,-999)))</f>
        <v>-1.9</v>
      </c>
      <c r="E51" s="27">
        <f>IFERROR(100/'Skjema total MA'!C51*C51,0)</f>
        <v>26.503821185431331</v>
      </c>
      <c r="F51" s="145"/>
      <c r="G51" s="33"/>
      <c r="H51" s="145"/>
      <c r="I51" s="145"/>
      <c r="J51" s="33"/>
      <c r="K51" s="33"/>
      <c r="L51" s="159"/>
      <c r="M51" s="159"/>
      <c r="N51" s="148"/>
    </row>
    <row r="52" spans="1:14" s="3" customFormat="1" x14ac:dyDescent="0.2">
      <c r="A52" s="295" t="s">
        <v>8</v>
      </c>
      <c r="B52" s="289">
        <v>207801.79895999999</v>
      </c>
      <c r="C52" s="290">
        <v>194639.01201000001</v>
      </c>
      <c r="D52" s="254">
        <f>IF(B52=0, "    ---- ", IF(ABS(ROUND(100/B52*C52-100,1))&lt;999,ROUND(100/B52*C52-100,1),IF(ROUND(100/B52*C52-100,1)&gt;999,999,-999)))</f>
        <v>-6.3</v>
      </c>
      <c r="E52" s="27">
        <f>IFERROR(100/'Skjema total MA'!C52*C52,0)</f>
        <v>74.084929341231927</v>
      </c>
      <c r="F52" s="145"/>
      <c r="G52" s="33"/>
      <c r="H52" s="145"/>
      <c r="I52" s="145"/>
      <c r="J52" s="33"/>
      <c r="K52" s="33"/>
      <c r="L52" s="159"/>
      <c r="M52" s="159"/>
      <c r="N52" s="148"/>
    </row>
    <row r="53" spans="1:14" s="3" customFormat="1" ht="15.75" x14ac:dyDescent="0.2">
      <c r="A53" s="39" t="s">
        <v>464</v>
      </c>
      <c r="B53" s="309">
        <v>159.381</v>
      </c>
      <c r="C53" s="310">
        <v>499.81599999999997</v>
      </c>
      <c r="D53" s="254">
        <f>IF(B53=0, "    ---- ", IF(ABS(ROUND(100/B53*C53-100,1))&lt;999,ROUND(100/B53*C53-100,1),IF(ROUND(100/B53*C53-100,1)&gt;999,999,-999)))</f>
        <v>213.6</v>
      </c>
      <c r="E53" s="11">
        <f>IFERROR(100/'Skjema total MA'!C53*C53,0)</f>
        <v>0.21420079220042654</v>
      </c>
      <c r="F53" s="145"/>
      <c r="G53" s="33"/>
      <c r="H53" s="145"/>
      <c r="I53" s="145"/>
      <c r="J53" s="33"/>
      <c r="K53" s="33"/>
      <c r="L53" s="159"/>
      <c r="M53" s="159"/>
      <c r="N53" s="148"/>
    </row>
    <row r="54" spans="1:14" s="3" customFormat="1" ht="15.75" x14ac:dyDescent="0.2">
      <c r="A54" s="38" t="s">
        <v>462</v>
      </c>
      <c r="B54" s="280">
        <v>159.381</v>
      </c>
      <c r="C54" s="281">
        <v>499.81599999999997</v>
      </c>
      <c r="D54" s="254">
        <f>IF(B54=0, "    ---- ", IF(ABS(ROUND(100/B54*C54-100,1))&lt;999,ROUND(100/B54*C54-100,1),IF(ROUND(100/B54*C54-100,1)&gt;999,999,-999)))</f>
        <v>213.6</v>
      </c>
      <c r="E54" s="27">
        <f>IFERROR(100/'Skjema total MA'!C54*C54,0)</f>
        <v>0.36015129703674509</v>
      </c>
      <c r="F54" s="145"/>
      <c r="G54" s="33"/>
      <c r="H54" s="145"/>
      <c r="I54" s="145"/>
      <c r="J54" s="33"/>
      <c r="K54" s="33"/>
      <c r="L54" s="159"/>
      <c r="M54" s="159"/>
      <c r="N54" s="148"/>
    </row>
    <row r="55" spans="1:14" s="3" customFormat="1" ht="15.75" x14ac:dyDescent="0.2">
      <c r="A55" s="38" t="s">
        <v>463</v>
      </c>
      <c r="B55" s="280"/>
      <c r="C55" s="281"/>
      <c r="D55" s="254"/>
      <c r="E55" s="27"/>
      <c r="F55" s="145"/>
      <c r="G55" s="33"/>
      <c r="H55" s="145"/>
      <c r="I55" s="145"/>
      <c r="J55" s="33"/>
      <c r="K55" s="33"/>
      <c r="L55" s="159"/>
      <c r="M55" s="159"/>
      <c r="N55" s="148"/>
    </row>
    <row r="56" spans="1:14" s="3" customFormat="1" ht="15.75" x14ac:dyDescent="0.2">
      <c r="A56" s="39" t="s">
        <v>465</v>
      </c>
      <c r="B56" s="309">
        <v>3134.8409999999999</v>
      </c>
      <c r="C56" s="310">
        <v>7416.8610000000008</v>
      </c>
      <c r="D56" s="373">
        <f t="shared" si="13"/>
        <v>136.6</v>
      </c>
      <c r="E56" s="11">
        <f>IFERROR(100/'Skjema total MA'!C56*C56,0)</f>
        <v>3.9877112104453523</v>
      </c>
      <c r="F56" s="145"/>
      <c r="G56" s="33"/>
      <c r="H56" s="145"/>
      <c r="I56" s="145"/>
      <c r="J56" s="33"/>
      <c r="K56" s="33"/>
      <c r="L56" s="159"/>
      <c r="M56" s="159"/>
      <c r="N56" s="148"/>
    </row>
    <row r="57" spans="1:14" s="3" customFormat="1" ht="15.75" x14ac:dyDescent="0.2">
      <c r="A57" s="38" t="s">
        <v>462</v>
      </c>
      <c r="B57" s="280">
        <v>3134.8409999999999</v>
      </c>
      <c r="C57" s="281">
        <v>6862.9480000000003</v>
      </c>
      <c r="D57" s="254">
        <f t="shared" si="13"/>
        <v>118.9</v>
      </c>
      <c r="E57" s="27">
        <f>IFERROR(100/'Skjema total MA'!C57*C57,0)</f>
        <v>5.7483667118883881</v>
      </c>
      <c r="F57" s="145"/>
      <c r="G57" s="33"/>
      <c r="H57" s="145"/>
      <c r="I57" s="145"/>
      <c r="J57" s="33"/>
      <c r="K57" s="33"/>
      <c r="L57" s="159"/>
      <c r="M57" s="159"/>
      <c r="N57" s="148"/>
    </row>
    <row r="58" spans="1:14" s="3" customFormat="1" ht="15.75" x14ac:dyDescent="0.2">
      <c r="A58" s="46" t="s">
        <v>463</v>
      </c>
      <c r="B58" s="282">
        <v>0</v>
      </c>
      <c r="C58" s="283">
        <v>553.91300000000001</v>
      </c>
      <c r="D58" s="255" t="str">
        <f t="shared" si="13"/>
        <v xml:space="preserve">    ---- </v>
      </c>
      <c r="E58" s="22">
        <f>IFERROR(100/'Skjema total MA'!C58*C58,0)</f>
        <v>0.83165871917473533</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975"/>
      <c r="C62" s="975"/>
      <c r="D62" s="975"/>
      <c r="E62" s="298"/>
      <c r="F62" s="975"/>
      <c r="G62" s="975"/>
      <c r="H62" s="975"/>
      <c r="I62" s="298"/>
      <c r="J62" s="975"/>
      <c r="K62" s="975"/>
      <c r="L62" s="975"/>
      <c r="M62" s="298"/>
    </row>
    <row r="63" spans="1:14" x14ac:dyDescent="0.2">
      <c r="A63" s="144"/>
      <c r="B63" s="973" t="s">
        <v>0</v>
      </c>
      <c r="C63" s="974"/>
      <c r="D63" s="978"/>
      <c r="E63" s="299"/>
      <c r="F63" s="974" t="s">
        <v>1</v>
      </c>
      <c r="G63" s="974"/>
      <c r="H63" s="974"/>
      <c r="I63" s="303"/>
      <c r="J63" s="973" t="s">
        <v>2</v>
      </c>
      <c r="K63" s="974"/>
      <c r="L63" s="974"/>
      <c r="M63" s="303"/>
    </row>
    <row r="64" spans="1:14" x14ac:dyDescent="0.2">
      <c r="A64" s="140"/>
      <c r="B64" s="152" t="s">
        <v>492</v>
      </c>
      <c r="C64" s="152" t="s">
        <v>493</v>
      </c>
      <c r="D64" s="245" t="s">
        <v>3</v>
      </c>
      <c r="E64" s="304" t="s">
        <v>29</v>
      </c>
      <c r="F64" s="152" t="s">
        <v>492</v>
      </c>
      <c r="G64" s="152" t="s">
        <v>493</v>
      </c>
      <c r="H64" s="245" t="s">
        <v>3</v>
      </c>
      <c r="I64" s="304" t="s">
        <v>29</v>
      </c>
      <c r="J64" s="152" t="s">
        <v>492</v>
      </c>
      <c r="K64" s="152" t="s">
        <v>493</v>
      </c>
      <c r="L64" s="245" t="s">
        <v>3</v>
      </c>
      <c r="M64" s="162" t="s">
        <v>29</v>
      </c>
    </row>
    <row r="65" spans="1:14" x14ac:dyDescent="0.2">
      <c r="A65" s="947"/>
      <c r="B65" s="156"/>
      <c r="C65" s="156"/>
      <c r="D65" s="246" t="s">
        <v>4</v>
      </c>
      <c r="E65" s="156" t="s">
        <v>30</v>
      </c>
      <c r="F65" s="161"/>
      <c r="G65" s="161"/>
      <c r="H65" s="245" t="s">
        <v>4</v>
      </c>
      <c r="I65" s="156" t="s">
        <v>30</v>
      </c>
      <c r="J65" s="161"/>
      <c r="K65" s="206"/>
      <c r="L65" s="156" t="s">
        <v>4</v>
      </c>
      <c r="M65" s="156" t="s">
        <v>30</v>
      </c>
    </row>
    <row r="66" spans="1:14" ht="15.75" x14ac:dyDescent="0.2">
      <c r="A66" s="14" t="s">
        <v>23</v>
      </c>
      <c r="B66" s="352">
        <v>630665.17244999995</v>
      </c>
      <c r="C66" s="352">
        <v>702133.28372000006</v>
      </c>
      <c r="D66" s="349">
        <f t="shared" ref="D66:D111" si="14">IF(B66=0, "    ---- ", IF(ABS(ROUND(100/B66*C66-100,1))&lt;999,ROUND(100/B66*C66-100,1),IF(ROUND(100/B66*C66-100,1)&gt;999,999,-999)))</f>
        <v>11.3</v>
      </c>
      <c r="E66" s="11">
        <f>IFERROR(100/'Skjema total MA'!C66*C66,0)</f>
        <v>7.9706655811042957</v>
      </c>
      <c r="F66" s="351">
        <v>3316436.7946199998</v>
      </c>
      <c r="G66" s="351">
        <v>3747785.6501700003</v>
      </c>
      <c r="H66" s="349">
        <f t="shared" ref="H66:H111" si="15">IF(F66=0, "    ---- ", IF(ABS(ROUND(100/F66*G66-100,1))&lt;999,ROUND(100/F66*G66-100,1),IF(ROUND(100/F66*G66-100,1)&gt;999,999,-999)))</f>
        <v>13</v>
      </c>
      <c r="I66" s="11">
        <f>IFERROR(100/'Skjema total MA'!F66*G66,0)</f>
        <v>11.606784742479748</v>
      </c>
      <c r="J66" s="308">
        <f t="shared" ref="J66:K86" si="16">SUM(B66,F66)</f>
        <v>3947101.9670699998</v>
      </c>
      <c r="K66" s="315">
        <f t="shared" si="16"/>
        <v>4449918.93389</v>
      </c>
      <c r="L66" s="373">
        <f t="shared" ref="L66:L111" si="17">IF(J66=0, "    ---- ", IF(ABS(ROUND(100/J66*K66-100,1))&lt;999,ROUND(100/J66*K66-100,1),IF(ROUND(100/J66*K66-100,1)&gt;999,999,-999)))</f>
        <v>12.7</v>
      </c>
      <c r="M66" s="11">
        <f>IFERROR(100/'Skjema total MA'!I66*K66,0)</f>
        <v>10.827428020140568</v>
      </c>
    </row>
    <row r="67" spans="1:14" x14ac:dyDescent="0.2">
      <c r="A67" s="367" t="s">
        <v>9</v>
      </c>
      <c r="B67" s="44">
        <v>163797.12703</v>
      </c>
      <c r="C67" s="145">
        <v>165750.08832000001</v>
      </c>
      <c r="D67" s="166">
        <f t="shared" si="14"/>
        <v>1.2</v>
      </c>
      <c r="E67" s="27">
        <f>IFERROR(100/'Skjema total MA'!C67*C67,0)</f>
        <v>2.4982608615223922</v>
      </c>
      <c r="F67" s="234"/>
      <c r="G67" s="145"/>
      <c r="H67" s="166"/>
      <c r="I67" s="27"/>
      <c r="J67" s="286">
        <f t="shared" si="16"/>
        <v>163797.12703</v>
      </c>
      <c r="K67" s="44">
        <f t="shared" si="16"/>
        <v>165750.08832000001</v>
      </c>
      <c r="L67" s="254">
        <f t="shared" si="17"/>
        <v>1.2</v>
      </c>
      <c r="M67" s="27">
        <f>IFERROR(100/'Skjema total MA'!I67*K67,0)</f>
        <v>2.4982608615223922</v>
      </c>
    </row>
    <row r="68" spans="1:14" x14ac:dyDescent="0.2">
      <c r="A68" s="21" t="s">
        <v>10</v>
      </c>
      <c r="B68" s="291">
        <v>50746.272490000003</v>
      </c>
      <c r="C68" s="292">
        <v>46418.359680000001</v>
      </c>
      <c r="D68" s="166">
        <f t="shared" si="14"/>
        <v>-8.5</v>
      </c>
      <c r="E68" s="27">
        <f>IFERROR(100/'Skjema total MA'!C68*C68,0)</f>
        <v>31.792665443957272</v>
      </c>
      <c r="F68" s="291">
        <v>3091214.05847</v>
      </c>
      <c r="G68" s="292">
        <v>3499439.7366200001</v>
      </c>
      <c r="H68" s="166">
        <f t="shared" si="15"/>
        <v>13.2</v>
      </c>
      <c r="I68" s="27">
        <f>IFERROR(100/'Skjema total MA'!F68*G68,0)</f>
        <v>10.986568750419003</v>
      </c>
      <c r="J68" s="286">
        <f t="shared" si="16"/>
        <v>3141960.3309599999</v>
      </c>
      <c r="K68" s="44">
        <f t="shared" si="16"/>
        <v>3545858.0963000003</v>
      </c>
      <c r="L68" s="254">
        <f t="shared" si="17"/>
        <v>12.9</v>
      </c>
      <c r="M68" s="27">
        <f>IFERROR(100/'Skjema total MA'!I68*K68,0)</f>
        <v>11.08150473238185</v>
      </c>
    </row>
    <row r="69" spans="1:14" ht="15.75" x14ac:dyDescent="0.2">
      <c r="A69" s="295" t="s">
        <v>466</v>
      </c>
      <c r="B69" s="280"/>
      <c r="C69" s="280"/>
      <c r="D69" s="166"/>
      <c r="E69" s="365"/>
      <c r="F69" s="280"/>
      <c r="G69" s="280"/>
      <c r="H69" s="166"/>
      <c r="I69" s="365"/>
      <c r="J69" s="289"/>
      <c r="K69" s="289"/>
      <c r="L69" s="166"/>
      <c r="M69" s="23"/>
    </row>
    <row r="70" spans="1:14" x14ac:dyDescent="0.2">
      <c r="A70" s="295" t="s">
        <v>12</v>
      </c>
      <c r="B70" s="293"/>
      <c r="C70" s="294"/>
      <c r="D70" s="166"/>
      <c r="E70" s="365"/>
      <c r="F70" s="280"/>
      <c r="G70" s="280"/>
      <c r="H70" s="166"/>
      <c r="I70" s="365"/>
      <c r="J70" s="289"/>
      <c r="K70" s="289"/>
      <c r="L70" s="166"/>
      <c r="M70" s="23"/>
    </row>
    <row r="71" spans="1:14" x14ac:dyDescent="0.2">
      <c r="A71" s="295" t="s">
        <v>13</v>
      </c>
      <c r="B71" s="235"/>
      <c r="C71" s="288"/>
      <c r="D71" s="166"/>
      <c r="E71" s="365"/>
      <c r="F71" s="280"/>
      <c r="G71" s="280"/>
      <c r="H71" s="166"/>
      <c r="I71" s="365"/>
      <c r="J71" s="289"/>
      <c r="K71" s="289"/>
      <c r="L71" s="166"/>
      <c r="M71" s="23"/>
    </row>
    <row r="72" spans="1:14" ht="15.75" x14ac:dyDescent="0.2">
      <c r="A72" s="295" t="s">
        <v>467</v>
      </c>
      <c r="B72" s="280">
        <v>50746.272490000003</v>
      </c>
      <c r="C72" s="280">
        <v>46418.359680000001</v>
      </c>
      <c r="D72" s="166">
        <f t="shared" ref="D72" si="18">IF(B72=0, "    ---- ", IF(ABS(ROUND(100/B72*C72-100,1))&lt;999,ROUND(100/B72*C72-100,1),IF(ROUND(100/B72*C72-100,1)&gt;999,999,-999)))</f>
        <v>-8.5</v>
      </c>
      <c r="E72" s="27">
        <f>IFERROR(100/'Skjema total MA'!C72*C72,0)</f>
        <v>34.73352844594465</v>
      </c>
      <c r="F72" s="280">
        <v>3091214.05847</v>
      </c>
      <c r="G72" s="280">
        <v>3499439.7366200001</v>
      </c>
      <c r="H72" s="166">
        <f t="shared" ref="H72" si="19">IF(F72=0, "    ---- ", IF(ABS(ROUND(100/F72*G72-100,1))&lt;999,ROUND(100/F72*G72-100,1),IF(ROUND(100/F72*G72-100,1)&gt;999,999,-999)))</f>
        <v>13.2</v>
      </c>
      <c r="I72" s="365">
        <f>IFERROR(100/'Skjema total MA'!F72*G72,0)</f>
        <v>10.987927544477971</v>
      </c>
      <c r="J72" s="286">
        <f t="shared" ref="J72" si="20">SUM(B72,F72)</f>
        <v>3141960.3309599999</v>
      </c>
      <c r="K72" s="44">
        <f t="shared" ref="K72" si="21">SUM(C72,G72)</f>
        <v>3545858.0963000003</v>
      </c>
      <c r="L72" s="254">
        <f t="shared" ref="L72" si="22">IF(J72=0, "    ---- ", IF(ABS(ROUND(100/J72*K72-100,1))&lt;999,ROUND(100/J72*K72-100,1),IF(ROUND(100/J72*K72-100,1)&gt;999,999,-999)))</f>
        <v>12.9</v>
      </c>
      <c r="M72" s="23">
        <f>IFERROR(100/'Skjema total MA'!I72*K72,0)</f>
        <v>11.087152916505403</v>
      </c>
    </row>
    <row r="73" spans="1:14" x14ac:dyDescent="0.2">
      <c r="A73" s="295" t="s">
        <v>12</v>
      </c>
      <c r="B73" s="235"/>
      <c r="C73" s="288"/>
      <c r="D73" s="166"/>
      <c r="E73" s="365"/>
      <c r="F73" s="280"/>
      <c r="G73" s="280"/>
      <c r="H73" s="166"/>
      <c r="I73" s="365"/>
      <c r="J73" s="289"/>
      <c r="K73" s="289"/>
      <c r="L73" s="166"/>
      <c r="M73" s="23"/>
    </row>
    <row r="74" spans="1:14" s="3" customFormat="1" x14ac:dyDescent="0.2">
      <c r="A74" s="295" t="s">
        <v>13</v>
      </c>
      <c r="B74" s="235"/>
      <c r="C74" s="288"/>
      <c r="D74" s="166"/>
      <c r="E74" s="365"/>
      <c r="F74" s="280">
        <v>3091214.05847</v>
      </c>
      <c r="G74" s="280">
        <v>3499439.7366200001</v>
      </c>
      <c r="H74" s="166">
        <f t="shared" ref="H74" si="23">IF(F74=0, "    ---- ", IF(ABS(ROUND(100/F74*G74-100,1))&lt;999,ROUND(100/F74*G74-100,1),IF(ROUND(100/F74*G74-100,1)&gt;999,999,-999)))</f>
        <v>13.2</v>
      </c>
      <c r="I74" s="365">
        <f>IFERROR(100/'Skjema total MA'!F74*G74,0)</f>
        <v>10.991677453150038</v>
      </c>
      <c r="J74" s="286">
        <f t="shared" ref="J74" si="24">SUM(B74,F74)</f>
        <v>3091214.05847</v>
      </c>
      <c r="K74" s="44">
        <f t="shared" ref="K74" si="25">SUM(C74,G74)</f>
        <v>3499439.7366200001</v>
      </c>
      <c r="L74" s="254">
        <f t="shared" ref="L74" si="26">IF(J74=0, "    ---- ", IF(ABS(ROUND(100/J74*K74-100,1))&lt;999,ROUND(100/J74*K74-100,1),IF(ROUND(100/J74*K74-100,1)&gt;999,999,-999)))</f>
        <v>13.2</v>
      </c>
      <c r="M74" s="23">
        <f>IFERROR(100/'Skjema total MA'!I74*K74,0)</f>
        <v>10.991677453150038</v>
      </c>
      <c r="N74" s="148"/>
    </row>
    <row r="75" spans="1:14" s="3" customFormat="1" x14ac:dyDescent="0.2">
      <c r="A75" s="21" t="s">
        <v>353</v>
      </c>
      <c r="B75" s="234">
        <v>255317.08213</v>
      </c>
      <c r="C75" s="145">
        <v>307663.51377000002</v>
      </c>
      <c r="D75" s="166">
        <f t="shared" si="14"/>
        <v>20.5</v>
      </c>
      <c r="E75" s="27">
        <f>IFERROR(100/'Skjema total MA'!C75*C75,0)</f>
        <v>78.807387393597523</v>
      </c>
      <c r="F75" s="234">
        <v>225222.73615000001</v>
      </c>
      <c r="G75" s="145">
        <v>248345.91355</v>
      </c>
      <c r="H75" s="166">
        <f t="shared" si="15"/>
        <v>10.3</v>
      </c>
      <c r="I75" s="27">
        <f>IFERROR(100/'Skjema total MA'!F75*G75,0)</f>
        <v>56.747845833207052</v>
      </c>
      <c r="J75" s="286">
        <f t="shared" si="16"/>
        <v>480539.81828000001</v>
      </c>
      <c r="K75" s="44">
        <f t="shared" si="16"/>
        <v>556009.42732000002</v>
      </c>
      <c r="L75" s="254">
        <f t="shared" si="17"/>
        <v>15.7</v>
      </c>
      <c r="M75" s="27">
        <f>IFERROR(100/'Skjema total MA'!I75*K75,0)</f>
        <v>67.148473160563597</v>
      </c>
      <c r="N75" s="148"/>
    </row>
    <row r="76" spans="1:14" s="3" customFormat="1" x14ac:dyDescent="0.2">
      <c r="A76" s="21" t="s">
        <v>352</v>
      </c>
      <c r="B76" s="234">
        <v>160804.69080000001</v>
      </c>
      <c r="C76" s="145">
        <v>182301.32195000001</v>
      </c>
      <c r="D76" s="166">
        <f t="shared" ref="D76" si="27">IF(B76=0, "    ---- ", IF(ABS(ROUND(100/B76*C76-100,1))&lt;999,ROUND(100/B76*C76-100,1),IF(ROUND(100/B76*C76-100,1)&gt;999,999,-999)))</f>
        <v>13.4</v>
      </c>
      <c r="E76" s="27">
        <f>IFERROR(100/'Skjema total MA'!C77*C76,0)</f>
        <v>2.7438247258348158</v>
      </c>
      <c r="F76" s="234"/>
      <c r="G76" s="145"/>
      <c r="H76" s="166"/>
      <c r="I76" s="27"/>
      <c r="J76" s="286">
        <f t="shared" ref="J76" si="28">SUM(B76,F76)</f>
        <v>160804.69080000001</v>
      </c>
      <c r="K76" s="44">
        <f t="shared" ref="K76" si="29">SUM(C76,G76)</f>
        <v>182301.32195000001</v>
      </c>
      <c r="L76" s="254">
        <f t="shared" ref="L76" si="30">IF(J76=0, "    ---- ", IF(ABS(ROUND(100/J76*K76-100,1))&lt;999,ROUND(100/J76*K76-100,1),IF(ROUND(100/J76*K76-100,1)&gt;999,999,-999)))</f>
        <v>13.4</v>
      </c>
      <c r="M76" s="27">
        <f>IFERROR(100/'Skjema total MA'!I77*K76,0)</f>
        <v>0.473725355212333</v>
      </c>
      <c r="N76" s="148"/>
    </row>
    <row r="77" spans="1:14" ht="15.75" x14ac:dyDescent="0.2">
      <c r="A77" s="21" t="s">
        <v>468</v>
      </c>
      <c r="B77" s="234">
        <v>214543.39952000001</v>
      </c>
      <c r="C77" s="234">
        <v>212168.448</v>
      </c>
      <c r="D77" s="166">
        <f t="shared" si="14"/>
        <v>-1.1000000000000001</v>
      </c>
      <c r="E77" s="27">
        <f>IFERROR(100/'Skjema total MA'!C77*C77,0)</f>
        <v>3.1933560735454578</v>
      </c>
      <c r="F77" s="234">
        <v>3082714.9722000002</v>
      </c>
      <c r="G77" s="145">
        <v>3489831.0570899998</v>
      </c>
      <c r="H77" s="166">
        <f t="shared" si="15"/>
        <v>13.2</v>
      </c>
      <c r="I77" s="27">
        <f>IFERROR(100/'Skjema total MA'!F77*G77,0)</f>
        <v>10.961063974876962</v>
      </c>
      <c r="J77" s="286">
        <f t="shared" si="16"/>
        <v>3297258.3717200002</v>
      </c>
      <c r="K77" s="44">
        <f t="shared" si="16"/>
        <v>3701999.5050899996</v>
      </c>
      <c r="L77" s="254">
        <f t="shared" si="17"/>
        <v>12.3</v>
      </c>
      <c r="M77" s="27">
        <f>IFERROR(100/'Skjema total MA'!I77*K77,0)</f>
        <v>9.619957835663083</v>
      </c>
    </row>
    <row r="78" spans="1:14" x14ac:dyDescent="0.2">
      <c r="A78" s="21" t="s">
        <v>9</v>
      </c>
      <c r="B78" s="234">
        <v>163797.12703</v>
      </c>
      <c r="C78" s="145">
        <v>165750.08832000001</v>
      </c>
      <c r="D78" s="166">
        <f t="shared" si="14"/>
        <v>1.2</v>
      </c>
      <c r="E78" s="27">
        <f>IFERROR(100/'Skjema total MA'!C78*C78,0)</f>
        <v>2.5492169501109876</v>
      </c>
      <c r="F78" s="234"/>
      <c r="G78" s="145"/>
      <c r="H78" s="166"/>
      <c r="I78" s="27"/>
      <c r="J78" s="286">
        <f t="shared" si="16"/>
        <v>163797.12703</v>
      </c>
      <c r="K78" s="44">
        <f t="shared" si="16"/>
        <v>165750.08832000001</v>
      </c>
      <c r="L78" s="254">
        <f t="shared" si="17"/>
        <v>1.2</v>
      </c>
      <c r="M78" s="27">
        <f>IFERROR(100/'Skjema total MA'!I78*K78,0)</f>
        <v>2.5492169501109876</v>
      </c>
    </row>
    <row r="79" spans="1:14" x14ac:dyDescent="0.2">
      <c r="A79" s="21" t="s">
        <v>10</v>
      </c>
      <c r="B79" s="291">
        <v>50746.272490000003</v>
      </c>
      <c r="C79" s="292">
        <v>46418.359680000001</v>
      </c>
      <c r="D79" s="166">
        <f t="shared" si="14"/>
        <v>-8.5</v>
      </c>
      <c r="E79" s="27">
        <f>IFERROR(100/'Skjema total MA'!C79*C79,0)</f>
        <v>32.675527358363098</v>
      </c>
      <c r="F79" s="291">
        <v>3082714.9722000002</v>
      </c>
      <c r="G79" s="292">
        <v>3489831.0570899998</v>
      </c>
      <c r="H79" s="166">
        <f t="shared" si="15"/>
        <v>13.2</v>
      </c>
      <c r="I79" s="27">
        <f>IFERROR(100/'Skjema total MA'!F79*G79,0)</f>
        <v>10.961063974876962</v>
      </c>
      <c r="J79" s="286">
        <f t="shared" si="16"/>
        <v>3133461.2446900001</v>
      </c>
      <c r="K79" s="44">
        <f t="shared" si="16"/>
        <v>3536249.41677</v>
      </c>
      <c r="L79" s="254">
        <f t="shared" si="17"/>
        <v>12.9</v>
      </c>
      <c r="M79" s="27">
        <f>IFERROR(100/'Skjema total MA'!I79*K79,0)</f>
        <v>11.057520396346698</v>
      </c>
    </row>
    <row r="80" spans="1:14" ht="15.75" x14ac:dyDescent="0.2">
      <c r="A80" s="295" t="s">
        <v>466</v>
      </c>
      <c r="B80" s="280"/>
      <c r="C80" s="280"/>
      <c r="D80" s="166"/>
      <c r="E80" s="365"/>
      <c r="F80" s="280"/>
      <c r="G80" s="280"/>
      <c r="H80" s="166"/>
      <c r="I80" s="365"/>
      <c r="J80" s="289"/>
      <c r="K80" s="289"/>
      <c r="L80" s="166"/>
      <c r="M80" s="23"/>
    </row>
    <row r="81" spans="1:13" x14ac:dyDescent="0.2">
      <c r="A81" s="295" t="s">
        <v>12</v>
      </c>
      <c r="B81" s="235"/>
      <c r="C81" s="288"/>
      <c r="D81" s="166"/>
      <c r="E81" s="365"/>
      <c r="F81" s="280"/>
      <c r="G81" s="280"/>
      <c r="H81" s="166"/>
      <c r="I81" s="365"/>
      <c r="J81" s="289"/>
      <c r="K81" s="289"/>
      <c r="L81" s="166"/>
      <c r="M81" s="23"/>
    </row>
    <row r="82" spans="1:13" x14ac:dyDescent="0.2">
      <c r="A82" s="295" t="s">
        <v>13</v>
      </c>
      <c r="B82" s="235"/>
      <c r="C82" s="288"/>
      <c r="D82" s="166"/>
      <c r="E82" s="365"/>
      <c r="F82" s="280"/>
      <c r="G82" s="280"/>
      <c r="H82" s="166"/>
      <c r="I82" s="365"/>
      <c r="J82" s="289"/>
      <c r="K82" s="289"/>
      <c r="L82" s="166"/>
      <c r="M82" s="23"/>
    </row>
    <row r="83" spans="1:13" ht="15.75" x14ac:dyDescent="0.2">
      <c r="A83" s="295" t="s">
        <v>467</v>
      </c>
      <c r="B83" s="280">
        <v>50746.272490000003</v>
      </c>
      <c r="C83" s="280">
        <v>46418.359680000001</v>
      </c>
      <c r="D83" s="166">
        <f t="shared" ref="D83" si="31">IF(B83=0, "    ---- ", IF(ABS(ROUND(100/B83*C83-100,1))&lt;999,ROUND(100/B83*C83-100,1),IF(ROUND(100/B83*C83-100,1)&gt;999,999,-999)))</f>
        <v>-8.5</v>
      </c>
      <c r="E83" s="27">
        <f>IFERROR(100/'Skjema total MA'!C83*C83,0)</f>
        <v>32.675527358363098</v>
      </c>
      <c r="F83" s="280">
        <v>3082714.9722000002</v>
      </c>
      <c r="G83" s="280">
        <v>3489831.0570899998</v>
      </c>
      <c r="H83" s="166">
        <f t="shared" ref="H83:H85" si="32">IF(F83=0, "    ---- ", IF(ABS(ROUND(100/F83*G83-100,1))&lt;999,ROUND(100/F83*G83-100,1),IF(ROUND(100/F83*G83-100,1)&gt;999,999,-999)))</f>
        <v>13.2</v>
      </c>
      <c r="I83" s="365">
        <f>IFERROR(100/'Skjema total MA'!F83*G83,0)</f>
        <v>10.961063974876962</v>
      </c>
      <c r="J83" s="286">
        <f t="shared" ref="J83" si="33">SUM(B83,F83)</f>
        <v>3133461.2446900001</v>
      </c>
      <c r="K83" s="44">
        <f t="shared" ref="K83" si="34">SUM(C83,G83)</f>
        <v>3536249.41677</v>
      </c>
      <c r="L83" s="254">
        <f t="shared" ref="L83" si="35">IF(J83=0, "    ---- ", IF(ABS(ROUND(100/J83*K83-100,1))&lt;999,ROUND(100/J83*K83-100,1),IF(ROUND(100/J83*K83-100,1)&gt;999,999,-999)))</f>
        <v>12.9</v>
      </c>
      <c r="M83" s="23">
        <f>IFERROR(100/'Skjema total MA'!I83*K83,0)</f>
        <v>11.057520396346698</v>
      </c>
    </row>
    <row r="84" spans="1:13" x14ac:dyDescent="0.2">
      <c r="A84" s="295" t="s">
        <v>12</v>
      </c>
      <c r="B84" s="235"/>
      <c r="C84" s="288"/>
      <c r="D84" s="166"/>
      <c r="E84" s="365"/>
      <c r="F84" s="280"/>
      <c r="G84" s="280"/>
      <c r="H84" s="166"/>
      <c r="I84" s="365"/>
      <c r="J84" s="289"/>
      <c r="K84" s="289"/>
      <c r="L84" s="166"/>
      <c r="M84" s="23"/>
    </row>
    <row r="85" spans="1:13" x14ac:dyDescent="0.2">
      <c r="A85" s="295" t="s">
        <v>13</v>
      </c>
      <c r="B85" s="235"/>
      <c r="C85" s="288"/>
      <c r="D85" s="166"/>
      <c r="E85" s="365"/>
      <c r="F85" s="280">
        <v>3082714.9722000002</v>
      </c>
      <c r="G85" s="280">
        <v>3489831.0570899998</v>
      </c>
      <c r="H85" s="166">
        <f t="shared" si="32"/>
        <v>13.2</v>
      </c>
      <c r="I85" s="365">
        <f>IFERROR(100/'Skjema total MA'!F85*G85,0)</f>
        <v>10.964805844938709</v>
      </c>
      <c r="J85" s="286">
        <f t="shared" ref="J85" si="36">SUM(B85,F85)</f>
        <v>3082714.9722000002</v>
      </c>
      <c r="K85" s="44">
        <f t="shared" ref="K85" si="37">SUM(C85,G85)</f>
        <v>3489831.0570899998</v>
      </c>
      <c r="L85" s="254">
        <f t="shared" ref="L85" si="38">IF(J85=0, "    ---- ", IF(ABS(ROUND(100/J85*K85-100,1))&lt;999,ROUND(100/J85*K85-100,1),IF(ROUND(100/J85*K85-100,1)&gt;999,999,-999)))</f>
        <v>13.2</v>
      </c>
      <c r="M85" s="23">
        <f>IFERROR(100/'Skjema total MA'!I85*K85,0)</f>
        <v>10.964805844938709</v>
      </c>
    </row>
    <row r="86" spans="1:13" ht="15.75" x14ac:dyDescent="0.2">
      <c r="A86" s="21" t="s">
        <v>469</v>
      </c>
      <c r="B86" s="234"/>
      <c r="C86" s="145"/>
      <c r="D86" s="166"/>
      <c r="E86" s="27"/>
      <c r="F86" s="234">
        <v>8499.0862699999998</v>
      </c>
      <c r="G86" s="145">
        <v>9608.6795299999994</v>
      </c>
      <c r="H86" s="166">
        <f t="shared" si="15"/>
        <v>13.1</v>
      </c>
      <c r="I86" s="27">
        <f>IFERROR(100/'Skjema total MA'!F86*G86,0)</f>
        <v>70.92546505632437</v>
      </c>
      <c r="J86" s="286">
        <f t="shared" si="16"/>
        <v>8499.0862699999998</v>
      </c>
      <c r="K86" s="44">
        <f t="shared" si="16"/>
        <v>9608.6795299999994</v>
      </c>
      <c r="L86" s="254">
        <f t="shared" si="17"/>
        <v>13.1</v>
      </c>
      <c r="M86" s="27">
        <f>IFERROR(100/'Skjema total MA'!I86*K86,0)</f>
        <v>6.4010367614393475</v>
      </c>
    </row>
    <row r="87" spans="1:13" ht="15.75" x14ac:dyDescent="0.2">
      <c r="A87" s="13" t="s">
        <v>451</v>
      </c>
      <c r="B87" s="352">
        <v>13635008.73048</v>
      </c>
      <c r="C87" s="352">
        <v>15607433.105380001</v>
      </c>
      <c r="D87" s="171">
        <f t="shared" si="14"/>
        <v>14.5</v>
      </c>
      <c r="E87" s="11">
        <f>IFERROR(100/'Skjema total MA'!C87*C87,0)</f>
        <v>3.9812354426135181</v>
      </c>
      <c r="F87" s="351">
        <v>23408709.932970002</v>
      </c>
      <c r="G87" s="351">
        <v>30539625.526970003</v>
      </c>
      <c r="H87" s="171">
        <f t="shared" si="15"/>
        <v>30.5</v>
      </c>
      <c r="I87" s="11">
        <f>IFERROR(100/'Skjema total MA'!F87*G87,0)</f>
        <v>9.7077717840711895</v>
      </c>
      <c r="J87" s="308">
        <f t="shared" ref="J87:K111" si="39">SUM(B87,F87)</f>
        <v>37043718.663450003</v>
      </c>
      <c r="K87" s="236">
        <f t="shared" si="39"/>
        <v>46147058.632350005</v>
      </c>
      <c r="L87" s="373">
        <f t="shared" si="17"/>
        <v>24.6</v>
      </c>
      <c r="M87" s="11">
        <f>IFERROR(100/'Skjema total MA'!I87*K87,0)</f>
        <v>6.5307279361991917</v>
      </c>
    </row>
    <row r="88" spans="1:13" x14ac:dyDescent="0.2">
      <c r="A88" s="21" t="s">
        <v>9</v>
      </c>
      <c r="B88" s="234">
        <v>11117222.024879999</v>
      </c>
      <c r="C88" s="145">
        <v>12206955.447620001</v>
      </c>
      <c r="D88" s="166">
        <f t="shared" si="14"/>
        <v>9.8000000000000007</v>
      </c>
      <c r="E88" s="27">
        <f>IFERROR(100/'Skjema total MA'!C88*C88,0)</f>
        <v>3.193487334259157</v>
      </c>
      <c r="F88" s="234"/>
      <c r="G88" s="145"/>
      <c r="H88" s="166"/>
      <c r="I88" s="27"/>
      <c r="J88" s="286">
        <f t="shared" si="39"/>
        <v>11117222.024879999</v>
      </c>
      <c r="K88" s="44">
        <f t="shared" si="39"/>
        <v>12206955.447620001</v>
      </c>
      <c r="L88" s="254">
        <f t="shared" si="17"/>
        <v>9.8000000000000007</v>
      </c>
      <c r="M88" s="27">
        <f>IFERROR(100/'Skjema total MA'!I88*K88,0)</f>
        <v>3.193487334259157</v>
      </c>
    </row>
    <row r="89" spans="1:13" x14ac:dyDescent="0.2">
      <c r="A89" s="21" t="s">
        <v>10</v>
      </c>
      <c r="B89" s="234">
        <v>1321415.5305399999</v>
      </c>
      <c r="C89" s="145">
        <v>1516913.70585</v>
      </c>
      <c r="D89" s="166">
        <f t="shared" si="14"/>
        <v>14.8</v>
      </c>
      <c r="E89" s="27">
        <f>IFERROR(100/'Skjema total MA'!C89*C89,0)</f>
        <v>50.843047057108635</v>
      </c>
      <c r="F89" s="234">
        <v>22801529.617710002</v>
      </c>
      <c r="G89" s="145">
        <v>29575631.747000001</v>
      </c>
      <c r="H89" s="166">
        <f t="shared" si="15"/>
        <v>29.7</v>
      </c>
      <c r="I89" s="27">
        <f>IFERROR(100/'Skjema total MA'!F89*G89,0)</f>
        <v>9.4487310068094814</v>
      </c>
      <c r="J89" s="286">
        <f t="shared" si="39"/>
        <v>24122945.148250002</v>
      </c>
      <c r="K89" s="44">
        <f t="shared" si="39"/>
        <v>31092545.452850003</v>
      </c>
      <c r="L89" s="254">
        <f t="shared" si="17"/>
        <v>28.9</v>
      </c>
      <c r="M89" s="27">
        <f>IFERROR(100/'Skjema total MA'!I89*K89,0)</f>
        <v>9.8395624768242094</v>
      </c>
    </row>
    <row r="90" spans="1:13" ht="15.75" x14ac:dyDescent="0.2">
      <c r="A90" s="295" t="s">
        <v>466</v>
      </c>
      <c r="B90" s="280"/>
      <c r="C90" s="280"/>
      <c r="D90" s="166"/>
      <c r="E90" s="365"/>
      <c r="F90" s="280"/>
      <c r="G90" s="280"/>
      <c r="H90" s="166"/>
      <c r="I90" s="365"/>
      <c r="J90" s="289"/>
      <c r="K90" s="289"/>
      <c r="L90" s="166"/>
      <c r="M90" s="23"/>
    </row>
    <row r="91" spans="1:13" x14ac:dyDescent="0.2">
      <c r="A91" s="295" t="s">
        <v>12</v>
      </c>
      <c r="B91" s="235"/>
      <c r="C91" s="288"/>
      <c r="D91" s="166"/>
      <c r="E91" s="365"/>
      <c r="F91" s="280"/>
      <c r="G91" s="280"/>
      <c r="H91" s="166"/>
      <c r="I91" s="365"/>
      <c r="J91" s="289"/>
      <c r="K91" s="289"/>
      <c r="L91" s="166"/>
      <c r="M91" s="23"/>
    </row>
    <row r="92" spans="1:13" x14ac:dyDescent="0.2">
      <c r="A92" s="295" t="s">
        <v>13</v>
      </c>
      <c r="B92" s="235"/>
      <c r="C92" s="288"/>
      <c r="D92" s="166"/>
      <c r="E92" s="365"/>
      <c r="F92" s="280"/>
      <c r="G92" s="280"/>
      <c r="H92" s="166"/>
      <c r="I92" s="365"/>
      <c r="J92" s="289"/>
      <c r="K92" s="289"/>
      <c r="L92" s="166"/>
      <c r="M92" s="23"/>
    </row>
    <row r="93" spans="1:13" ht="15.75" x14ac:dyDescent="0.2">
      <c r="A93" s="295" t="s">
        <v>467</v>
      </c>
      <c r="B93" s="280">
        <v>1321415.5305399999</v>
      </c>
      <c r="C93" s="280">
        <v>1516913.70585</v>
      </c>
      <c r="D93" s="166">
        <f t="shared" ref="D93" si="40">IF(B93=0, "    ---- ", IF(ABS(ROUND(100/B93*C93-100,1))&lt;999,ROUND(100/B93*C93-100,1),IF(ROUND(100/B93*C93-100,1)&gt;999,999,-999)))</f>
        <v>14.8</v>
      </c>
      <c r="E93" s="27">
        <f>IFERROR(100/'Skjema total MA'!C93*C93,0)</f>
        <v>50.843047057108635</v>
      </c>
      <c r="F93" s="280">
        <v>22801529.617710002</v>
      </c>
      <c r="G93" s="280">
        <v>29575631.747000001</v>
      </c>
      <c r="H93" s="166">
        <f t="shared" ref="H93" si="41">IF(F93=0, "    ---- ", IF(ABS(ROUND(100/F93*G93-100,1))&lt;999,ROUND(100/F93*G93-100,1),IF(ROUND(100/F93*G93-100,1)&gt;999,999,-999)))</f>
        <v>29.7</v>
      </c>
      <c r="I93" s="365">
        <f>IFERROR(100/'Skjema total MA'!F93*G93,0)</f>
        <v>9.4524325902761142</v>
      </c>
      <c r="J93" s="286">
        <f t="shared" ref="J93" si="42">SUM(B93,F93)</f>
        <v>24122945.148250002</v>
      </c>
      <c r="K93" s="44">
        <f t="shared" ref="K93" si="43">SUM(C93,G93)</f>
        <v>31092545.452850003</v>
      </c>
      <c r="L93" s="254">
        <f t="shared" ref="L93" si="44">IF(J93=0, "    ---- ", IF(ABS(ROUND(100/J93*K93-100,1))&lt;999,ROUND(100/J93*K93-100,1),IF(ROUND(100/J93*K93-100,1)&gt;999,999,-999)))</f>
        <v>28.9</v>
      </c>
      <c r="M93" s="23">
        <f>IFERROR(100/'Skjema total MA'!I93*K93,0)</f>
        <v>9.8433807614350499</v>
      </c>
    </row>
    <row r="94" spans="1:13" x14ac:dyDescent="0.2">
      <c r="A94" s="295" t="s">
        <v>12</v>
      </c>
      <c r="B94" s="235"/>
      <c r="C94" s="288"/>
      <c r="D94" s="166"/>
      <c r="E94" s="365"/>
      <c r="F94" s="280"/>
      <c r="G94" s="280"/>
      <c r="H94" s="166"/>
      <c r="I94" s="365"/>
      <c r="J94" s="289"/>
      <c r="K94" s="289"/>
      <c r="L94" s="166"/>
      <c r="M94" s="23"/>
    </row>
    <row r="95" spans="1:13" x14ac:dyDescent="0.2">
      <c r="A95" s="295" t="s">
        <v>13</v>
      </c>
      <c r="B95" s="235"/>
      <c r="C95" s="288"/>
      <c r="D95" s="166"/>
      <c r="E95" s="365"/>
      <c r="F95" s="280">
        <v>22801529.617710002</v>
      </c>
      <c r="G95" s="280">
        <v>29575631.747000001</v>
      </c>
      <c r="H95" s="166">
        <f t="shared" ref="H95" si="45">IF(F95=0, "    ---- ", IF(ABS(ROUND(100/F95*G95-100,1))&lt;999,ROUND(100/F95*G95-100,1),IF(ROUND(100/F95*G95-100,1)&gt;999,999,-999)))</f>
        <v>29.7</v>
      </c>
      <c r="I95" s="365">
        <f>IFERROR(100/'Skjema total MA'!F95*G95,0)</f>
        <v>9.4756881690144912</v>
      </c>
      <c r="J95" s="286">
        <f t="shared" ref="J95" si="46">SUM(B95,F95)</f>
        <v>22801529.617710002</v>
      </c>
      <c r="K95" s="44">
        <f t="shared" ref="K95" si="47">SUM(C95,G95)</f>
        <v>29575631.747000001</v>
      </c>
      <c r="L95" s="254">
        <f t="shared" ref="L95" si="48">IF(J95=0, "    ---- ", IF(ABS(ROUND(100/J95*K95-100,1))&lt;999,ROUND(100/J95*K95-100,1),IF(ROUND(100/J95*K95-100,1)&gt;999,999,-999)))</f>
        <v>29.7</v>
      </c>
      <c r="M95" s="23">
        <f>IFERROR(100/'Skjema total MA'!I95*K95,0)</f>
        <v>9.4756881690144912</v>
      </c>
    </row>
    <row r="96" spans="1:13" x14ac:dyDescent="0.2">
      <c r="A96" s="21" t="s">
        <v>351</v>
      </c>
      <c r="B96" s="234">
        <v>716339.66483999998</v>
      </c>
      <c r="C96" s="145">
        <v>1152940.8347700001</v>
      </c>
      <c r="D96" s="166">
        <f t="shared" si="14"/>
        <v>60.9</v>
      </c>
      <c r="E96" s="27">
        <f>IFERROR(100/'Skjema total MA'!C96*C96,0)</f>
        <v>82.23713916767808</v>
      </c>
      <c r="F96" s="234">
        <v>607180.31525999994</v>
      </c>
      <c r="G96" s="145">
        <v>963993.77997000003</v>
      </c>
      <c r="H96" s="166">
        <f t="shared" si="15"/>
        <v>58.8</v>
      </c>
      <c r="I96" s="27">
        <f>IFERROR(100/'Skjema total MA'!F96*G96,0)</f>
        <v>61.098666849247827</v>
      </c>
      <c r="J96" s="286">
        <f t="shared" si="39"/>
        <v>1323519.9800999998</v>
      </c>
      <c r="K96" s="44">
        <f t="shared" si="39"/>
        <v>2116934.6147400001</v>
      </c>
      <c r="L96" s="254">
        <f t="shared" si="17"/>
        <v>59.9</v>
      </c>
      <c r="M96" s="27">
        <f>IFERROR(100/'Skjema total MA'!I96*K96,0)</f>
        <v>71.04435283525396</v>
      </c>
    </row>
    <row r="97" spans="1:13" x14ac:dyDescent="0.2">
      <c r="A97" s="21" t="s">
        <v>350</v>
      </c>
      <c r="B97" s="234">
        <v>480031.51022</v>
      </c>
      <c r="C97" s="145">
        <v>730623.11713999999</v>
      </c>
      <c r="D97" s="166">
        <f t="shared" ref="D97" si="49">IF(B97=0, "    ---- ", IF(ABS(ROUND(100/B97*C97-100,1))&lt;999,ROUND(100/B97*C97-100,1),IF(ROUND(100/B97*C97-100,1)&gt;999,999,-999)))</f>
        <v>52.2</v>
      </c>
      <c r="E97" s="27">
        <f>IFERROR(100/'Skjema total MA'!C98*C97,0)</f>
        <v>0.19194864840912632</v>
      </c>
      <c r="F97" s="234"/>
      <c r="G97" s="145"/>
      <c r="H97" s="166"/>
      <c r="I97" s="27"/>
      <c r="J97" s="286">
        <f t="shared" ref="J97" si="50">SUM(B97,F97)</f>
        <v>480031.51022</v>
      </c>
      <c r="K97" s="44">
        <f t="shared" ref="K97" si="51">SUM(C97,G97)</f>
        <v>730623.11713999999</v>
      </c>
      <c r="L97" s="254">
        <f t="shared" ref="L97" si="52">IF(J97=0, "    ---- ", IF(ABS(ROUND(100/J97*K97-100,1))&lt;999,ROUND(100/J97*K97-100,1),IF(ROUND(100/J97*K97-100,1)&gt;999,999,-999)))</f>
        <v>52.2</v>
      </c>
      <c r="M97" s="27">
        <f>IFERROR(100/'Skjema total MA'!I98*K97,0)</f>
        <v>0.10546479911129093</v>
      </c>
    </row>
    <row r="98" spans="1:13" ht="15.75" x14ac:dyDescent="0.2">
      <c r="A98" s="21" t="s">
        <v>468</v>
      </c>
      <c r="B98" s="234">
        <v>12438637.55542</v>
      </c>
      <c r="C98" s="234">
        <v>13723869.15347</v>
      </c>
      <c r="D98" s="166">
        <f t="shared" si="14"/>
        <v>10.3</v>
      </c>
      <c r="E98" s="27">
        <f>IFERROR(100/'Skjema total MA'!C98*C98,0)</f>
        <v>3.6055225644434321</v>
      </c>
      <c r="F98" s="291">
        <v>22738011.11045</v>
      </c>
      <c r="G98" s="291">
        <v>29476636.65405</v>
      </c>
      <c r="H98" s="166">
        <f t="shared" si="15"/>
        <v>29.6</v>
      </c>
      <c r="I98" s="27">
        <f>IFERROR(100/'Skjema total MA'!F98*G98,0)</f>
        <v>9.443698115457968</v>
      </c>
      <c r="J98" s="286">
        <f t="shared" si="39"/>
        <v>35176648.665869996</v>
      </c>
      <c r="K98" s="44">
        <f t="shared" si="39"/>
        <v>43200505.807520002</v>
      </c>
      <c r="L98" s="254">
        <f t="shared" si="17"/>
        <v>22.8</v>
      </c>
      <c r="M98" s="27">
        <f>IFERROR(100/'Skjema total MA'!I98*K98,0)</f>
        <v>6.2359547071697987</v>
      </c>
    </row>
    <row r="99" spans="1:13" x14ac:dyDescent="0.2">
      <c r="A99" s="21" t="s">
        <v>9</v>
      </c>
      <c r="B99" s="291">
        <v>11117222.024879999</v>
      </c>
      <c r="C99" s="292">
        <v>12206955.447620001</v>
      </c>
      <c r="D99" s="166">
        <f t="shared" si="14"/>
        <v>9.8000000000000007</v>
      </c>
      <c r="E99" s="27">
        <f>IFERROR(100/'Skjema total MA'!C99*C99,0)</f>
        <v>3.2323363300612984</v>
      </c>
      <c r="F99" s="234"/>
      <c r="G99" s="145"/>
      <c r="H99" s="166"/>
      <c r="I99" s="27"/>
      <c r="J99" s="286">
        <f t="shared" si="39"/>
        <v>11117222.024879999</v>
      </c>
      <c r="K99" s="44">
        <f t="shared" si="39"/>
        <v>12206955.447620001</v>
      </c>
      <c r="L99" s="254">
        <f t="shared" si="17"/>
        <v>9.8000000000000007</v>
      </c>
      <c r="M99" s="27">
        <f>IFERROR(100/'Skjema total MA'!I99*K99,0)</f>
        <v>3.2323363300612984</v>
      </c>
    </row>
    <row r="100" spans="1:13" x14ac:dyDescent="0.2">
      <c r="A100" s="21" t="s">
        <v>10</v>
      </c>
      <c r="B100" s="291">
        <v>1321415.5305399999</v>
      </c>
      <c r="C100" s="292">
        <v>1516913.70585</v>
      </c>
      <c r="D100" s="166">
        <f t="shared" si="14"/>
        <v>14.8</v>
      </c>
      <c r="E100" s="27">
        <f>IFERROR(100/'Skjema total MA'!C100*C100,0)</f>
        <v>50.843041535733846</v>
      </c>
      <c r="F100" s="234">
        <v>22738011.11045</v>
      </c>
      <c r="G100" s="234">
        <v>29476636.65405</v>
      </c>
      <c r="H100" s="166">
        <f t="shared" si="15"/>
        <v>29.6</v>
      </c>
      <c r="I100" s="27">
        <f>IFERROR(100/'Skjema total MA'!F100*G100,0)</f>
        <v>9.443698115457968</v>
      </c>
      <c r="J100" s="286">
        <f t="shared" si="39"/>
        <v>24059426.64099</v>
      </c>
      <c r="K100" s="44">
        <f t="shared" si="39"/>
        <v>30993550.359900001</v>
      </c>
      <c r="L100" s="254">
        <f t="shared" si="17"/>
        <v>28.8</v>
      </c>
      <c r="M100" s="27">
        <f>IFERROR(100/'Skjema total MA'!I100*K100,0)</f>
        <v>9.8356704791246674</v>
      </c>
    </row>
    <row r="101" spans="1:13" ht="15.75" x14ac:dyDescent="0.2">
      <c r="A101" s="295" t="s">
        <v>466</v>
      </c>
      <c r="B101" s="280"/>
      <c r="C101" s="280"/>
      <c r="D101" s="166"/>
      <c r="E101" s="365"/>
      <c r="F101" s="280"/>
      <c r="G101" s="280"/>
      <c r="H101" s="166"/>
      <c r="I101" s="365"/>
      <c r="J101" s="289"/>
      <c r="K101" s="289"/>
      <c r="L101" s="166"/>
      <c r="M101" s="23"/>
    </row>
    <row r="102" spans="1:13" x14ac:dyDescent="0.2">
      <c r="A102" s="295" t="s">
        <v>12</v>
      </c>
      <c r="B102" s="235"/>
      <c r="C102" s="288"/>
      <c r="D102" s="166"/>
      <c r="E102" s="365"/>
      <c r="F102" s="280"/>
      <c r="G102" s="280"/>
      <c r="H102" s="166"/>
      <c r="I102" s="365"/>
      <c r="J102" s="289"/>
      <c r="K102" s="289"/>
      <c r="L102" s="166"/>
      <c r="M102" s="23"/>
    </row>
    <row r="103" spans="1:13" x14ac:dyDescent="0.2">
      <c r="A103" s="295" t="s">
        <v>13</v>
      </c>
      <c r="B103" s="235"/>
      <c r="C103" s="288"/>
      <c r="D103" s="166"/>
      <c r="E103" s="365"/>
      <c r="F103" s="280"/>
      <c r="G103" s="280"/>
      <c r="H103" s="166"/>
      <c r="I103" s="365"/>
      <c r="J103" s="289"/>
      <c r="K103" s="289"/>
      <c r="L103" s="166"/>
      <c r="M103" s="23"/>
    </row>
    <row r="104" spans="1:13" ht="15.75" x14ac:dyDescent="0.2">
      <c r="A104" s="295" t="s">
        <v>467</v>
      </c>
      <c r="B104" s="280">
        <v>1321415.5305399999</v>
      </c>
      <c r="C104" s="280">
        <v>1516913.70585</v>
      </c>
      <c r="D104" s="166">
        <f t="shared" ref="D104" si="53">IF(B104=0, "    ---- ", IF(ABS(ROUND(100/B104*C104-100,1))&lt;999,ROUND(100/B104*C104-100,1),IF(ROUND(100/B104*C104-100,1)&gt;999,999,-999)))</f>
        <v>14.8</v>
      </c>
      <c r="E104" s="27">
        <f>IFERROR(100/'Skjema total MA'!C104*C104,0)</f>
        <v>50.843041535733846</v>
      </c>
      <c r="F104" s="280">
        <v>22738011.11045</v>
      </c>
      <c r="G104" s="280">
        <v>29476636.65405</v>
      </c>
      <c r="H104" s="166">
        <f t="shared" ref="H104" si="54">IF(F104=0, "    ---- ", IF(ABS(ROUND(100/F104*G104-100,1))&lt;999,ROUND(100/F104*G104-100,1),IF(ROUND(100/F104*G104-100,1)&gt;999,999,-999)))</f>
        <v>29.6</v>
      </c>
      <c r="I104" s="365">
        <f>IFERROR(100/'Skjema total MA'!F104*G104,0)</f>
        <v>9.443698115457968</v>
      </c>
      <c r="J104" s="286">
        <f t="shared" ref="J104" si="55">SUM(B104,F104)</f>
        <v>24059426.64099</v>
      </c>
      <c r="K104" s="44">
        <f t="shared" ref="K104" si="56">SUM(C104,G104)</f>
        <v>30993550.359900001</v>
      </c>
      <c r="L104" s="254">
        <f t="shared" ref="L104" si="57">IF(J104=0, "    ---- ", IF(ABS(ROUND(100/J104*K104-100,1))&lt;999,ROUND(100/J104*K104-100,1),IF(ROUND(100/J104*K104-100,1)&gt;999,999,-999)))</f>
        <v>28.8</v>
      </c>
      <c r="M104" s="23">
        <f>IFERROR(100/'Skjema total MA'!I104*K104,0)</f>
        <v>9.8356704791246674</v>
      </c>
    </row>
    <row r="105" spans="1:13" x14ac:dyDescent="0.2">
      <c r="A105" s="295" t="s">
        <v>12</v>
      </c>
      <c r="B105" s="235"/>
      <c r="C105" s="288"/>
      <c r="D105" s="166"/>
      <c r="E105" s="365"/>
      <c r="F105" s="280"/>
      <c r="G105" s="280"/>
      <c r="H105" s="166"/>
      <c r="I105" s="365"/>
      <c r="J105" s="289"/>
      <c r="K105" s="289"/>
      <c r="L105" s="166"/>
      <c r="M105" s="23"/>
    </row>
    <row r="106" spans="1:13" x14ac:dyDescent="0.2">
      <c r="A106" s="295" t="s">
        <v>13</v>
      </c>
      <c r="B106" s="235"/>
      <c r="C106" s="288"/>
      <c r="D106" s="166"/>
      <c r="E106" s="365"/>
      <c r="F106" s="280">
        <v>22738011.11045</v>
      </c>
      <c r="G106" s="280">
        <v>29476636.65405</v>
      </c>
      <c r="H106" s="166">
        <f t="shared" ref="H106" si="58">IF(F106=0, "    ---- ", IF(ABS(ROUND(100/F106*G106-100,1))&lt;999,ROUND(100/F106*G106-100,1),IF(ROUND(100/F106*G106-100,1)&gt;999,999,-999)))</f>
        <v>29.6</v>
      </c>
      <c r="I106" s="365">
        <f>IFERROR(100/'Skjema total MA'!F106*G106,0)</f>
        <v>9.4469675764254504</v>
      </c>
      <c r="J106" s="286">
        <f t="shared" ref="J106" si="59">SUM(B106,F106)</f>
        <v>22738011.11045</v>
      </c>
      <c r="K106" s="44">
        <f t="shared" ref="K106" si="60">SUM(C106,G106)</f>
        <v>29476636.65405</v>
      </c>
      <c r="L106" s="254">
        <f t="shared" ref="L106" si="61">IF(J106=0, "    ---- ", IF(ABS(ROUND(100/J106*K106-100,1))&lt;999,ROUND(100/J106*K106-100,1),IF(ROUND(100/J106*K106-100,1)&gt;999,999,-999)))</f>
        <v>29.6</v>
      </c>
      <c r="M106" s="23">
        <f>IFERROR(100/'Skjema total MA'!I106*K106,0)</f>
        <v>9.4469675764254504</v>
      </c>
    </row>
    <row r="107" spans="1:13" ht="15.75" x14ac:dyDescent="0.2">
      <c r="A107" s="21" t="s">
        <v>469</v>
      </c>
      <c r="B107" s="234"/>
      <c r="C107" s="145"/>
      <c r="D107" s="166"/>
      <c r="E107" s="27"/>
      <c r="F107" s="234">
        <v>63518.507259999998</v>
      </c>
      <c r="G107" s="145">
        <v>98995.092950000006</v>
      </c>
      <c r="H107" s="166">
        <f t="shared" si="15"/>
        <v>55.9</v>
      </c>
      <c r="I107" s="27">
        <f>IFERROR(100/'Skjema total MA'!F107*G107,0)</f>
        <v>11.230926323200951</v>
      </c>
      <c r="J107" s="286">
        <f t="shared" si="39"/>
        <v>63518.507259999998</v>
      </c>
      <c r="K107" s="44">
        <f t="shared" si="39"/>
        <v>98995.092950000006</v>
      </c>
      <c r="L107" s="254">
        <f t="shared" si="17"/>
        <v>55.9</v>
      </c>
      <c r="M107" s="27">
        <f>IFERROR(100/'Skjema total MA'!I107*K107,0)</f>
        <v>1.8079305207539038</v>
      </c>
    </row>
    <row r="108" spans="1:13" ht="15.75" x14ac:dyDescent="0.2">
      <c r="A108" s="21" t="s">
        <v>470</v>
      </c>
      <c r="B108" s="234">
        <v>8156591.2148799999</v>
      </c>
      <c r="C108" s="234">
        <v>8946773.5393100008</v>
      </c>
      <c r="D108" s="166">
        <f t="shared" si="14"/>
        <v>9.6999999999999993</v>
      </c>
      <c r="E108" s="27">
        <f>IFERROR(100/'Skjema total MA'!C108*C108,0)</f>
        <v>2.8165186028407705</v>
      </c>
      <c r="F108" s="234"/>
      <c r="G108" s="234"/>
      <c r="H108" s="166"/>
      <c r="I108" s="27"/>
      <c r="J108" s="286">
        <f t="shared" si="39"/>
        <v>8156591.2148799999</v>
      </c>
      <c r="K108" s="44">
        <f t="shared" si="39"/>
        <v>8946773.5393100008</v>
      </c>
      <c r="L108" s="254">
        <f t="shared" si="17"/>
        <v>9.6999999999999993</v>
      </c>
      <c r="M108" s="27">
        <f>IFERROR(100/'Skjema total MA'!I108*K108,0)</f>
        <v>2.6725727533160533</v>
      </c>
    </row>
    <row r="109" spans="1:13" ht="15.75" x14ac:dyDescent="0.2">
      <c r="A109" s="21" t="s">
        <v>471</v>
      </c>
      <c r="B109" s="234">
        <v>315657.39367000002</v>
      </c>
      <c r="C109" s="234">
        <v>346286.38481000002</v>
      </c>
      <c r="D109" s="166">
        <f t="shared" si="14"/>
        <v>9.6999999999999993</v>
      </c>
      <c r="E109" s="27">
        <f>IFERROR(100/'Skjema total MA'!C109*C109,0)</f>
        <v>36.292733650990129</v>
      </c>
      <c r="F109" s="234">
        <v>7196250.2406500001</v>
      </c>
      <c r="G109" s="234">
        <v>9769508.9950799998</v>
      </c>
      <c r="H109" s="166">
        <f t="shared" si="15"/>
        <v>35.799999999999997</v>
      </c>
      <c r="I109" s="27">
        <f>IFERROR(100/'Skjema total MA'!F109*G109,0)</f>
        <v>9.0934227066960069</v>
      </c>
      <c r="J109" s="286">
        <f t="shared" si="39"/>
        <v>7511907.6343200002</v>
      </c>
      <c r="K109" s="44">
        <f t="shared" si="39"/>
        <v>10115795.37989</v>
      </c>
      <c r="L109" s="254">
        <f t="shared" si="17"/>
        <v>34.700000000000003</v>
      </c>
      <c r="M109" s="27">
        <f>IFERROR(100/'Skjema total MA'!I109*K109,0)</f>
        <v>9.3328580521813063</v>
      </c>
    </row>
    <row r="110" spans="1:13" ht="15.75" x14ac:dyDescent="0.2">
      <c r="A110" s="21" t="s">
        <v>472</v>
      </c>
      <c r="B110" s="234">
        <v>90206.552110000004</v>
      </c>
      <c r="C110" s="234">
        <v>211137.48579000001</v>
      </c>
      <c r="D110" s="166">
        <f t="shared" si="14"/>
        <v>134.1</v>
      </c>
      <c r="E110" s="27">
        <f>IFERROR(100/'Skjema total MA'!C110*C110,0)</f>
        <v>70.604623016054177</v>
      </c>
      <c r="F110" s="234"/>
      <c r="G110" s="234"/>
      <c r="H110" s="166"/>
      <c r="I110" s="27"/>
      <c r="J110" s="286">
        <f t="shared" si="39"/>
        <v>90206.552110000004</v>
      </c>
      <c r="K110" s="44">
        <f t="shared" si="39"/>
        <v>211137.48579000001</v>
      </c>
      <c r="L110" s="254">
        <f t="shared" si="17"/>
        <v>134.1</v>
      </c>
      <c r="M110" s="27">
        <f>IFERROR(100/'Skjema total MA'!I110*K110,0)</f>
        <v>70.604623016054177</v>
      </c>
    </row>
    <row r="111" spans="1:13" ht="15.75" x14ac:dyDescent="0.2">
      <c r="A111" s="13" t="s">
        <v>452</v>
      </c>
      <c r="B111" s="307">
        <v>47874.667699999998</v>
      </c>
      <c r="C111" s="159">
        <v>27561.362980000002</v>
      </c>
      <c r="D111" s="171">
        <f t="shared" si="14"/>
        <v>-42.4</v>
      </c>
      <c r="E111" s="11">
        <f>IFERROR(100/'Skjema total MA'!C111*C111,0)</f>
        <v>5.7827008319452622</v>
      </c>
      <c r="F111" s="307">
        <v>2067365.98388</v>
      </c>
      <c r="G111" s="159">
        <v>1342282.4630200001</v>
      </c>
      <c r="H111" s="171">
        <f t="shared" si="15"/>
        <v>-35.1</v>
      </c>
      <c r="I111" s="11">
        <f>IFERROR(100/'Skjema total MA'!F111*G111,0)</f>
        <v>10.140591376542739</v>
      </c>
      <c r="J111" s="308">
        <f t="shared" si="39"/>
        <v>2115240.6515799998</v>
      </c>
      <c r="K111" s="236">
        <f t="shared" si="39"/>
        <v>1369843.8260000001</v>
      </c>
      <c r="L111" s="373">
        <f t="shared" si="17"/>
        <v>-35.200000000000003</v>
      </c>
      <c r="M111" s="11">
        <f>IFERROR(100/'Skjema total MA'!I111*K111,0)</f>
        <v>9.9891296588437495</v>
      </c>
    </row>
    <row r="112" spans="1:13" x14ac:dyDescent="0.2">
      <c r="A112" s="21" t="s">
        <v>9</v>
      </c>
      <c r="B112" s="234">
        <v>29781.072840000001</v>
      </c>
      <c r="C112" s="145">
        <v>3691.94391</v>
      </c>
      <c r="D112" s="166">
        <f t="shared" ref="D112:D125" si="62">IF(B112=0, "    ---- ", IF(ABS(ROUND(100/B112*C112-100,1))&lt;999,ROUND(100/B112*C112-100,1),IF(ROUND(100/B112*C112-100,1)&gt;999,999,-999)))</f>
        <v>-87.6</v>
      </c>
      <c r="E112" s="27">
        <f>IFERROR(100/'Skjema total MA'!C112*C112,0)</f>
        <v>1.0214871766451379</v>
      </c>
      <c r="F112" s="234"/>
      <c r="G112" s="145"/>
      <c r="H112" s="166"/>
      <c r="I112" s="27"/>
      <c r="J112" s="286">
        <f t="shared" ref="J112:K125" si="63">SUM(B112,F112)</f>
        <v>29781.072840000001</v>
      </c>
      <c r="K112" s="44">
        <f t="shared" si="63"/>
        <v>3691.94391</v>
      </c>
      <c r="L112" s="254">
        <f t="shared" ref="L112:L125" si="64">IF(J112=0, "    ---- ", IF(ABS(ROUND(100/J112*K112-100,1))&lt;999,ROUND(100/J112*K112-100,1),IF(ROUND(100/J112*K112-100,1)&gt;999,999,-999)))</f>
        <v>-87.6</v>
      </c>
      <c r="M112" s="27">
        <f>IFERROR(100/'Skjema total MA'!I112*K112,0)</f>
        <v>1.004834232657581</v>
      </c>
    </row>
    <row r="113" spans="1:14" x14ac:dyDescent="0.2">
      <c r="A113" s="21" t="s">
        <v>10</v>
      </c>
      <c r="B113" s="234">
        <v>1757.4471900000001</v>
      </c>
      <c r="C113" s="145">
        <v>345.58834999999999</v>
      </c>
      <c r="D113" s="166">
        <f t="shared" si="62"/>
        <v>-80.3</v>
      </c>
      <c r="E113" s="27">
        <f>IFERROR(100/'Skjema total MA'!C113*C113,0)</f>
        <v>19.606866799045847</v>
      </c>
      <c r="F113" s="234">
        <v>2067365.98388</v>
      </c>
      <c r="G113" s="145">
        <v>1312605.1536600001</v>
      </c>
      <c r="H113" s="166">
        <f t="shared" ref="H113:H125" si="65">IF(F113=0, "    ---- ", IF(ABS(ROUND(100/F113*G113-100,1))&lt;999,ROUND(100/F113*G113-100,1),IF(ROUND(100/F113*G113-100,1)&gt;999,999,-999)))</f>
        <v>-36.5</v>
      </c>
      <c r="I113" s="27">
        <f>IFERROR(100/'Skjema total MA'!F113*G113,0)</f>
        <v>9.9445354470789482</v>
      </c>
      <c r="J113" s="286">
        <f t="shared" si="63"/>
        <v>2069123.4310699999</v>
      </c>
      <c r="K113" s="44">
        <f t="shared" si="63"/>
        <v>1312950.7420100002</v>
      </c>
      <c r="L113" s="254">
        <f t="shared" si="64"/>
        <v>-36.5</v>
      </c>
      <c r="M113" s="27">
        <f>IFERROR(100/'Skjema total MA'!I113*K113,0)</f>
        <v>9.9458255525785688</v>
      </c>
    </row>
    <row r="114" spans="1:14" x14ac:dyDescent="0.2">
      <c r="A114" s="21" t="s">
        <v>26</v>
      </c>
      <c r="B114" s="234">
        <v>16336.14767</v>
      </c>
      <c r="C114" s="145">
        <v>23523.830720000002</v>
      </c>
      <c r="D114" s="166">
        <f t="shared" si="62"/>
        <v>44</v>
      </c>
      <c r="E114" s="27">
        <f>IFERROR(100/'Skjema total MA'!C114*C114,0)</f>
        <v>20.739258659683522</v>
      </c>
      <c r="F114" s="234">
        <v>0</v>
      </c>
      <c r="G114" s="145">
        <v>29677.309359999999</v>
      </c>
      <c r="H114" s="166" t="str">
        <f t="shared" si="65"/>
        <v xml:space="preserve">    ---- </v>
      </c>
      <c r="I114" s="27">
        <f>IFERROR(100/'Skjema total MA'!F114*G114,0)</f>
        <v>94.282164198649212</v>
      </c>
      <c r="J114" s="286">
        <f t="shared" si="63"/>
        <v>16336.14767</v>
      </c>
      <c r="K114" s="44">
        <f t="shared" si="63"/>
        <v>53201.140079999997</v>
      </c>
      <c r="L114" s="254">
        <f t="shared" si="64"/>
        <v>225.7</v>
      </c>
      <c r="M114" s="27">
        <f>IFERROR(100/'Skjema total MA'!I114*K114,0)</f>
        <v>36.71482664246512</v>
      </c>
    </row>
    <row r="115" spans="1:14" x14ac:dyDescent="0.2">
      <c r="A115" s="295" t="s">
        <v>15</v>
      </c>
      <c r="B115" s="280"/>
      <c r="C115" s="280"/>
      <c r="D115" s="166"/>
      <c r="E115" s="365"/>
      <c r="F115" s="280"/>
      <c r="G115" s="280"/>
      <c r="H115" s="166"/>
      <c r="I115" s="365"/>
      <c r="J115" s="289"/>
      <c r="K115" s="289"/>
      <c r="L115" s="166"/>
      <c r="M115" s="23"/>
    </row>
    <row r="116" spans="1:14" ht="15.75" x14ac:dyDescent="0.2">
      <c r="A116" s="21" t="s">
        <v>473</v>
      </c>
      <c r="B116" s="234">
        <v>26593.400890000001</v>
      </c>
      <c r="C116" s="234">
        <v>2128.8671300000001</v>
      </c>
      <c r="D116" s="166">
        <f t="shared" si="62"/>
        <v>-92</v>
      </c>
      <c r="E116" s="27">
        <f>IFERROR(100/'Skjema total MA'!C116*C116,0)</f>
        <v>1.6123936568184885</v>
      </c>
      <c r="F116" s="234"/>
      <c r="G116" s="234"/>
      <c r="H116" s="166"/>
      <c r="I116" s="27"/>
      <c r="J116" s="286">
        <f t="shared" si="63"/>
        <v>26593.400890000001</v>
      </c>
      <c r="K116" s="44">
        <f t="shared" si="63"/>
        <v>2128.8671300000001</v>
      </c>
      <c r="L116" s="254">
        <f t="shared" si="64"/>
        <v>-92</v>
      </c>
      <c r="M116" s="27">
        <f>IFERROR(100/'Skjema total MA'!I116*K116,0)</f>
        <v>1.5424185548513025</v>
      </c>
    </row>
    <row r="117" spans="1:14" ht="15.75" x14ac:dyDescent="0.2">
      <c r="A117" s="21" t="s">
        <v>474</v>
      </c>
      <c r="B117" s="234"/>
      <c r="C117" s="234"/>
      <c r="D117" s="166"/>
      <c r="E117" s="27"/>
      <c r="F117" s="234">
        <v>288117.45319999999</v>
      </c>
      <c r="G117" s="234">
        <v>367463.08412999997</v>
      </c>
      <c r="H117" s="166">
        <f t="shared" si="65"/>
        <v>27.5</v>
      </c>
      <c r="I117" s="27">
        <f>IFERROR(100/'Skjema total MA'!F117*G117,0)</f>
        <v>11.724611456781661</v>
      </c>
      <c r="J117" s="286">
        <f t="shared" si="63"/>
        <v>288117.45319999999</v>
      </c>
      <c r="K117" s="44">
        <f t="shared" si="63"/>
        <v>367463.08412999997</v>
      </c>
      <c r="L117" s="254">
        <f t="shared" si="64"/>
        <v>27.5</v>
      </c>
      <c r="M117" s="27">
        <f>IFERROR(100/'Skjema total MA'!I117*K117,0)</f>
        <v>11.724611456781661</v>
      </c>
    </row>
    <row r="118" spans="1:14" ht="15.75" x14ac:dyDescent="0.2">
      <c r="A118" s="21" t="s">
        <v>472</v>
      </c>
      <c r="B118" s="234"/>
      <c r="C118" s="234"/>
      <c r="D118" s="166"/>
      <c r="E118" s="27"/>
      <c r="F118" s="234"/>
      <c r="G118" s="234"/>
      <c r="H118" s="166"/>
      <c r="I118" s="27"/>
      <c r="J118" s="286"/>
      <c r="K118" s="44"/>
      <c r="L118" s="254"/>
      <c r="M118" s="27"/>
    </row>
    <row r="119" spans="1:14" ht="15.75" x14ac:dyDescent="0.2">
      <c r="A119" s="13" t="s">
        <v>453</v>
      </c>
      <c r="B119" s="307">
        <v>87294.046050000004</v>
      </c>
      <c r="C119" s="159">
        <v>53658.277589999998</v>
      </c>
      <c r="D119" s="171">
        <f t="shared" si="62"/>
        <v>-38.5</v>
      </c>
      <c r="E119" s="11">
        <f>IFERROR(100/'Skjema total MA'!C119*C119,0)</f>
        <v>10.913343643922243</v>
      </c>
      <c r="F119" s="307">
        <v>656508.26393999998</v>
      </c>
      <c r="G119" s="159">
        <v>1220512.7212</v>
      </c>
      <c r="H119" s="171">
        <f t="shared" si="65"/>
        <v>85.9</v>
      </c>
      <c r="I119" s="11">
        <f>IFERROR(100/'Skjema total MA'!F119*G119,0)</f>
        <v>9.0006737637694769</v>
      </c>
      <c r="J119" s="308">
        <f t="shared" si="63"/>
        <v>743802.30998999998</v>
      </c>
      <c r="K119" s="236">
        <f t="shared" si="63"/>
        <v>1274170.9987900001</v>
      </c>
      <c r="L119" s="373">
        <f t="shared" si="64"/>
        <v>71.3</v>
      </c>
      <c r="M119" s="11">
        <f>IFERROR(100/'Skjema total MA'!I119*K119,0)</f>
        <v>9.0675980053710497</v>
      </c>
    </row>
    <row r="120" spans="1:14" x14ac:dyDescent="0.2">
      <c r="A120" s="21" t="s">
        <v>9</v>
      </c>
      <c r="B120" s="234">
        <v>48691.166689999998</v>
      </c>
      <c r="C120" s="145">
        <v>4722.7186000000002</v>
      </c>
      <c r="D120" s="166">
        <f t="shared" si="62"/>
        <v>-90.3</v>
      </c>
      <c r="E120" s="27">
        <f>IFERROR(100/'Skjema total MA'!C120*C120,0)</f>
        <v>1.674415803317685</v>
      </c>
      <c r="F120" s="234"/>
      <c r="G120" s="145"/>
      <c r="H120" s="166"/>
      <c r="I120" s="27"/>
      <c r="J120" s="286">
        <f t="shared" si="63"/>
        <v>48691.166689999998</v>
      </c>
      <c r="K120" s="44">
        <f t="shared" si="63"/>
        <v>4722.7186000000002</v>
      </c>
      <c r="L120" s="254">
        <f t="shared" si="64"/>
        <v>-90.3</v>
      </c>
      <c r="M120" s="27">
        <f>IFERROR(100/'Skjema total MA'!I120*K120,0)</f>
        <v>1.674415803317685</v>
      </c>
    </row>
    <row r="121" spans="1:14" x14ac:dyDescent="0.2">
      <c r="A121" s="21" t="s">
        <v>10</v>
      </c>
      <c r="B121" s="234">
        <v>31720.1512</v>
      </c>
      <c r="C121" s="145">
        <v>37118.085039999998</v>
      </c>
      <c r="D121" s="166">
        <f t="shared" si="62"/>
        <v>17</v>
      </c>
      <c r="E121" s="27">
        <f>IFERROR(100/'Skjema total MA'!C121*C121,0)</f>
        <v>94.8072958950616</v>
      </c>
      <c r="F121" s="234">
        <v>656508.26393999998</v>
      </c>
      <c r="G121" s="145">
        <v>1220512.7212</v>
      </c>
      <c r="H121" s="166">
        <f t="shared" si="65"/>
        <v>85.9</v>
      </c>
      <c r="I121" s="27">
        <f>IFERROR(100/'Skjema total MA'!F121*G121,0)</f>
        <v>9.0006737637694769</v>
      </c>
      <c r="J121" s="286">
        <f t="shared" si="63"/>
        <v>688228.41513999994</v>
      </c>
      <c r="K121" s="44">
        <f t="shared" si="63"/>
        <v>1257630.8062400001</v>
      </c>
      <c r="L121" s="254">
        <f t="shared" si="64"/>
        <v>82.7</v>
      </c>
      <c r="M121" s="27">
        <f>IFERROR(100/'Skjema total MA'!I121*K121,0)</f>
        <v>9.2477012229683506</v>
      </c>
    </row>
    <row r="122" spans="1:14" x14ac:dyDescent="0.2">
      <c r="A122" s="21" t="s">
        <v>26</v>
      </c>
      <c r="B122" s="234">
        <v>6882.7281599999997</v>
      </c>
      <c r="C122" s="145">
        <v>11817.47395</v>
      </c>
      <c r="D122" s="166">
        <f t="shared" si="62"/>
        <v>71.7</v>
      </c>
      <c r="E122" s="27">
        <f>IFERROR(100/'Skjema total MA'!C122*C122,0)</f>
        <v>6.9321648461851915</v>
      </c>
      <c r="F122" s="234"/>
      <c r="G122" s="145"/>
      <c r="H122" s="166"/>
      <c r="I122" s="27"/>
      <c r="J122" s="286">
        <f t="shared" si="63"/>
        <v>6882.7281599999997</v>
      </c>
      <c r="K122" s="44">
        <f t="shared" si="63"/>
        <v>11817.47395</v>
      </c>
      <c r="L122" s="254">
        <f t="shared" si="64"/>
        <v>71.7</v>
      </c>
      <c r="M122" s="27">
        <f>IFERROR(100/'Skjema total MA'!I122*K122,0)</f>
        <v>6.9321648461851915</v>
      </c>
    </row>
    <row r="123" spans="1:14" x14ac:dyDescent="0.2">
      <c r="A123" s="295" t="s">
        <v>14</v>
      </c>
      <c r="B123" s="280"/>
      <c r="C123" s="280"/>
      <c r="D123" s="166"/>
      <c r="E123" s="365"/>
      <c r="F123" s="280"/>
      <c r="G123" s="280"/>
      <c r="H123" s="166"/>
      <c r="I123" s="365"/>
      <c r="J123" s="289"/>
      <c r="K123" s="289"/>
      <c r="L123" s="166"/>
      <c r="M123" s="23"/>
    </row>
    <row r="124" spans="1:14" ht="15.75" x14ac:dyDescent="0.2">
      <c r="A124" s="21" t="s">
        <v>479</v>
      </c>
      <c r="B124" s="234">
        <v>0</v>
      </c>
      <c r="C124" s="234">
        <v>115.97561</v>
      </c>
      <c r="D124" s="166" t="str">
        <f t="shared" si="62"/>
        <v xml:space="preserve">    ---- </v>
      </c>
      <c r="E124" s="27">
        <f>IFERROR(100/'Skjema total MA'!C124*C124,0)</f>
        <v>0.14639937209101192</v>
      </c>
      <c r="F124" s="234"/>
      <c r="G124" s="234"/>
      <c r="H124" s="166"/>
      <c r="I124" s="27"/>
      <c r="J124" s="286">
        <f t="shared" si="63"/>
        <v>0</v>
      </c>
      <c r="K124" s="44">
        <f t="shared" si="63"/>
        <v>115.97561</v>
      </c>
      <c r="L124" s="254" t="str">
        <f t="shared" si="64"/>
        <v xml:space="preserve">    ---- </v>
      </c>
      <c r="M124" s="27">
        <f>IFERROR(100/'Skjema total MA'!I124*K124,0)</f>
        <v>0.10658129524486992</v>
      </c>
    </row>
    <row r="125" spans="1:14" ht="15.75" x14ac:dyDescent="0.2">
      <c r="A125" s="21" t="s">
        <v>471</v>
      </c>
      <c r="B125" s="234">
        <v>3549.5722900000001</v>
      </c>
      <c r="C125" s="234">
        <v>3593.3910599999999</v>
      </c>
      <c r="D125" s="166">
        <f t="shared" si="62"/>
        <v>1.2</v>
      </c>
      <c r="E125" s="27">
        <f>IFERROR(100/'Skjema total MA'!C125*C125,0)</f>
        <v>99.825816933997658</v>
      </c>
      <c r="F125" s="234">
        <v>209510.8572</v>
      </c>
      <c r="G125" s="234">
        <v>278094.45474999998</v>
      </c>
      <c r="H125" s="166">
        <f t="shared" si="65"/>
        <v>32.700000000000003</v>
      </c>
      <c r="I125" s="27">
        <f>IFERROR(100/'Skjema total MA'!F125*G125,0)</f>
        <v>8.9349126317166441</v>
      </c>
      <c r="J125" s="286">
        <f t="shared" si="63"/>
        <v>213060.42949000001</v>
      </c>
      <c r="K125" s="44">
        <f t="shared" si="63"/>
        <v>281687.84580999997</v>
      </c>
      <c r="L125" s="254">
        <f t="shared" si="64"/>
        <v>32.200000000000003</v>
      </c>
      <c r="M125" s="27">
        <f>IFERROR(100/'Skjema total MA'!I125*K125,0)</f>
        <v>9.0399099067459332</v>
      </c>
    </row>
    <row r="126" spans="1:14" ht="15.75" x14ac:dyDescent="0.2">
      <c r="A126" s="10" t="s">
        <v>472</v>
      </c>
      <c r="B126" s="45"/>
      <c r="C126" s="45"/>
      <c r="D126" s="167"/>
      <c r="E126" s="366"/>
      <c r="F126" s="45"/>
      <c r="G126" s="45"/>
      <c r="H126" s="167"/>
      <c r="I126" s="22"/>
      <c r="J126" s="287"/>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975"/>
      <c r="C130" s="975"/>
      <c r="D130" s="975"/>
      <c r="E130" s="298"/>
      <c r="F130" s="975"/>
      <c r="G130" s="975"/>
      <c r="H130" s="975"/>
      <c r="I130" s="298"/>
      <c r="J130" s="975"/>
      <c r="K130" s="975"/>
      <c r="L130" s="975"/>
      <c r="M130" s="298"/>
    </row>
    <row r="131" spans="1:14" s="3" customFormat="1" x14ac:dyDescent="0.2">
      <c r="A131" s="144"/>
      <c r="B131" s="973" t="s">
        <v>0</v>
      </c>
      <c r="C131" s="974"/>
      <c r="D131" s="974"/>
      <c r="E131" s="300"/>
      <c r="F131" s="973" t="s">
        <v>1</v>
      </c>
      <c r="G131" s="974"/>
      <c r="H131" s="974"/>
      <c r="I131" s="303"/>
      <c r="J131" s="973" t="s">
        <v>2</v>
      </c>
      <c r="K131" s="974"/>
      <c r="L131" s="974"/>
      <c r="M131" s="303"/>
      <c r="N131" s="148"/>
    </row>
    <row r="132" spans="1:14" s="3" customFormat="1" x14ac:dyDescent="0.2">
      <c r="A132" s="140"/>
      <c r="B132" s="152" t="s">
        <v>492</v>
      </c>
      <c r="C132" s="152" t="s">
        <v>493</v>
      </c>
      <c r="D132" s="245" t="s">
        <v>3</v>
      </c>
      <c r="E132" s="304" t="s">
        <v>29</v>
      </c>
      <c r="F132" s="152" t="s">
        <v>492</v>
      </c>
      <c r="G132" s="152" t="s">
        <v>493</v>
      </c>
      <c r="H132" s="206" t="s">
        <v>3</v>
      </c>
      <c r="I132" s="162" t="s">
        <v>29</v>
      </c>
      <c r="J132" s="152" t="s">
        <v>492</v>
      </c>
      <c r="K132" s="152" t="s">
        <v>493</v>
      </c>
      <c r="L132" s="246" t="s">
        <v>3</v>
      </c>
      <c r="M132" s="162" t="s">
        <v>29</v>
      </c>
      <c r="N132" s="148"/>
    </row>
    <row r="133" spans="1:14" s="3" customFormat="1" x14ac:dyDescent="0.2">
      <c r="A133" s="947"/>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475</v>
      </c>
      <c r="B134" s="236"/>
      <c r="C134" s="308"/>
      <c r="D134" s="349"/>
      <c r="E134" s="11"/>
      <c r="F134" s="315"/>
      <c r="G134" s="316"/>
      <c r="H134" s="376"/>
      <c r="I134" s="24"/>
      <c r="J134" s="317"/>
      <c r="K134" s="317"/>
      <c r="L134" s="372"/>
      <c r="M134" s="11"/>
      <c r="N134" s="148"/>
    </row>
    <row r="135" spans="1:14" s="3" customFormat="1" ht="15.75" x14ac:dyDescent="0.2">
      <c r="A135" s="13" t="s">
        <v>480</v>
      </c>
      <c r="B135" s="236"/>
      <c r="C135" s="308"/>
      <c r="D135" s="171"/>
      <c r="E135" s="11"/>
      <c r="F135" s="236"/>
      <c r="G135" s="308"/>
      <c r="H135" s="377"/>
      <c r="I135" s="24"/>
      <c r="J135" s="307"/>
      <c r="K135" s="307"/>
      <c r="L135" s="373"/>
      <c r="M135" s="11"/>
      <c r="N135" s="148"/>
    </row>
    <row r="136" spans="1:14" s="3" customFormat="1" ht="15.75" x14ac:dyDescent="0.2">
      <c r="A136" s="13" t="s">
        <v>477</v>
      </c>
      <c r="B136" s="236"/>
      <c r="C136" s="308"/>
      <c r="D136" s="171"/>
      <c r="E136" s="11"/>
      <c r="F136" s="236"/>
      <c r="G136" s="308"/>
      <c r="H136" s="377"/>
      <c r="I136" s="24"/>
      <c r="J136" s="307"/>
      <c r="K136" s="307"/>
      <c r="L136" s="373"/>
      <c r="M136" s="11"/>
      <c r="N136" s="148"/>
    </row>
    <row r="137" spans="1:14" s="3" customFormat="1" ht="15.75" x14ac:dyDescent="0.2">
      <c r="A137" s="41" t="s">
        <v>478</v>
      </c>
      <c r="B137" s="275"/>
      <c r="C137" s="314"/>
      <c r="D137" s="169"/>
      <c r="E137" s="9"/>
      <c r="F137" s="275"/>
      <c r="G137" s="314"/>
      <c r="H137" s="378"/>
      <c r="I137" s="36"/>
      <c r="J137" s="313"/>
      <c r="K137" s="313"/>
      <c r="L137" s="374"/>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94" priority="132">
      <formula>kvartal &lt; 4</formula>
    </cfRule>
  </conditionalFormatting>
  <conditionalFormatting sqref="B69">
    <cfRule type="expression" dxfId="393" priority="100">
      <formula>kvartal &lt; 4</formula>
    </cfRule>
  </conditionalFormatting>
  <conditionalFormatting sqref="C69">
    <cfRule type="expression" dxfId="392" priority="99">
      <formula>kvartal &lt; 4</formula>
    </cfRule>
  </conditionalFormatting>
  <conditionalFormatting sqref="B72">
    <cfRule type="expression" dxfId="391" priority="98">
      <formula>kvartal &lt; 4</formula>
    </cfRule>
  </conditionalFormatting>
  <conditionalFormatting sqref="C72">
    <cfRule type="expression" dxfId="390" priority="97">
      <formula>kvartal &lt; 4</formula>
    </cfRule>
  </conditionalFormatting>
  <conditionalFormatting sqref="B80">
    <cfRule type="expression" dxfId="389" priority="96">
      <formula>kvartal &lt; 4</formula>
    </cfRule>
  </conditionalFormatting>
  <conditionalFormatting sqref="C80">
    <cfRule type="expression" dxfId="388" priority="95">
      <formula>kvartal &lt; 4</formula>
    </cfRule>
  </conditionalFormatting>
  <conditionalFormatting sqref="B83">
    <cfRule type="expression" dxfId="387" priority="94">
      <formula>kvartal &lt; 4</formula>
    </cfRule>
  </conditionalFormatting>
  <conditionalFormatting sqref="C83">
    <cfRule type="expression" dxfId="386" priority="93">
      <formula>kvartal &lt; 4</formula>
    </cfRule>
  </conditionalFormatting>
  <conditionalFormatting sqref="B90">
    <cfRule type="expression" dxfId="385" priority="84">
      <formula>kvartal &lt; 4</formula>
    </cfRule>
  </conditionalFormatting>
  <conditionalFormatting sqref="C90">
    <cfRule type="expression" dxfId="384" priority="83">
      <formula>kvartal &lt; 4</formula>
    </cfRule>
  </conditionalFormatting>
  <conditionalFormatting sqref="B93">
    <cfRule type="expression" dxfId="383" priority="82">
      <formula>kvartal &lt; 4</formula>
    </cfRule>
  </conditionalFormatting>
  <conditionalFormatting sqref="C93">
    <cfRule type="expression" dxfId="382" priority="81">
      <formula>kvartal &lt; 4</formula>
    </cfRule>
  </conditionalFormatting>
  <conditionalFormatting sqref="B101">
    <cfRule type="expression" dxfId="381" priority="80">
      <formula>kvartal &lt; 4</formula>
    </cfRule>
  </conditionalFormatting>
  <conditionalFormatting sqref="C101">
    <cfRule type="expression" dxfId="380" priority="79">
      <formula>kvartal &lt; 4</formula>
    </cfRule>
  </conditionalFormatting>
  <conditionalFormatting sqref="B104">
    <cfRule type="expression" dxfId="379" priority="78">
      <formula>kvartal &lt; 4</formula>
    </cfRule>
  </conditionalFormatting>
  <conditionalFormatting sqref="C104">
    <cfRule type="expression" dxfId="378" priority="77">
      <formula>kvartal &lt; 4</formula>
    </cfRule>
  </conditionalFormatting>
  <conditionalFormatting sqref="B115">
    <cfRule type="expression" dxfId="377" priority="76">
      <formula>kvartal &lt; 4</formula>
    </cfRule>
  </conditionalFormatting>
  <conditionalFormatting sqref="C115">
    <cfRule type="expression" dxfId="376" priority="75">
      <formula>kvartal &lt; 4</formula>
    </cfRule>
  </conditionalFormatting>
  <conditionalFormatting sqref="B123">
    <cfRule type="expression" dxfId="375" priority="74">
      <formula>kvartal &lt; 4</formula>
    </cfRule>
  </conditionalFormatting>
  <conditionalFormatting sqref="C123">
    <cfRule type="expression" dxfId="374" priority="73">
      <formula>kvartal &lt; 4</formula>
    </cfRule>
  </conditionalFormatting>
  <conditionalFormatting sqref="F70">
    <cfRule type="expression" dxfId="373" priority="72">
      <formula>kvartal &lt; 4</formula>
    </cfRule>
  </conditionalFormatting>
  <conditionalFormatting sqref="G70">
    <cfRule type="expression" dxfId="372" priority="71">
      <formula>kvartal &lt; 4</formula>
    </cfRule>
  </conditionalFormatting>
  <conditionalFormatting sqref="F71:G71">
    <cfRule type="expression" dxfId="371" priority="70">
      <formula>kvartal &lt; 4</formula>
    </cfRule>
  </conditionalFormatting>
  <conditionalFormatting sqref="F73:G74">
    <cfRule type="expression" dxfId="370" priority="69">
      <formula>kvartal &lt; 4</formula>
    </cfRule>
  </conditionalFormatting>
  <conditionalFormatting sqref="F81:G82">
    <cfRule type="expression" dxfId="369" priority="68">
      <formula>kvartal &lt; 4</formula>
    </cfRule>
  </conditionalFormatting>
  <conditionalFormatting sqref="F84:G85">
    <cfRule type="expression" dxfId="368" priority="67">
      <formula>kvartal &lt; 4</formula>
    </cfRule>
  </conditionalFormatting>
  <conditionalFormatting sqref="F91:G92">
    <cfRule type="expression" dxfId="367" priority="62">
      <formula>kvartal &lt; 4</formula>
    </cfRule>
  </conditionalFormatting>
  <conditionalFormatting sqref="F94:G95">
    <cfRule type="expression" dxfId="366" priority="61">
      <formula>kvartal &lt; 4</formula>
    </cfRule>
  </conditionalFormatting>
  <conditionalFormatting sqref="F102:G103">
    <cfRule type="expression" dxfId="365" priority="60">
      <formula>kvartal &lt; 4</formula>
    </cfRule>
  </conditionalFormatting>
  <conditionalFormatting sqref="F105:G106">
    <cfRule type="expression" dxfId="364" priority="59">
      <formula>kvartal &lt; 4</formula>
    </cfRule>
  </conditionalFormatting>
  <conditionalFormatting sqref="F115">
    <cfRule type="expression" dxfId="363" priority="58">
      <formula>kvartal &lt; 4</formula>
    </cfRule>
  </conditionalFormatting>
  <conditionalFormatting sqref="G115">
    <cfRule type="expression" dxfId="362" priority="57">
      <formula>kvartal &lt; 4</formula>
    </cfRule>
  </conditionalFormatting>
  <conditionalFormatting sqref="F123:G123">
    <cfRule type="expression" dxfId="361" priority="56">
      <formula>kvartal &lt; 4</formula>
    </cfRule>
  </conditionalFormatting>
  <conditionalFormatting sqref="F69:G69">
    <cfRule type="expression" dxfId="360" priority="55">
      <formula>kvartal &lt; 4</formula>
    </cfRule>
  </conditionalFormatting>
  <conditionalFormatting sqref="F72:G72">
    <cfRule type="expression" dxfId="359" priority="54">
      <formula>kvartal &lt; 4</formula>
    </cfRule>
  </conditionalFormatting>
  <conditionalFormatting sqref="F80:G80">
    <cfRule type="expression" dxfId="358" priority="53">
      <formula>kvartal &lt; 4</formula>
    </cfRule>
  </conditionalFormatting>
  <conditionalFormatting sqref="F83:G83">
    <cfRule type="expression" dxfId="357" priority="52">
      <formula>kvartal &lt; 4</formula>
    </cfRule>
  </conditionalFormatting>
  <conditionalFormatting sqref="F90:G90">
    <cfRule type="expression" dxfId="356" priority="46">
      <formula>kvartal &lt; 4</formula>
    </cfRule>
  </conditionalFormatting>
  <conditionalFormatting sqref="F93">
    <cfRule type="expression" dxfId="355" priority="45">
      <formula>kvartal &lt; 4</formula>
    </cfRule>
  </conditionalFormatting>
  <conditionalFormatting sqref="G93">
    <cfRule type="expression" dxfId="354" priority="44">
      <formula>kvartal &lt; 4</formula>
    </cfRule>
  </conditionalFormatting>
  <conditionalFormatting sqref="F101">
    <cfRule type="expression" dxfId="353" priority="43">
      <formula>kvartal &lt; 4</formula>
    </cfRule>
  </conditionalFormatting>
  <conditionalFormatting sqref="G101">
    <cfRule type="expression" dxfId="352" priority="42">
      <formula>kvartal &lt; 4</formula>
    </cfRule>
  </conditionalFormatting>
  <conditionalFormatting sqref="G104">
    <cfRule type="expression" dxfId="351" priority="41">
      <formula>kvartal &lt; 4</formula>
    </cfRule>
  </conditionalFormatting>
  <conditionalFormatting sqref="F104">
    <cfRule type="expression" dxfId="350" priority="40">
      <formula>kvartal &lt; 4</formula>
    </cfRule>
  </conditionalFormatting>
  <conditionalFormatting sqref="J69:K71 J73:K73">
    <cfRule type="expression" dxfId="349" priority="39">
      <formula>kvartal &lt; 4</formula>
    </cfRule>
  </conditionalFormatting>
  <conditionalFormatting sqref="J80:K82 J84:K84">
    <cfRule type="expression" dxfId="348" priority="37">
      <formula>kvartal &lt; 4</formula>
    </cfRule>
  </conditionalFormatting>
  <conditionalFormatting sqref="J90:K92 J94:K94">
    <cfRule type="expression" dxfId="347" priority="34">
      <formula>kvartal &lt; 4</formula>
    </cfRule>
  </conditionalFormatting>
  <conditionalFormatting sqref="J101:K103 J105:K105">
    <cfRule type="expression" dxfId="346" priority="33">
      <formula>kvartal &lt; 4</formula>
    </cfRule>
  </conditionalFormatting>
  <conditionalFormatting sqref="J115:K115">
    <cfRule type="expression" dxfId="345" priority="32">
      <formula>kvartal &lt; 4</formula>
    </cfRule>
  </conditionalFormatting>
  <conditionalFormatting sqref="J123:K123">
    <cfRule type="expression" dxfId="344" priority="31">
      <formula>kvartal &lt; 4</formula>
    </cfRule>
  </conditionalFormatting>
  <conditionalFormatting sqref="A50:A52">
    <cfRule type="expression" dxfId="343" priority="12">
      <formula>kvartal &lt; 4</formula>
    </cfRule>
  </conditionalFormatting>
  <conditionalFormatting sqref="A69:A74">
    <cfRule type="expression" dxfId="342" priority="10">
      <formula>kvartal &lt; 4</formula>
    </cfRule>
  </conditionalFormatting>
  <conditionalFormatting sqref="A80:A85">
    <cfRule type="expression" dxfId="341" priority="9">
      <formula>kvartal &lt; 4</formula>
    </cfRule>
  </conditionalFormatting>
  <conditionalFormatting sqref="A90:A95">
    <cfRule type="expression" dxfId="340" priority="6">
      <formula>kvartal &lt; 4</formula>
    </cfRule>
  </conditionalFormatting>
  <conditionalFormatting sqref="A101:A106">
    <cfRule type="expression" dxfId="339" priority="5">
      <formula>kvartal &lt; 4</formula>
    </cfRule>
  </conditionalFormatting>
  <conditionalFormatting sqref="A115">
    <cfRule type="expression" dxfId="338" priority="4">
      <formula>kvartal &lt; 4</formula>
    </cfRule>
  </conditionalFormatting>
  <conditionalFormatting sqref="A123">
    <cfRule type="expression" dxfId="337" priority="3">
      <formula>kvartal &lt; 4</formula>
    </cfRule>
  </conditionalFormatting>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N144"/>
  <sheetViews>
    <sheetView showGridLines="0" zoomScaleNormal="100" workbookViewId="0"/>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139</v>
      </c>
      <c r="B1" s="945"/>
      <c r="C1" s="248" t="s">
        <v>137</v>
      </c>
      <c r="D1" s="26"/>
      <c r="E1" s="26"/>
      <c r="F1" s="26"/>
      <c r="G1" s="26"/>
      <c r="H1" s="26"/>
      <c r="I1" s="26"/>
      <c r="J1" s="26"/>
      <c r="K1" s="26"/>
      <c r="L1" s="26"/>
      <c r="M1" s="26"/>
    </row>
    <row r="2" spans="1:14" ht="15.75" x14ac:dyDescent="0.25">
      <c r="A2" s="165" t="s">
        <v>28</v>
      </c>
      <c r="B2" s="972"/>
      <c r="C2" s="972"/>
      <c r="D2" s="972"/>
      <c r="E2" s="298"/>
      <c r="F2" s="972"/>
      <c r="G2" s="972"/>
      <c r="H2" s="972"/>
      <c r="I2" s="298"/>
      <c r="J2" s="972"/>
      <c r="K2" s="972"/>
      <c r="L2" s="972"/>
      <c r="M2" s="298"/>
    </row>
    <row r="3" spans="1:14" ht="15.75" x14ac:dyDescent="0.25">
      <c r="A3" s="163"/>
      <c r="B3" s="298"/>
      <c r="C3" s="298"/>
      <c r="D3" s="298"/>
      <c r="E3" s="298"/>
      <c r="F3" s="298"/>
      <c r="G3" s="298"/>
      <c r="H3" s="298"/>
      <c r="I3" s="298"/>
      <c r="J3" s="298"/>
      <c r="K3" s="298"/>
      <c r="L3" s="298"/>
      <c r="M3" s="298"/>
    </row>
    <row r="4" spans="1:14" x14ac:dyDescent="0.2">
      <c r="A4" s="144"/>
      <c r="B4" s="973" t="s">
        <v>0</v>
      </c>
      <c r="C4" s="974"/>
      <c r="D4" s="974"/>
      <c r="E4" s="300"/>
      <c r="F4" s="973" t="s">
        <v>1</v>
      </c>
      <c r="G4" s="974"/>
      <c r="H4" s="974"/>
      <c r="I4" s="303"/>
      <c r="J4" s="973" t="s">
        <v>2</v>
      </c>
      <c r="K4" s="974"/>
      <c r="L4" s="974"/>
      <c r="M4" s="303"/>
    </row>
    <row r="5" spans="1:14" x14ac:dyDescent="0.2">
      <c r="A5" s="158"/>
      <c r="B5" s="152" t="s">
        <v>492</v>
      </c>
      <c r="C5" s="152" t="s">
        <v>493</v>
      </c>
      <c r="D5" s="245" t="s">
        <v>3</v>
      </c>
      <c r="E5" s="304" t="s">
        <v>29</v>
      </c>
      <c r="F5" s="152" t="s">
        <v>492</v>
      </c>
      <c r="G5" s="152" t="s">
        <v>493</v>
      </c>
      <c r="H5" s="245" t="s">
        <v>3</v>
      </c>
      <c r="I5" s="162" t="s">
        <v>29</v>
      </c>
      <c r="J5" s="152" t="s">
        <v>492</v>
      </c>
      <c r="K5" s="152" t="s">
        <v>493</v>
      </c>
      <c r="L5" s="245" t="s">
        <v>3</v>
      </c>
      <c r="M5" s="162" t="s">
        <v>29</v>
      </c>
    </row>
    <row r="6" spans="1:14" x14ac:dyDescent="0.2">
      <c r="A6" s="946"/>
      <c r="B6" s="156"/>
      <c r="C6" s="156"/>
      <c r="D6" s="246" t="s">
        <v>4</v>
      </c>
      <c r="E6" s="156" t="s">
        <v>30</v>
      </c>
      <c r="F6" s="161"/>
      <c r="G6" s="161"/>
      <c r="H6" s="245" t="s">
        <v>4</v>
      </c>
      <c r="I6" s="156" t="s">
        <v>30</v>
      </c>
      <c r="J6" s="161"/>
      <c r="K6" s="161"/>
      <c r="L6" s="245" t="s">
        <v>4</v>
      </c>
      <c r="M6" s="156" t="s">
        <v>30</v>
      </c>
    </row>
    <row r="7" spans="1:14" ht="15.75" x14ac:dyDescent="0.2">
      <c r="A7" s="14" t="s">
        <v>23</v>
      </c>
      <c r="B7" s="305">
        <v>667653.13699999999</v>
      </c>
      <c r="C7" s="306">
        <v>681154.11199999996</v>
      </c>
      <c r="D7" s="349">
        <f>IF(B7=0, "    ---- ", IF(ABS(ROUND(100/B7*C7-100,1))&lt;999,ROUND(100/B7*C7-100,1),IF(ROUND(100/B7*C7-100,1)&gt;999,999,-999)))</f>
        <v>2</v>
      </c>
      <c r="E7" s="11">
        <f>IFERROR(100/'Skjema total MA'!C7*C7,0)</f>
        <v>14.485784987658269</v>
      </c>
      <c r="F7" s="305">
        <v>1405990.24</v>
      </c>
      <c r="G7" s="306">
        <v>1233965.504</v>
      </c>
      <c r="H7" s="349">
        <f>IF(F7=0, "    ---- ", IF(ABS(ROUND(100/F7*G7-100,1))&lt;999,ROUND(100/F7*G7-100,1),IF(ROUND(100/F7*G7-100,1)&gt;999,999,-999)))</f>
        <v>-12.2</v>
      </c>
      <c r="I7" s="160">
        <f>IFERROR(100/'Skjema total MA'!F7*G7,0)</f>
        <v>11.811436283973224</v>
      </c>
      <c r="J7" s="307">
        <f t="shared" ref="J7:K12" si="0">SUM(B7,F7)</f>
        <v>2073643.3769999999</v>
      </c>
      <c r="K7" s="308">
        <f t="shared" si="0"/>
        <v>1915119.6159999999</v>
      </c>
      <c r="L7" s="372">
        <f>IF(J7=0, "    ---- ", IF(ABS(ROUND(100/J7*K7-100,1))&lt;999,ROUND(100/J7*K7-100,1),IF(ROUND(100/J7*K7-100,1)&gt;999,999,-999)))</f>
        <v>-7.6</v>
      </c>
      <c r="M7" s="11">
        <f>IFERROR(100/'Skjema total MA'!I7*K7,0)</f>
        <v>12.641525888929531</v>
      </c>
    </row>
    <row r="8" spans="1:14" ht="15.75" x14ac:dyDescent="0.2">
      <c r="A8" s="21" t="s">
        <v>25</v>
      </c>
      <c r="B8" s="280">
        <v>254546.67199999999</v>
      </c>
      <c r="C8" s="281">
        <v>266800.79100000003</v>
      </c>
      <c r="D8" s="166">
        <f t="shared" ref="D8:D10" si="1">IF(B8=0, "    ---- ", IF(ABS(ROUND(100/B8*C8-100,1))&lt;999,ROUND(100/B8*C8-100,1),IF(ROUND(100/B8*C8-100,1)&gt;999,999,-999)))</f>
        <v>4.8</v>
      </c>
      <c r="E8" s="27">
        <f>IFERROR(100/'Skjema total MA'!C8*C8,0)</f>
        <v>9.4985448365834344</v>
      </c>
      <c r="F8" s="284"/>
      <c r="G8" s="285"/>
      <c r="H8" s="166"/>
      <c r="I8" s="175"/>
      <c r="J8" s="234">
        <f t="shared" si="0"/>
        <v>254546.67199999999</v>
      </c>
      <c r="K8" s="286">
        <f t="shared" si="0"/>
        <v>266800.79100000003</v>
      </c>
      <c r="L8" s="166">
        <f t="shared" ref="L8:L9" si="2">IF(J8=0, "    ---- ", IF(ABS(ROUND(100/J8*K8-100,1))&lt;999,ROUND(100/J8*K8-100,1),IF(ROUND(100/J8*K8-100,1)&gt;999,999,-999)))</f>
        <v>4.8</v>
      </c>
      <c r="M8" s="27">
        <f>IFERROR(100/'Skjema total MA'!I8*K8,0)</f>
        <v>9.4985448365834344</v>
      </c>
    </row>
    <row r="9" spans="1:14" ht="15.75" x14ac:dyDescent="0.2">
      <c r="A9" s="21" t="s">
        <v>24</v>
      </c>
      <c r="B9" s="280">
        <v>75449.076000000001</v>
      </c>
      <c r="C9" s="281">
        <v>61205.169000000002</v>
      </c>
      <c r="D9" s="166">
        <f t="shared" si="1"/>
        <v>-18.899999999999999</v>
      </c>
      <c r="E9" s="27">
        <f>IFERROR(100/'Skjema total MA'!C9*C9,0)</f>
        <v>6.2155969827521673</v>
      </c>
      <c r="F9" s="284"/>
      <c r="G9" s="285"/>
      <c r="H9" s="166"/>
      <c r="I9" s="175"/>
      <c r="J9" s="234">
        <f t="shared" si="0"/>
        <v>75449.076000000001</v>
      </c>
      <c r="K9" s="286">
        <f t="shared" si="0"/>
        <v>61205.169000000002</v>
      </c>
      <c r="L9" s="166">
        <f t="shared" si="2"/>
        <v>-18.899999999999999</v>
      </c>
      <c r="M9" s="27">
        <f>IFERROR(100/'Skjema total MA'!I9*K9,0)</f>
        <v>6.2155969827521673</v>
      </c>
    </row>
    <row r="10" spans="1:14" ht="15.75" x14ac:dyDescent="0.2">
      <c r="A10" s="13" t="s">
        <v>451</v>
      </c>
      <c r="B10" s="309">
        <v>4011659.6260000002</v>
      </c>
      <c r="C10" s="310">
        <v>3960295.855</v>
      </c>
      <c r="D10" s="171">
        <f t="shared" si="1"/>
        <v>-1.3</v>
      </c>
      <c r="E10" s="11">
        <f>IFERROR(100/'Skjema total MA'!C10*C10,0)</f>
        <v>18.732902238914008</v>
      </c>
      <c r="F10" s="309">
        <v>6842610.8509999998</v>
      </c>
      <c r="G10" s="310">
        <v>7506271.8710000003</v>
      </c>
      <c r="H10" s="171">
        <f t="shared" ref="H10:H12" si="3">IF(F10=0, "    ---- ", IF(ABS(ROUND(100/F10*G10-100,1))&lt;999,ROUND(100/F10*G10-100,1),IF(ROUND(100/F10*G10-100,1)&gt;999,999,-999)))</f>
        <v>9.6999999999999993</v>
      </c>
      <c r="I10" s="160">
        <f>IFERROR(100/'Skjema total MA'!F10*G10,0)</f>
        <v>14.168759574246195</v>
      </c>
      <c r="J10" s="307">
        <f t="shared" si="0"/>
        <v>10854270.477</v>
      </c>
      <c r="K10" s="308">
        <f t="shared" si="0"/>
        <v>11466567.726</v>
      </c>
      <c r="L10" s="373">
        <f t="shared" ref="L10:L12" si="4">IF(J10=0, "    ---- ", IF(ABS(ROUND(100/J10*K10-100,1))&lt;999,ROUND(100/J10*K10-100,1),IF(ROUND(100/J10*K10-100,1)&gt;999,999,-999)))</f>
        <v>5.6</v>
      </c>
      <c r="M10" s="11">
        <f>IFERROR(100/'Skjema total MA'!I10*K10,0)</f>
        <v>15.470592599598458</v>
      </c>
    </row>
    <row r="11" spans="1:14" s="43" customFormat="1" ht="15.75" x14ac:dyDescent="0.2">
      <c r="A11" s="13" t="s">
        <v>452</v>
      </c>
      <c r="B11" s="309"/>
      <c r="C11" s="310"/>
      <c r="D11" s="171"/>
      <c r="E11" s="11"/>
      <c r="F11" s="309">
        <v>18576.319</v>
      </c>
      <c r="G11" s="310">
        <v>11825.915000000001</v>
      </c>
      <c r="H11" s="171">
        <f t="shared" si="3"/>
        <v>-36.299999999999997</v>
      </c>
      <c r="I11" s="160">
        <f>IFERROR(100/'Skjema total MA'!F11*G11,0)</f>
        <v>2.8654967776675</v>
      </c>
      <c r="J11" s="307">
        <f t="shared" si="0"/>
        <v>18576.319</v>
      </c>
      <c r="K11" s="308">
        <f t="shared" si="0"/>
        <v>11825.915000000001</v>
      </c>
      <c r="L11" s="373">
        <f t="shared" si="4"/>
        <v>-36.299999999999997</v>
      </c>
      <c r="M11" s="11">
        <f>IFERROR(100/'Skjema total MA'!I11*K11,0)</f>
        <v>2.4745411805965722</v>
      </c>
      <c r="N11" s="143"/>
    </row>
    <row r="12" spans="1:14" s="43" customFormat="1" ht="15.75" x14ac:dyDescent="0.2">
      <c r="A12" s="41" t="s">
        <v>453</v>
      </c>
      <c r="B12" s="311"/>
      <c r="C12" s="312"/>
      <c r="D12" s="169"/>
      <c r="E12" s="36"/>
      <c r="F12" s="311">
        <v>31513.37</v>
      </c>
      <c r="G12" s="312">
        <v>52011.178999999996</v>
      </c>
      <c r="H12" s="169">
        <f t="shared" si="3"/>
        <v>65</v>
      </c>
      <c r="I12" s="169">
        <f>IFERROR(100/'Skjema total MA'!F12*G12,0)</f>
        <v>16.031663830613777</v>
      </c>
      <c r="J12" s="313">
        <f t="shared" si="0"/>
        <v>31513.37</v>
      </c>
      <c r="K12" s="314">
        <f t="shared" si="0"/>
        <v>52011.178999999996</v>
      </c>
      <c r="L12" s="374">
        <f t="shared" si="4"/>
        <v>65</v>
      </c>
      <c r="M12" s="36">
        <f>IFERROR(100/'Skjema total MA'!I12*K12,0)</f>
        <v>15.184467559826683</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975"/>
      <c r="C18" s="975"/>
      <c r="D18" s="975"/>
      <c r="E18" s="298"/>
      <c r="F18" s="975"/>
      <c r="G18" s="975"/>
      <c r="H18" s="975"/>
      <c r="I18" s="298"/>
      <c r="J18" s="975"/>
      <c r="K18" s="975"/>
      <c r="L18" s="975"/>
      <c r="M18" s="298"/>
    </row>
    <row r="19" spans="1:14" x14ac:dyDescent="0.2">
      <c r="A19" s="144"/>
      <c r="B19" s="973" t="s">
        <v>0</v>
      </c>
      <c r="C19" s="974"/>
      <c r="D19" s="974"/>
      <c r="E19" s="300"/>
      <c r="F19" s="973" t="s">
        <v>1</v>
      </c>
      <c r="G19" s="974"/>
      <c r="H19" s="974"/>
      <c r="I19" s="303"/>
      <c r="J19" s="973" t="s">
        <v>2</v>
      </c>
      <c r="K19" s="974"/>
      <c r="L19" s="974"/>
      <c r="M19" s="303"/>
    </row>
    <row r="20" spans="1:14" x14ac:dyDescent="0.2">
      <c r="A20" s="140" t="s">
        <v>5</v>
      </c>
      <c r="B20" s="152" t="s">
        <v>492</v>
      </c>
      <c r="C20" s="152" t="s">
        <v>493</v>
      </c>
      <c r="D20" s="162" t="s">
        <v>3</v>
      </c>
      <c r="E20" s="304" t="s">
        <v>29</v>
      </c>
      <c r="F20" s="152" t="s">
        <v>492</v>
      </c>
      <c r="G20" s="152" t="s">
        <v>493</v>
      </c>
      <c r="H20" s="162" t="s">
        <v>3</v>
      </c>
      <c r="I20" s="162" t="s">
        <v>29</v>
      </c>
      <c r="J20" s="152" t="s">
        <v>492</v>
      </c>
      <c r="K20" s="152" t="s">
        <v>493</v>
      </c>
      <c r="L20" s="162" t="s">
        <v>3</v>
      </c>
      <c r="M20" s="162" t="s">
        <v>29</v>
      </c>
    </row>
    <row r="21" spans="1:14" x14ac:dyDescent="0.2">
      <c r="A21" s="947"/>
      <c r="B21" s="156"/>
      <c r="C21" s="156"/>
      <c r="D21" s="246" t="s">
        <v>4</v>
      </c>
      <c r="E21" s="156" t="s">
        <v>30</v>
      </c>
      <c r="F21" s="161"/>
      <c r="G21" s="161"/>
      <c r="H21" s="245" t="s">
        <v>4</v>
      </c>
      <c r="I21" s="156" t="s">
        <v>30</v>
      </c>
      <c r="J21" s="161"/>
      <c r="K21" s="161"/>
      <c r="L21" s="156" t="s">
        <v>4</v>
      </c>
      <c r="M21" s="156" t="s">
        <v>30</v>
      </c>
    </row>
    <row r="22" spans="1:14" ht="15.75" x14ac:dyDescent="0.2">
      <c r="A22" s="14" t="s">
        <v>23</v>
      </c>
      <c r="B22" s="309">
        <v>11670.253000000001</v>
      </c>
      <c r="C22" s="309">
        <v>10196.307000000001</v>
      </c>
      <c r="D22" s="349">
        <f t="shared" ref="D22:D37" si="5">IF(B22=0, "    ---- ", IF(ABS(ROUND(100/B22*C22-100,1))&lt;999,ROUND(100/B22*C22-100,1),IF(ROUND(100/B22*C22-100,1)&gt;999,999,-999)))</f>
        <v>-12.6</v>
      </c>
      <c r="E22" s="11">
        <f>IFERROR(100/'Skjema total MA'!C22*C22,0)</f>
        <v>0.57004249416883401</v>
      </c>
      <c r="F22" s="317">
        <v>455322.59821000003</v>
      </c>
      <c r="G22" s="317">
        <v>414493.20600000001</v>
      </c>
      <c r="H22" s="349">
        <f t="shared" ref="H22:H35" si="6">IF(F22=0, "    ---- ", IF(ABS(ROUND(100/F22*G22-100,1))&lt;999,ROUND(100/F22*G22-100,1),IF(ROUND(100/F22*G22-100,1)&gt;999,999,-999)))</f>
        <v>-9</v>
      </c>
      <c r="I22" s="11">
        <f>IFERROR(100/'Skjema total MA'!F22*G22,0)</f>
        <v>31.36332726753189</v>
      </c>
      <c r="J22" s="315">
        <f t="shared" ref="J22:K35" si="7">SUM(B22,F22)</f>
        <v>466992.85121000005</v>
      </c>
      <c r="K22" s="315">
        <f t="shared" si="7"/>
        <v>424689.51300000004</v>
      </c>
      <c r="L22" s="372">
        <f t="shared" ref="L22:L37" si="8">IF(J22=0, "    ---- ", IF(ABS(ROUND(100/J22*K22-100,1))&lt;999,ROUND(100/J22*K22-100,1),IF(ROUND(100/J22*K22-100,1)&gt;999,999,-999)))</f>
        <v>-9.1</v>
      </c>
      <c r="M22" s="24">
        <f>IFERROR(100/'Skjema total MA'!I22*K22,0)</f>
        <v>13.65439077191944</v>
      </c>
    </row>
    <row r="23" spans="1:14" ht="15.75" x14ac:dyDescent="0.2">
      <c r="A23" s="753" t="s">
        <v>454</v>
      </c>
      <c r="B23" s="280">
        <v>1489.325</v>
      </c>
      <c r="C23" s="280">
        <v>1290.875</v>
      </c>
      <c r="D23" s="166">
        <f t="shared" si="5"/>
        <v>-13.3</v>
      </c>
      <c r="E23" s="11">
        <f>IFERROR(100/'Skjema total MA'!C23*C23,0)</f>
        <v>7.6708655746225526E-2</v>
      </c>
      <c r="F23" s="289">
        <v>82219.510999999999</v>
      </c>
      <c r="G23" s="289">
        <v>29514.04</v>
      </c>
      <c r="H23" s="166">
        <f t="shared" si="6"/>
        <v>-64.099999999999994</v>
      </c>
      <c r="I23" s="365">
        <f>IFERROR(100/'Skjema total MA'!F23*G23,0)</f>
        <v>29.646913374470326</v>
      </c>
      <c r="J23" s="289">
        <f t="shared" ref="J23:J26" si="9">SUM(B23,F23)</f>
        <v>83708.835999999996</v>
      </c>
      <c r="K23" s="289">
        <f t="shared" ref="K23:K26" si="10">SUM(C23,G23)</f>
        <v>30804.915000000001</v>
      </c>
      <c r="L23" s="166">
        <f t="shared" si="8"/>
        <v>-63.2</v>
      </c>
      <c r="M23" s="23">
        <f>IFERROR(100/'Skjema total MA'!I23*K23,0)</f>
        <v>1.7283021746064557</v>
      </c>
    </row>
    <row r="24" spans="1:14" ht="15.75" x14ac:dyDescent="0.2">
      <c r="A24" s="753" t="s">
        <v>455</v>
      </c>
      <c r="B24" s="280">
        <v>10180.928</v>
      </c>
      <c r="C24" s="280">
        <v>8905.4320000000007</v>
      </c>
      <c r="D24" s="166">
        <f t="shared" si="5"/>
        <v>-12.5</v>
      </c>
      <c r="E24" s="11">
        <f>IFERROR(100/'Skjema total MA'!C24*C24,0)</f>
        <v>23.650555651665321</v>
      </c>
      <c r="F24" s="289">
        <v>13.117190000000001</v>
      </c>
      <c r="G24" s="289">
        <v>3.371</v>
      </c>
      <c r="H24" s="166">
        <f t="shared" si="6"/>
        <v>-74.3</v>
      </c>
      <c r="I24" s="365">
        <f>IFERROR(100/'Skjema total MA'!F24*G24,0)</f>
        <v>1.8790157970546997</v>
      </c>
      <c r="J24" s="289">
        <f t="shared" si="9"/>
        <v>10194.045190000001</v>
      </c>
      <c r="K24" s="289">
        <f t="shared" si="10"/>
        <v>8908.8029999999999</v>
      </c>
      <c r="L24" s="166">
        <f t="shared" si="8"/>
        <v>-12.6</v>
      </c>
      <c r="M24" s="23">
        <f>IFERROR(100/'Skjema total MA'!I24*K24,0)</f>
        <v>23.547317658161937</v>
      </c>
    </row>
    <row r="25" spans="1:14" ht="15.75" x14ac:dyDescent="0.2">
      <c r="A25" s="753" t="s">
        <v>456</v>
      </c>
      <c r="B25" s="280"/>
      <c r="C25" s="280"/>
      <c r="D25" s="166"/>
      <c r="E25" s="11"/>
      <c r="F25" s="289">
        <v>834.40787999999998</v>
      </c>
      <c r="G25" s="289">
        <v>45.378999999999998</v>
      </c>
      <c r="H25" s="166">
        <f t="shared" si="6"/>
        <v>-94.6</v>
      </c>
      <c r="I25" s="365">
        <f>IFERROR(100/'Skjema total MA'!F25*G25,0)</f>
        <v>0.16585807392560764</v>
      </c>
      <c r="J25" s="289">
        <f t="shared" si="9"/>
        <v>834.40787999999998</v>
      </c>
      <c r="K25" s="289">
        <f t="shared" si="10"/>
        <v>45.378999999999998</v>
      </c>
      <c r="L25" s="166">
        <f t="shared" si="8"/>
        <v>-94.6</v>
      </c>
      <c r="M25" s="23">
        <f>IFERROR(100/'Skjema total MA'!I25*K25,0)</f>
        <v>6.6789672208619699E-2</v>
      </c>
    </row>
    <row r="26" spans="1:14" ht="15.75" x14ac:dyDescent="0.2">
      <c r="A26" s="753" t="s">
        <v>457</v>
      </c>
      <c r="B26" s="280"/>
      <c r="C26" s="280"/>
      <c r="D26" s="166"/>
      <c r="E26" s="11"/>
      <c r="F26" s="289">
        <v>372255.56213999999</v>
      </c>
      <c r="G26" s="289">
        <v>384930.41600000003</v>
      </c>
      <c r="H26" s="166">
        <f t="shared" si="6"/>
        <v>3.4</v>
      </c>
      <c r="I26" s="365">
        <f>IFERROR(100/'Skjema total MA'!F26*G26,0)</f>
        <v>32.225389859845393</v>
      </c>
      <c r="J26" s="289">
        <f t="shared" si="9"/>
        <v>372255.56213999999</v>
      </c>
      <c r="K26" s="289">
        <f t="shared" si="10"/>
        <v>384930.41600000003</v>
      </c>
      <c r="L26" s="166">
        <f t="shared" si="8"/>
        <v>3.4</v>
      </c>
      <c r="M26" s="23">
        <f>IFERROR(100/'Skjema total MA'!I26*K26,0)</f>
        <v>32.225389859845393</v>
      </c>
    </row>
    <row r="27" spans="1:14" x14ac:dyDescent="0.2">
      <c r="A27" s="753" t="s">
        <v>11</v>
      </c>
      <c r="B27" s="280"/>
      <c r="C27" s="280"/>
      <c r="D27" s="166"/>
      <c r="E27" s="11"/>
      <c r="F27" s="289"/>
      <c r="G27" s="289"/>
      <c r="H27" s="166"/>
      <c r="I27" s="365"/>
      <c r="J27" s="289"/>
      <c r="K27" s="289"/>
      <c r="L27" s="166"/>
      <c r="M27" s="23"/>
    </row>
    <row r="28" spans="1:14" ht="15.75" x14ac:dyDescent="0.2">
      <c r="A28" s="49" t="s">
        <v>279</v>
      </c>
      <c r="B28" s="44">
        <v>208153.94500000001</v>
      </c>
      <c r="C28" s="286">
        <v>191708.98699999999</v>
      </c>
      <c r="D28" s="166">
        <f t="shared" si="5"/>
        <v>-7.9</v>
      </c>
      <c r="E28" s="11">
        <f>IFERROR(100/'Skjema total MA'!C28*C28,0)</f>
        <v>10.200086233274412</v>
      </c>
      <c r="F28" s="234"/>
      <c r="G28" s="286"/>
      <c r="H28" s="166"/>
      <c r="I28" s="27"/>
      <c r="J28" s="44">
        <f t="shared" si="7"/>
        <v>208153.94500000001</v>
      </c>
      <c r="K28" s="44">
        <f t="shared" si="7"/>
        <v>191708.98699999999</v>
      </c>
      <c r="L28" s="254">
        <f t="shared" si="8"/>
        <v>-7.9</v>
      </c>
      <c r="M28" s="23">
        <f>IFERROR(100/'Skjema total MA'!I28*K28,0)</f>
        <v>10.200086233274412</v>
      </c>
    </row>
    <row r="29" spans="1:14" s="3" customFormat="1" ht="15.75" x14ac:dyDescent="0.2">
      <c r="A29" s="13" t="s">
        <v>451</v>
      </c>
      <c r="B29" s="236">
        <v>10378407</v>
      </c>
      <c r="C29" s="236">
        <v>9679303.9440000001</v>
      </c>
      <c r="D29" s="171">
        <f t="shared" si="5"/>
        <v>-6.7</v>
      </c>
      <c r="E29" s="11">
        <f>IFERROR(100/'Skjema total MA'!C29*C29,0)</f>
        <v>20.604319308714413</v>
      </c>
      <c r="F29" s="307">
        <v>4159790.077</v>
      </c>
      <c r="G29" s="307">
        <v>4910627.807</v>
      </c>
      <c r="H29" s="171">
        <f t="shared" si="6"/>
        <v>18</v>
      </c>
      <c r="I29" s="11">
        <f>IFERROR(100/'Skjema total MA'!F29*G29,0)</f>
        <v>21.982969752761381</v>
      </c>
      <c r="J29" s="236">
        <f t="shared" si="7"/>
        <v>14538197.077</v>
      </c>
      <c r="K29" s="236">
        <f t="shared" si="7"/>
        <v>14589931.751</v>
      </c>
      <c r="L29" s="373">
        <f t="shared" si="8"/>
        <v>0.4</v>
      </c>
      <c r="M29" s="24">
        <f>IFERROR(100/'Skjema total MA'!I29*K29,0)</f>
        <v>21.048618118621135</v>
      </c>
      <c r="N29" s="148"/>
    </row>
    <row r="30" spans="1:14" s="3" customFormat="1" ht="14.25" customHeight="1" x14ac:dyDescent="0.2">
      <c r="A30" s="753" t="s">
        <v>454</v>
      </c>
      <c r="B30" s="280">
        <v>1324463</v>
      </c>
      <c r="C30" s="280">
        <v>1225421.0419999999</v>
      </c>
      <c r="D30" s="166">
        <f t="shared" si="5"/>
        <v>-7.5</v>
      </c>
      <c r="E30" s="11">
        <f>IFERROR(100/'Skjema total MA'!C30*C30,0)</f>
        <v>6.9341006419287385</v>
      </c>
      <c r="F30" s="289">
        <v>494646.15700000001</v>
      </c>
      <c r="G30" s="289">
        <v>516904.00300000003</v>
      </c>
      <c r="H30" s="166">
        <f t="shared" si="6"/>
        <v>4.5</v>
      </c>
      <c r="I30" s="365">
        <f>IFERROR(100/'Skjema total MA'!F30*G30,0)</f>
        <v>11.608515982345967</v>
      </c>
      <c r="J30" s="289">
        <f t="shared" ref="J30:J33" si="11">SUM(B30,F30)</f>
        <v>1819109.1570000001</v>
      </c>
      <c r="K30" s="289">
        <f t="shared" ref="K30:K33" si="12">SUM(C30,G30)</f>
        <v>1742325.0449999999</v>
      </c>
      <c r="L30" s="166">
        <f t="shared" si="8"/>
        <v>-4.2</v>
      </c>
      <c r="M30" s="23">
        <f>IFERROR(100/'Skjema total MA'!I30*K30,0)</f>
        <v>7.8748491891675361</v>
      </c>
      <c r="N30" s="148"/>
    </row>
    <row r="31" spans="1:14" s="3" customFormat="1" ht="15.75" x14ac:dyDescent="0.2">
      <c r="A31" s="753" t="s">
        <v>455</v>
      </c>
      <c r="B31" s="280">
        <v>9053944</v>
      </c>
      <c r="C31" s="280">
        <v>8453882.9020000007</v>
      </c>
      <c r="D31" s="166">
        <f t="shared" si="5"/>
        <v>-6.6</v>
      </c>
      <c r="E31" s="11">
        <f>IFERROR(100/'Skjema total MA'!C31*C31,0)</f>
        <v>32.319991585150987</v>
      </c>
      <c r="F31" s="289">
        <v>1835401.642</v>
      </c>
      <c r="G31" s="289">
        <v>1834657.4339999999</v>
      </c>
      <c r="H31" s="166">
        <f t="shared" si="6"/>
        <v>0</v>
      </c>
      <c r="I31" s="365">
        <f>IFERROR(100/'Skjema total MA'!F31*G31,0)</f>
        <v>18.676295418078766</v>
      </c>
      <c r="J31" s="289">
        <f t="shared" si="11"/>
        <v>10889345.642000001</v>
      </c>
      <c r="K31" s="289">
        <f t="shared" si="12"/>
        <v>10288540.336000001</v>
      </c>
      <c r="L31" s="166">
        <f t="shared" si="8"/>
        <v>-5.5</v>
      </c>
      <c r="M31" s="23">
        <f>IFERROR(100/'Skjema total MA'!I31*K31,0)</f>
        <v>28.594944376215579</v>
      </c>
      <c r="N31" s="148"/>
    </row>
    <row r="32" spans="1:14" ht="15.75" x14ac:dyDescent="0.2">
      <c r="A32" s="753" t="s">
        <v>456</v>
      </c>
      <c r="B32" s="280"/>
      <c r="C32" s="280"/>
      <c r="D32" s="166"/>
      <c r="E32" s="11"/>
      <c r="F32" s="289">
        <v>1182201.0859999999</v>
      </c>
      <c r="G32" s="289">
        <v>1412669.8859999999</v>
      </c>
      <c r="H32" s="166">
        <f t="shared" si="6"/>
        <v>19.5</v>
      </c>
      <c r="I32" s="365">
        <f>IFERROR(100/'Skjema total MA'!F32*G32,0)</f>
        <v>30.291575305368703</v>
      </c>
      <c r="J32" s="289">
        <f t="shared" si="11"/>
        <v>1182201.0859999999</v>
      </c>
      <c r="K32" s="289">
        <f t="shared" si="12"/>
        <v>1412669.8859999999</v>
      </c>
      <c r="L32" s="166">
        <f t="shared" si="8"/>
        <v>19.5</v>
      </c>
      <c r="M32" s="23">
        <f>IFERROR(100/'Skjema total MA'!I32*K32,0)</f>
        <v>18.396811171604039</v>
      </c>
    </row>
    <row r="33" spans="1:14" ht="15.75" x14ac:dyDescent="0.2">
      <c r="A33" s="753" t="s">
        <v>457</v>
      </c>
      <c r="B33" s="280"/>
      <c r="C33" s="280"/>
      <c r="D33" s="166"/>
      <c r="E33" s="11"/>
      <c r="F33" s="289">
        <v>647541.19200000004</v>
      </c>
      <c r="G33" s="289">
        <v>1146396.4839999999</v>
      </c>
      <c r="H33" s="166">
        <f t="shared" si="6"/>
        <v>77</v>
      </c>
      <c r="I33" s="365">
        <f>IFERROR(100/'Skjema total MA'!F34*G33,0)</f>
        <v>1633.5146709126263</v>
      </c>
      <c r="J33" s="289">
        <f t="shared" si="11"/>
        <v>647541.19200000004</v>
      </c>
      <c r="K33" s="289">
        <f t="shared" si="12"/>
        <v>1146396.4839999999</v>
      </c>
      <c r="L33" s="166">
        <f t="shared" si="8"/>
        <v>77</v>
      </c>
      <c r="M33" s="23">
        <f>IFERROR(100/'Skjema total MA'!I34*K33,0)</f>
        <v>1185.0739649587113</v>
      </c>
    </row>
    <row r="34" spans="1:14" ht="15.75" x14ac:dyDescent="0.2">
      <c r="A34" s="13" t="s">
        <v>452</v>
      </c>
      <c r="B34" s="236">
        <v>6024.2439999999997</v>
      </c>
      <c r="C34" s="308">
        <v>6602.5330000000004</v>
      </c>
      <c r="D34" s="171">
        <f t="shared" si="5"/>
        <v>9.6</v>
      </c>
      <c r="E34" s="11">
        <f>IFERROR(100/'Skjema total MA'!C34*C34,0)</f>
        <v>24.862179863613978</v>
      </c>
      <c r="F34" s="307">
        <v>22537.77</v>
      </c>
      <c r="G34" s="308">
        <v>15269.174000000001</v>
      </c>
      <c r="H34" s="171">
        <f t="shared" si="6"/>
        <v>-32.299999999999997</v>
      </c>
      <c r="I34" s="11">
        <f>IFERROR(100/'Skjema total MA'!F34*G34,0)</f>
        <v>21.757236776135848</v>
      </c>
      <c r="J34" s="236">
        <f t="shared" si="7"/>
        <v>28562.013999999999</v>
      </c>
      <c r="K34" s="236">
        <f t="shared" si="7"/>
        <v>21871.707000000002</v>
      </c>
      <c r="L34" s="373">
        <f t="shared" si="8"/>
        <v>-23.4</v>
      </c>
      <c r="M34" s="24">
        <f>IFERROR(100/'Skjema total MA'!I34*K34,0)</f>
        <v>22.609621450047296</v>
      </c>
    </row>
    <row r="35" spans="1:14" ht="15.75" x14ac:dyDescent="0.2">
      <c r="A35" s="13" t="s">
        <v>453</v>
      </c>
      <c r="B35" s="236">
        <v>1913.9280000000001</v>
      </c>
      <c r="C35" s="308">
        <v>1156.0450000000001</v>
      </c>
      <c r="D35" s="171">
        <f t="shared" si="5"/>
        <v>-39.6</v>
      </c>
      <c r="E35" s="11">
        <f>IFERROR(100/'Skjema total MA'!C35*C35,0)</f>
        <v>-3.960408189412044</v>
      </c>
      <c r="F35" s="307">
        <v>15603.333000000001</v>
      </c>
      <c r="G35" s="308">
        <v>22122.853999999999</v>
      </c>
      <c r="H35" s="171">
        <f t="shared" si="6"/>
        <v>41.8</v>
      </c>
      <c r="I35" s="11">
        <f>IFERROR(100/'Skjema total MA'!F35*G35,0)</f>
        <v>16.635184924736958</v>
      </c>
      <c r="J35" s="236">
        <f t="shared" si="7"/>
        <v>17517.261000000002</v>
      </c>
      <c r="K35" s="236">
        <f t="shared" si="7"/>
        <v>23278.898999999998</v>
      </c>
      <c r="L35" s="373">
        <f t="shared" si="8"/>
        <v>32.9</v>
      </c>
      <c r="M35" s="24">
        <f>IFERROR(100/'Skjema total MA'!I35*K35,0)</f>
        <v>22.427056692000829</v>
      </c>
    </row>
    <row r="36" spans="1:14" ht="15.75" x14ac:dyDescent="0.2">
      <c r="A36" s="12" t="s">
        <v>287</v>
      </c>
      <c r="B36" s="236">
        <v>98.703999999999994</v>
      </c>
      <c r="C36" s="308">
        <v>52.220999999999997</v>
      </c>
      <c r="D36" s="171">
        <f t="shared" si="5"/>
        <v>-47.1</v>
      </c>
      <c r="E36" s="11">
        <f>100/'Skjema total MA'!C36*C36</f>
        <v>0.42785788147547676</v>
      </c>
      <c r="F36" s="318"/>
      <c r="G36" s="319"/>
      <c r="H36" s="171"/>
      <c r="I36" s="379"/>
      <c r="J36" s="236">
        <f t="shared" ref="J36:J37" si="13">SUM(B36,F36)</f>
        <v>98.703999999999994</v>
      </c>
      <c r="K36" s="236">
        <f t="shared" ref="K36:K37" si="14">SUM(C36,G36)</f>
        <v>52.220999999999997</v>
      </c>
      <c r="L36" s="171">
        <f t="shared" si="8"/>
        <v>-47.1</v>
      </c>
      <c r="M36" s="24">
        <f>IFERROR(100/'Skjema total MA'!I36*K36,0)</f>
        <v>0.42785788147547676</v>
      </c>
    </row>
    <row r="37" spans="1:14" ht="15.75" x14ac:dyDescent="0.2">
      <c r="A37" s="12" t="s">
        <v>459</v>
      </c>
      <c r="B37" s="236">
        <v>471090.353</v>
      </c>
      <c r="C37" s="308">
        <v>460677.3</v>
      </c>
      <c r="D37" s="171">
        <f t="shared" si="5"/>
        <v>-2.2000000000000002</v>
      </c>
      <c r="E37" s="11">
        <f>100/'Skjema total MA'!C37*C37</f>
        <v>12.850491267497732</v>
      </c>
      <c r="F37" s="318"/>
      <c r="G37" s="320"/>
      <c r="H37" s="171"/>
      <c r="I37" s="379"/>
      <c r="J37" s="236">
        <f t="shared" si="13"/>
        <v>471090.353</v>
      </c>
      <c r="K37" s="236">
        <f t="shared" si="14"/>
        <v>460677.3</v>
      </c>
      <c r="L37" s="171">
        <f t="shared" si="8"/>
        <v>-2.2000000000000002</v>
      </c>
      <c r="M37" s="24">
        <f>IFERROR(100/'Skjema total MA'!I37*K37,0)</f>
        <v>12.850491267497732</v>
      </c>
    </row>
    <row r="38" spans="1:14" ht="15.75" x14ac:dyDescent="0.2">
      <c r="A38" s="12" t="s">
        <v>460</v>
      </c>
      <c r="B38" s="236"/>
      <c r="C38" s="308"/>
      <c r="D38" s="171"/>
      <c r="E38" s="24"/>
      <c r="F38" s="318"/>
      <c r="G38" s="319"/>
      <c r="H38" s="171"/>
      <c r="I38" s="379"/>
      <c r="J38" s="236"/>
      <c r="K38" s="236"/>
      <c r="L38" s="373"/>
      <c r="M38" s="24"/>
    </row>
    <row r="39" spans="1:14" ht="15.75" x14ac:dyDescent="0.2">
      <c r="A39" s="18" t="s">
        <v>461</v>
      </c>
      <c r="B39" s="275"/>
      <c r="C39" s="314"/>
      <c r="D39" s="169"/>
      <c r="E39" s="36"/>
      <c r="F39" s="321"/>
      <c r="G39" s="322"/>
      <c r="H39" s="169"/>
      <c r="I39" s="36"/>
      <c r="J39" s="236"/>
      <c r="K39" s="236"/>
      <c r="L39" s="374"/>
      <c r="M39" s="36"/>
    </row>
    <row r="40" spans="1:14" ht="15.75" x14ac:dyDescent="0.25">
      <c r="A40" s="47"/>
      <c r="B40" s="253"/>
      <c r="C40" s="253"/>
      <c r="D40" s="976"/>
      <c r="E40" s="976"/>
      <c r="F40" s="976"/>
      <c r="G40" s="976"/>
      <c r="H40" s="976"/>
      <c r="I40" s="976"/>
      <c r="J40" s="976"/>
      <c r="K40" s="976"/>
      <c r="L40" s="976"/>
      <c r="M40" s="301"/>
    </row>
    <row r="41" spans="1:14" x14ac:dyDescent="0.2">
      <c r="A41" s="155"/>
    </row>
    <row r="42" spans="1:14" ht="15.75" x14ac:dyDescent="0.25">
      <c r="A42" s="147" t="s">
        <v>276</v>
      </c>
      <c r="B42" s="972"/>
      <c r="C42" s="972"/>
      <c r="D42" s="972"/>
      <c r="E42" s="298"/>
      <c r="F42" s="977"/>
      <c r="G42" s="977"/>
      <c r="H42" s="977"/>
      <c r="I42" s="301"/>
      <c r="J42" s="977"/>
      <c r="K42" s="977"/>
      <c r="L42" s="977"/>
      <c r="M42" s="301"/>
    </row>
    <row r="43" spans="1:14" ht="15.75" x14ac:dyDescent="0.25">
      <c r="A43" s="163"/>
      <c r="B43" s="302"/>
      <c r="C43" s="302"/>
      <c r="D43" s="302"/>
      <c r="E43" s="302"/>
      <c r="F43" s="301"/>
      <c r="G43" s="301"/>
      <c r="H43" s="301"/>
      <c r="I43" s="301"/>
      <c r="J43" s="301"/>
      <c r="K43" s="301"/>
      <c r="L43" s="301"/>
      <c r="M43" s="301"/>
    </row>
    <row r="44" spans="1:14" ht="15.75" x14ac:dyDescent="0.25">
      <c r="A44" s="247"/>
      <c r="B44" s="973" t="s">
        <v>0</v>
      </c>
      <c r="C44" s="974"/>
      <c r="D44" s="974"/>
      <c r="E44" s="243"/>
      <c r="F44" s="301"/>
      <c r="G44" s="301"/>
      <c r="H44" s="301"/>
      <c r="I44" s="301"/>
      <c r="J44" s="301"/>
      <c r="K44" s="301"/>
      <c r="L44" s="301"/>
      <c r="M44" s="301"/>
    </row>
    <row r="45" spans="1:14" s="3" customFormat="1" x14ac:dyDescent="0.2">
      <c r="A45" s="140"/>
      <c r="B45" s="152" t="s">
        <v>492</v>
      </c>
      <c r="C45" s="152" t="s">
        <v>493</v>
      </c>
      <c r="D45" s="162" t="s">
        <v>3</v>
      </c>
      <c r="E45" s="162" t="s">
        <v>29</v>
      </c>
      <c r="F45" s="174"/>
      <c r="G45" s="174"/>
      <c r="H45" s="173"/>
      <c r="I45" s="173"/>
      <c r="J45" s="174"/>
      <c r="K45" s="174"/>
      <c r="L45" s="173"/>
      <c r="M45" s="173"/>
      <c r="N45" s="148"/>
    </row>
    <row r="46" spans="1:14" s="3" customFormat="1" x14ac:dyDescent="0.2">
      <c r="A46" s="947"/>
      <c r="B46" s="244"/>
      <c r="C46" s="244"/>
      <c r="D46" s="245" t="s">
        <v>4</v>
      </c>
      <c r="E46" s="156" t="s">
        <v>30</v>
      </c>
      <c r="F46" s="173"/>
      <c r="G46" s="173"/>
      <c r="H46" s="173"/>
      <c r="I46" s="173"/>
      <c r="J46" s="173"/>
      <c r="K46" s="173"/>
      <c r="L46" s="173"/>
      <c r="M46" s="173"/>
      <c r="N46" s="148"/>
    </row>
    <row r="47" spans="1:14" s="3" customFormat="1" ht="15.75" x14ac:dyDescent="0.2">
      <c r="A47" s="14" t="s">
        <v>23</v>
      </c>
      <c r="B47" s="309">
        <v>740697.804</v>
      </c>
      <c r="C47" s="310">
        <v>664120.58299999987</v>
      </c>
      <c r="D47" s="372">
        <f t="shared" ref="D47:D57" si="15">IF(B47=0, "    ---- ", IF(ABS(ROUND(100/B47*C47-100,1))&lt;999,ROUND(100/B47*C47-100,1),IF(ROUND(100/B47*C47-100,1)&gt;999,999,-999)))</f>
        <v>-10.3</v>
      </c>
      <c r="E47" s="11">
        <f>IFERROR(100/'Skjema total MA'!C47*C47,0)</f>
        <v>15.344592149746447</v>
      </c>
      <c r="F47" s="145"/>
      <c r="G47" s="33"/>
      <c r="H47" s="159"/>
      <c r="I47" s="159"/>
      <c r="J47" s="37"/>
      <c r="K47" s="37"/>
      <c r="L47" s="159"/>
      <c r="M47" s="159"/>
      <c r="N47" s="148"/>
    </row>
    <row r="48" spans="1:14" s="3" customFormat="1" ht="15.75" x14ac:dyDescent="0.2">
      <c r="A48" s="38" t="s">
        <v>462</v>
      </c>
      <c r="B48" s="280">
        <v>414531.40899999999</v>
      </c>
      <c r="C48" s="281">
        <v>346511.13500000001</v>
      </c>
      <c r="D48" s="254">
        <f t="shared" si="15"/>
        <v>-16.399999999999999</v>
      </c>
      <c r="E48" s="27">
        <f>IFERROR(100/'Skjema total MA'!C48*C48,0)</f>
        <v>14.441366826407338</v>
      </c>
      <c r="F48" s="145"/>
      <c r="G48" s="33"/>
      <c r="H48" s="145"/>
      <c r="I48" s="145"/>
      <c r="J48" s="33"/>
      <c r="K48" s="33"/>
      <c r="L48" s="159"/>
      <c r="M48" s="159"/>
      <c r="N48" s="148"/>
    </row>
    <row r="49" spans="1:14" s="3" customFormat="1" ht="15.75" x14ac:dyDescent="0.2">
      <c r="A49" s="38" t="s">
        <v>463</v>
      </c>
      <c r="B49" s="44">
        <v>326166.39499999996</v>
      </c>
      <c r="C49" s="286">
        <v>317609.44799999986</v>
      </c>
      <c r="D49" s="254">
        <f>IF(B49=0, "    ---- ", IF(ABS(ROUND(100/B49*C49-100,1))&lt;999,ROUND(100/B49*C49-100,1),IF(ROUND(100/B49*C49-100,1)&gt;999,999,-999)))</f>
        <v>-2.6</v>
      </c>
      <c r="E49" s="27">
        <f>IFERROR(100/'Skjema total MA'!C49*C49,0)</f>
        <v>16.468319279130736</v>
      </c>
      <c r="F49" s="145"/>
      <c r="G49" s="33"/>
      <c r="H49" s="145"/>
      <c r="I49" s="145"/>
      <c r="J49" s="37"/>
      <c r="K49" s="37"/>
      <c r="L49" s="159"/>
      <c r="M49" s="159"/>
      <c r="N49" s="148"/>
    </row>
    <row r="50" spans="1:14" s="3" customFormat="1" x14ac:dyDescent="0.2">
      <c r="A50" s="295" t="s">
        <v>6</v>
      </c>
      <c r="B50" s="289">
        <v>44.436999999999998</v>
      </c>
      <c r="C50" s="290">
        <v>0</v>
      </c>
      <c r="D50" s="254">
        <f t="shared" ref="D50:D52" si="16">IF(B50=0, "    ---- ", IF(ABS(ROUND(100/B50*C50-100,1))&lt;999,ROUND(100/B50*C50-100,1),IF(ROUND(100/B50*C50-100,1)&gt;999,999,-999)))</f>
        <v>-100</v>
      </c>
      <c r="E50" s="27">
        <f>IFERROR(100/'Skjema total MA'!C50*C50,0)</f>
        <v>0</v>
      </c>
      <c r="F50" s="145"/>
      <c r="G50" s="33"/>
      <c r="H50" s="145"/>
      <c r="I50" s="145"/>
      <c r="J50" s="33"/>
      <c r="K50" s="33"/>
      <c r="L50" s="159"/>
      <c r="M50" s="159"/>
      <c r="N50" s="148"/>
    </row>
    <row r="51" spans="1:14" s="3" customFormat="1" x14ac:dyDescent="0.2">
      <c r="A51" s="295" t="s">
        <v>7</v>
      </c>
      <c r="B51" s="289">
        <v>312466.00799999997</v>
      </c>
      <c r="C51" s="290">
        <v>302584.83299999998</v>
      </c>
      <c r="D51" s="254">
        <f t="shared" si="16"/>
        <v>-3.2</v>
      </c>
      <c r="E51" s="27">
        <f>IFERROR(100/'Skjema total MA'!C51*C51,0)</f>
        <v>18.18431124659238</v>
      </c>
      <c r="F51" s="145"/>
      <c r="G51" s="33"/>
      <c r="H51" s="145"/>
      <c r="I51" s="145"/>
      <c r="J51" s="33"/>
      <c r="K51" s="33"/>
      <c r="L51" s="159"/>
      <c r="M51" s="159"/>
      <c r="N51" s="148"/>
    </row>
    <row r="52" spans="1:14" s="3" customFormat="1" x14ac:dyDescent="0.2">
      <c r="A52" s="295" t="s">
        <v>8</v>
      </c>
      <c r="B52" s="289">
        <v>13655.95</v>
      </c>
      <c r="C52" s="290">
        <v>15024.6149999999</v>
      </c>
      <c r="D52" s="254">
        <f t="shared" si="16"/>
        <v>10</v>
      </c>
      <c r="E52" s="27">
        <f>IFERROR(100/'Skjema total MA'!C52*C52,0)</f>
        <v>5.7187792373145534</v>
      </c>
      <c r="F52" s="145"/>
      <c r="G52" s="33"/>
      <c r="H52" s="145"/>
      <c r="I52" s="145"/>
      <c r="J52" s="33"/>
      <c r="K52" s="33"/>
      <c r="L52" s="159"/>
      <c r="M52" s="159"/>
      <c r="N52" s="148"/>
    </row>
    <row r="53" spans="1:14" s="3" customFormat="1" ht="15.75" x14ac:dyDescent="0.2">
      <c r="A53" s="39" t="s">
        <v>464</v>
      </c>
      <c r="B53" s="309">
        <v>3801.837</v>
      </c>
      <c r="C53" s="310">
        <v>7604.527</v>
      </c>
      <c r="D53" s="373">
        <f t="shared" si="15"/>
        <v>100</v>
      </c>
      <c r="E53" s="11">
        <f>IFERROR(100/'Skjema total MA'!C53*C53,0)</f>
        <v>3.2589907240055003</v>
      </c>
      <c r="F53" s="145"/>
      <c r="G53" s="33"/>
      <c r="H53" s="145"/>
      <c r="I53" s="145"/>
      <c r="J53" s="33"/>
      <c r="K53" s="33"/>
      <c r="L53" s="159"/>
      <c r="M53" s="159"/>
      <c r="N53" s="148"/>
    </row>
    <row r="54" spans="1:14" s="3" customFormat="1" ht="15.75" x14ac:dyDescent="0.2">
      <c r="A54" s="38" t="s">
        <v>462</v>
      </c>
      <c r="B54" s="280">
        <v>3801.837</v>
      </c>
      <c r="C54" s="281">
        <v>7604.527</v>
      </c>
      <c r="D54" s="254">
        <f t="shared" si="15"/>
        <v>100</v>
      </c>
      <c r="E54" s="27">
        <f>IFERROR(100/'Skjema total MA'!C54*C54,0)</f>
        <v>5.4795770091412601</v>
      </c>
      <c r="F54" s="145"/>
      <c r="G54" s="33"/>
      <c r="H54" s="145"/>
      <c r="I54" s="145"/>
      <c r="J54" s="33"/>
      <c r="K54" s="33"/>
      <c r="L54" s="159"/>
      <c r="M54" s="159"/>
      <c r="N54" s="148"/>
    </row>
    <row r="55" spans="1:14" s="3" customFormat="1" ht="15.75" x14ac:dyDescent="0.2">
      <c r="A55" s="38" t="s">
        <v>463</v>
      </c>
      <c r="B55" s="280"/>
      <c r="C55" s="281"/>
      <c r="D55" s="254"/>
      <c r="E55" s="27"/>
      <c r="F55" s="145"/>
      <c r="G55" s="33"/>
      <c r="H55" s="145"/>
      <c r="I55" s="145"/>
      <c r="J55" s="33"/>
      <c r="K55" s="33"/>
      <c r="L55" s="159"/>
      <c r="M55" s="159"/>
      <c r="N55" s="148"/>
    </row>
    <row r="56" spans="1:14" s="3" customFormat="1" ht="15.75" x14ac:dyDescent="0.2">
      <c r="A56" s="39" t="s">
        <v>465</v>
      </c>
      <c r="B56" s="309">
        <v>4331.0529999999999</v>
      </c>
      <c r="C56" s="310">
        <v>5297.4160000000002</v>
      </c>
      <c r="D56" s="373">
        <f t="shared" si="15"/>
        <v>22.3</v>
      </c>
      <c r="E56" s="11">
        <f>IFERROR(100/'Skjema total MA'!C56*C56,0)</f>
        <v>2.8481813491708388</v>
      </c>
      <c r="F56" s="145"/>
      <c r="G56" s="33"/>
      <c r="H56" s="145"/>
      <c r="I56" s="145"/>
      <c r="J56" s="33"/>
      <c r="K56" s="33"/>
      <c r="L56" s="159"/>
      <c r="M56" s="159"/>
      <c r="N56" s="148"/>
    </row>
    <row r="57" spans="1:14" s="3" customFormat="1" ht="15.75" x14ac:dyDescent="0.2">
      <c r="A57" s="38" t="s">
        <v>462</v>
      </c>
      <c r="B57" s="280">
        <v>4331.0529999999999</v>
      </c>
      <c r="C57" s="281">
        <v>5297.4160000000002</v>
      </c>
      <c r="D57" s="254">
        <f t="shared" si="15"/>
        <v>22.3</v>
      </c>
      <c r="E57" s="27">
        <f>IFERROR(100/'Skjema total MA'!C57*C57,0)</f>
        <v>4.4370858985708379</v>
      </c>
      <c r="F57" s="145"/>
      <c r="G57" s="33"/>
      <c r="H57" s="145"/>
      <c r="I57" s="145"/>
      <c r="J57" s="33"/>
      <c r="K57" s="33"/>
      <c r="L57" s="159"/>
      <c r="M57" s="159"/>
      <c r="N57" s="148"/>
    </row>
    <row r="58" spans="1:14" s="3" customFormat="1" ht="15.75" x14ac:dyDescent="0.2">
      <c r="A58" s="46" t="s">
        <v>463</v>
      </c>
      <c r="B58" s="282"/>
      <c r="C58" s="283"/>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975"/>
      <c r="C62" s="975"/>
      <c r="D62" s="975"/>
      <c r="E62" s="298"/>
      <c r="F62" s="975"/>
      <c r="G62" s="975"/>
      <c r="H62" s="975"/>
      <c r="I62" s="298"/>
      <c r="J62" s="975"/>
      <c r="K62" s="975"/>
      <c r="L62" s="975"/>
      <c r="M62" s="298"/>
    </row>
    <row r="63" spans="1:14" x14ac:dyDescent="0.2">
      <c r="A63" s="144"/>
      <c r="B63" s="973" t="s">
        <v>0</v>
      </c>
      <c r="C63" s="974"/>
      <c r="D63" s="978"/>
      <c r="E63" s="299"/>
      <c r="F63" s="974" t="s">
        <v>1</v>
      </c>
      <c r="G63" s="974"/>
      <c r="H63" s="974"/>
      <c r="I63" s="303"/>
      <c r="J63" s="973" t="s">
        <v>2</v>
      </c>
      <c r="K63" s="974"/>
      <c r="L63" s="974"/>
      <c r="M63" s="303"/>
    </row>
    <row r="64" spans="1:14" x14ac:dyDescent="0.2">
      <c r="A64" s="140"/>
      <c r="B64" s="152" t="s">
        <v>492</v>
      </c>
      <c r="C64" s="152" t="s">
        <v>493</v>
      </c>
      <c r="D64" s="245" t="s">
        <v>3</v>
      </c>
      <c r="E64" s="304" t="s">
        <v>29</v>
      </c>
      <c r="F64" s="152" t="s">
        <v>492</v>
      </c>
      <c r="G64" s="152" t="s">
        <v>493</v>
      </c>
      <c r="H64" s="245" t="s">
        <v>3</v>
      </c>
      <c r="I64" s="304" t="s">
        <v>29</v>
      </c>
      <c r="J64" s="152" t="s">
        <v>492</v>
      </c>
      <c r="K64" s="152" t="s">
        <v>493</v>
      </c>
      <c r="L64" s="245" t="s">
        <v>3</v>
      </c>
      <c r="M64" s="162" t="s">
        <v>29</v>
      </c>
    </row>
    <row r="65" spans="1:14" x14ac:dyDescent="0.2">
      <c r="A65" s="947"/>
      <c r="B65" s="156"/>
      <c r="C65" s="156"/>
      <c r="D65" s="246" t="s">
        <v>4</v>
      </c>
      <c r="E65" s="156" t="s">
        <v>30</v>
      </c>
      <c r="F65" s="161"/>
      <c r="G65" s="161"/>
      <c r="H65" s="245" t="s">
        <v>4</v>
      </c>
      <c r="I65" s="156" t="s">
        <v>30</v>
      </c>
      <c r="J65" s="161"/>
      <c r="K65" s="206"/>
      <c r="L65" s="156" t="s">
        <v>4</v>
      </c>
      <c r="M65" s="156" t="s">
        <v>30</v>
      </c>
    </row>
    <row r="66" spans="1:14" ht="15.75" x14ac:dyDescent="0.2">
      <c r="A66" s="14" t="s">
        <v>23</v>
      </c>
      <c r="B66" s="352">
        <v>3849799.7309999997</v>
      </c>
      <c r="C66" s="352">
        <v>3886942.4340000004</v>
      </c>
      <c r="D66" s="349">
        <f t="shared" ref="D66:D111" si="17">IF(B66=0, "    ---- ", IF(ABS(ROUND(100/B66*C66-100,1))&lt;999,ROUND(100/B66*C66-100,1),IF(ROUND(100/B66*C66-100,1)&gt;999,999,-999)))</f>
        <v>1</v>
      </c>
      <c r="E66" s="11">
        <f>IFERROR(100/'Skjema total MA'!C66*C66,0)</f>
        <v>44.124839247433414</v>
      </c>
      <c r="F66" s="351">
        <v>9045755.3690000009</v>
      </c>
      <c r="G66" s="351">
        <v>9463918.0479999986</v>
      </c>
      <c r="H66" s="349">
        <f t="shared" ref="H66:H111" si="18">IF(F66=0, "    ---- ", IF(ABS(ROUND(100/F66*G66-100,1))&lt;999,ROUND(100/F66*G66-100,1),IF(ROUND(100/F66*G66-100,1)&gt;999,999,-999)))</f>
        <v>4.5999999999999996</v>
      </c>
      <c r="I66" s="11">
        <f>IFERROR(100/'Skjema total MA'!F66*G66,0)</f>
        <v>29.309482947249794</v>
      </c>
      <c r="J66" s="308">
        <f t="shared" ref="J66:K86" si="19">SUM(B66,F66)</f>
        <v>12895555.100000001</v>
      </c>
      <c r="K66" s="315">
        <f t="shared" si="19"/>
        <v>13350860.481999999</v>
      </c>
      <c r="L66" s="373">
        <f t="shared" ref="L66:L111" si="20">IF(J66=0, "    ---- ", IF(ABS(ROUND(100/J66*K66-100,1))&lt;999,ROUND(100/J66*K66-100,1),IF(ROUND(100/J66*K66-100,1)&gt;999,999,-999)))</f>
        <v>3.5</v>
      </c>
      <c r="M66" s="11">
        <f>IFERROR(100/'Skjema total MA'!I66*K66,0)</f>
        <v>32.484969506945077</v>
      </c>
    </row>
    <row r="67" spans="1:14" x14ac:dyDescent="0.2">
      <c r="A67" s="367" t="s">
        <v>9</v>
      </c>
      <c r="B67" s="44">
        <v>2881691.4750000001</v>
      </c>
      <c r="C67" s="145">
        <v>2880378.6060000001</v>
      </c>
      <c r="D67" s="166">
        <f t="shared" si="17"/>
        <v>0</v>
      </c>
      <c r="E67" s="27">
        <f>IFERROR(100/'Skjema total MA'!C67*C67,0)</f>
        <v>43.41437890424303</v>
      </c>
      <c r="F67" s="234"/>
      <c r="G67" s="145"/>
      <c r="H67" s="166"/>
      <c r="I67" s="27"/>
      <c r="J67" s="286">
        <f t="shared" si="19"/>
        <v>2881691.4750000001</v>
      </c>
      <c r="K67" s="44">
        <f t="shared" si="19"/>
        <v>2880378.6060000001</v>
      </c>
      <c r="L67" s="254">
        <f t="shared" si="20"/>
        <v>0</v>
      </c>
      <c r="M67" s="27">
        <f>IFERROR(100/'Skjema total MA'!I67*K67,0)</f>
        <v>43.41437890424303</v>
      </c>
    </row>
    <row r="68" spans="1:14" x14ac:dyDescent="0.2">
      <c r="A68" s="21" t="s">
        <v>10</v>
      </c>
      <c r="B68" s="291"/>
      <c r="C68" s="292"/>
      <c r="D68" s="166"/>
      <c r="E68" s="27"/>
      <c r="F68" s="291">
        <v>8864566.3540000003</v>
      </c>
      <c r="G68" s="292">
        <v>9274633.4049999993</v>
      </c>
      <c r="H68" s="166">
        <f t="shared" si="18"/>
        <v>4.5999999999999996</v>
      </c>
      <c r="I68" s="27">
        <f>IFERROR(100/'Skjema total MA'!F68*G68,0)</f>
        <v>29.117917497668856</v>
      </c>
      <c r="J68" s="286">
        <f t="shared" si="19"/>
        <v>8864566.3540000003</v>
      </c>
      <c r="K68" s="44">
        <f t="shared" si="19"/>
        <v>9274633.4049999993</v>
      </c>
      <c r="L68" s="254">
        <f t="shared" si="20"/>
        <v>4.5999999999999996</v>
      </c>
      <c r="M68" s="27">
        <f>IFERROR(100/'Skjema total MA'!I68*K68,0)</f>
        <v>28.985055571134946</v>
      </c>
    </row>
    <row r="69" spans="1:14" ht="15.75" x14ac:dyDescent="0.2">
      <c r="A69" s="295" t="s">
        <v>466</v>
      </c>
      <c r="B69" s="280"/>
      <c r="C69" s="280"/>
      <c r="D69" s="166"/>
      <c r="E69" s="365"/>
      <c r="F69" s="280"/>
      <c r="G69" s="280"/>
      <c r="H69" s="166"/>
      <c r="I69" s="365"/>
      <c r="J69" s="289"/>
      <c r="K69" s="289"/>
      <c r="L69" s="166"/>
      <c r="M69" s="23"/>
    </row>
    <row r="70" spans="1:14" x14ac:dyDescent="0.2">
      <c r="A70" s="295" t="s">
        <v>12</v>
      </c>
      <c r="B70" s="293"/>
      <c r="C70" s="294"/>
      <c r="D70" s="166"/>
      <c r="E70" s="365"/>
      <c r="F70" s="280"/>
      <c r="G70" s="280"/>
      <c r="H70" s="166"/>
      <c r="I70" s="365"/>
      <c r="J70" s="289"/>
      <c r="K70" s="289"/>
      <c r="L70" s="166"/>
      <c r="M70" s="23"/>
    </row>
    <row r="71" spans="1:14" x14ac:dyDescent="0.2">
      <c r="A71" s="295" t="s">
        <v>13</v>
      </c>
      <c r="B71" s="235"/>
      <c r="C71" s="288"/>
      <c r="D71" s="166"/>
      <c r="E71" s="365"/>
      <c r="F71" s="280"/>
      <c r="G71" s="280"/>
      <c r="H71" s="166"/>
      <c r="I71" s="365"/>
      <c r="J71" s="289"/>
      <c r="K71" s="289"/>
      <c r="L71" s="166"/>
      <c r="M71" s="23"/>
    </row>
    <row r="72" spans="1:14" ht="15.75" x14ac:dyDescent="0.2">
      <c r="A72" s="295" t="s">
        <v>467</v>
      </c>
      <c r="B72" s="280"/>
      <c r="C72" s="280"/>
      <c r="D72" s="166"/>
      <c r="E72" s="365"/>
      <c r="F72" s="280">
        <v>8864566.3540000003</v>
      </c>
      <c r="G72" s="280">
        <v>9274633.4049999993</v>
      </c>
      <c r="H72" s="166">
        <f t="shared" ref="H72" si="21">IF(F72=0, "    ---- ", IF(ABS(ROUND(100/F72*G72-100,1))&lt;999,ROUND(100/F72*G72-100,1),IF(ROUND(100/F72*G72-100,1)&gt;999,999,-999)))</f>
        <v>4.5999999999999996</v>
      </c>
      <c r="I72" s="365">
        <f>IFERROR(100/'Skjema total MA'!F72*G72,0)</f>
        <v>29.121518736072229</v>
      </c>
      <c r="J72" s="286">
        <f t="shared" ref="J72" si="22">SUM(B72,F72)</f>
        <v>8864566.3540000003</v>
      </c>
      <c r="K72" s="44">
        <f t="shared" ref="K72" si="23">SUM(C72,G72)</f>
        <v>9274633.4049999993</v>
      </c>
      <c r="L72" s="254">
        <f t="shared" ref="L72" si="24">IF(J72=0, "    ---- ", IF(ABS(ROUND(100/J72*K72-100,1))&lt;999,ROUND(100/J72*K72-100,1),IF(ROUND(100/J72*K72-100,1)&gt;999,999,-999)))</f>
        <v>4.5999999999999996</v>
      </c>
      <c r="M72" s="23">
        <f>IFERROR(100/'Skjema total MA'!I72*K72,0)</f>
        <v>28.999829100060023</v>
      </c>
    </row>
    <row r="73" spans="1:14" x14ac:dyDescent="0.2">
      <c r="A73" s="295" t="s">
        <v>12</v>
      </c>
      <c r="B73" s="235"/>
      <c r="C73" s="288"/>
      <c r="D73" s="166"/>
      <c r="E73" s="365"/>
      <c r="F73" s="280"/>
      <c r="G73" s="280"/>
      <c r="H73" s="166"/>
      <c r="I73" s="365"/>
      <c r="J73" s="289"/>
      <c r="K73" s="289"/>
      <c r="L73" s="166"/>
      <c r="M73" s="23"/>
    </row>
    <row r="74" spans="1:14" s="3" customFormat="1" x14ac:dyDescent="0.2">
      <c r="A74" s="295" t="s">
        <v>13</v>
      </c>
      <c r="B74" s="235"/>
      <c r="C74" s="288"/>
      <c r="D74" s="166"/>
      <c r="E74" s="365"/>
      <c r="F74" s="280">
        <v>8864566.3540000003</v>
      </c>
      <c r="G74" s="280">
        <v>9274633.4049999993</v>
      </c>
      <c r="H74" s="166">
        <f t="shared" ref="H74" si="25">IF(F74=0, "    ---- ", IF(ABS(ROUND(100/F74*G74-100,1))&lt;999,ROUND(100/F74*G74-100,1),IF(ROUND(100/F74*G74-100,1)&gt;999,999,-999)))</f>
        <v>4.5999999999999996</v>
      </c>
      <c r="I74" s="365">
        <f>IFERROR(100/'Skjema total MA'!F74*G74,0)</f>
        <v>29.131457192183277</v>
      </c>
      <c r="J74" s="286">
        <f t="shared" ref="J74" si="26">SUM(B74,F74)</f>
        <v>8864566.3540000003</v>
      </c>
      <c r="K74" s="44">
        <f t="shared" ref="K74" si="27">SUM(C74,G74)</f>
        <v>9274633.4049999993</v>
      </c>
      <c r="L74" s="254">
        <f t="shared" ref="L74" si="28">IF(J74=0, "    ---- ", IF(ABS(ROUND(100/J74*K74-100,1))&lt;999,ROUND(100/J74*K74-100,1),IF(ROUND(100/J74*K74-100,1)&gt;999,999,-999)))</f>
        <v>4.5999999999999996</v>
      </c>
      <c r="M74" s="23">
        <f>IFERROR(100/'Skjema total MA'!I74*K74,0)</f>
        <v>29.131457192183277</v>
      </c>
      <c r="N74" s="148"/>
    </row>
    <row r="75" spans="1:14" s="3" customFormat="1" x14ac:dyDescent="0.2">
      <c r="A75" s="21" t="s">
        <v>353</v>
      </c>
      <c r="B75" s="234">
        <v>67356.664000000004</v>
      </c>
      <c r="C75" s="145">
        <v>82735.817999999999</v>
      </c>
      <c r="D75" s="166">
        <f t="shared" si="17"/>
        <v>22.8</v>
      </c>
      <c r="E75" s="27">
        <f>IFERROR(100/'Skjema total MA'!C75*C75,0)</f>
        <v>21.192612606402459</v>
      </c>
      <c r="F75" s="234">
        <v>181189.01500000001</v>
      </c>
      <c r="G75" s="145">
        <v>189284.64300000001</v>
      </c>
      <c r="H75" s="166">
        <f t="shared" si="18"/>
        <v>4.5</v>
      </c>
      <c r="I75" s="27">
        <f>IFERROR(100/'Skjema total MA'!F75*G75,0)</f>
        <v>43.252154166792948</v>
      </c>
      <c r="J75" s="286">
        <f t="shared" si="19"/>
        <v>248545.679</v>
      </c>
      <c r="K75" s="44">
        <f t="shared" si="19"/>
        <v>272020.46100000001</v>
      </c>
      <c r="L75" s="254">
        <f t="shared" si="20"/>
        <v>9.4</v>
      </c>
      <c r="M75" s="27">
        <f>IFERROR(100/'Skjema total MA'!I75*K75,0)</f>
        <v>32.851526839436396</v>
      </c>
      <c r="N75" s="148"/>
    </row>
    <row r="76" spans="1:14" s="3" customFormat="1" x14ac:dyDescent="0.2">
      <c r="A76" s="21" t="s">
        <v>352</v>
      </c>
      <c r="B76" s="234">
        <v>900751.59199999995</v>
      </c>
      <c r="C76" s="145">
        <v>923828.01</v>
      </c>
      <c r="D76" s="166">
        <f t="shared" ref="D76" si="29">IF(B76=0, "    ---- ", IF(ABS(ROUND(100/B76*C76-100,1))&lt;999,ROUND(100/B76*C76-100,1),IF(ROUND(100/B76*C76-100,1)&gt;999,999,-999)))</f>
        <v>2.6</v>
      </c>
      <c r="E76" s="27">
        <f>IFERROR(100/'Skjema total MA'!C77*C76,0)</f>
        <v>13.904573533218821</v>
      </c>
      <c r="F76" s="234"/>
      <c r="G76" s="145"/>
      <c r="H76" s="166"/>
      <c r="I76" s="27"/>
      <c r="J76" s="286">
        <f t="shared" ref="J76" si="30">SUM(B76,F76)</f>
        <v>900751.59199999995</v>
      </c>
      <c r="K76" s="44">
        <f t="shared" ref="K76" si="31">SUM(C76,G76)</f>
        <v>923828.01</v>
      </c>
      <c r="L76" s="254">
        <f t="shared" ref="L76" si="32">IF(J76=0, "    ---- ", IF(ABS(ROUND(100/J76*K76-100,1))&lt;999,ROUND(100/J76*K76-100,1),IF(ROUND(100/J76*K76-100,1)&gt;999,999,-999)))</f>
        <v>2.6</v>
      </c>
      <c r="M76" s="27">
        <f>IFERROR(100/'Skjema total MA'!I77*K76,0)</f>
        <v>2.4006449734488755</v>
      </c>
      <c r="N76" s="148"/>
    </row>
    <row r="77" spans="1:14" ht="15.75" x14ac:dyDescent="0.2">
      <c r="A77" s="21" t="s">
        <v>468</v>
      </c>
      <c r="B77" s="234">
        <v>2807907.9479999999</v>
      </c>
      <c r="C77" s="234">
        <v>2799302.588</v>
      </c>
      <c r="D77" s="166">
        <f t="shared" si="17"/>
        <v>-0.3</v>
      </c>
      <c r="E77" s="27">
        <f>IFERROR(100/'Skjema total MA'!C77*C77,0)</f>
        <v>42.132418865039341</v>
      </c>
      <c r="F77" s="234">
        <v>8864566.3540000003</v>
      </c>
      <c r="G77" s="145">
        <v>9274633.4049999993</v>
      </c>
      <c r="H77" s="166">
        <f t="shared" si="18"/>
        <v>4.5999999999999996</v>
      </c>
      <c r="I77" s="27">
        <f>IFERROR(100/'Skjema total MA'!F77*G77,0)</f>
        <v>29.130307007040376</v>
      </c>
      <c r="J77" s="286">
        <f t="shared" si="19"/>
        <v>11672474.302000001</v>
      </c>
      <c r="K77" s="44">
        <f t="shared" si="19"/>
        <v>12073935.992999999</v>
      </c>
      <c r="L77" s="254">
        <f t="shared" si="20"/>
        <v>3.4</v>
      </c>
      <c r="M77" s="27">
        <f>IFERROR(100/'Skjema total MA'!I77*K77,0)</f>
        <v>31.375140651276535</v>
      </c>
    </row>
    <row r="78" spans="1:14" x14ac:dyDescent="0.2">
      <c r="A78" s="21" t="s">
        <v>9</v>
      </c>
      <c r="B78" s="234">
        <v>2807907.9479999999</v>
      </c>
      <c r="C78" s="145">
        <v>2799302.588</v>
      </c>
      <c r="D78" s="166">
        <f t="shared" si="17"/>
        <v>-0.3</v>
      </c>
      <c r="E78" s="27">
        <f>IFERROR(100/'Skjema total MA'!C78*C78,0)</f>
        <v>43.052946023426614</v>
      </c>
      <c r="F78" s="234"/>
      <c r="G78" s="145"/>
      <c r="H78" s="166"/>
      <c r="I78" s="27"/>
      <c r="J78" s="286">
        <f t="shared" si="19"/>
        <v>2807907.9479999999</v>
      </c>
      <c r="K78" s="44">
        <f t="shared" si="19"/>
        <v>2799302.588</v>
      </c>
      <c r="L78" s="254">
        <f t="shared" si="20"/>
        <v>-0.3</v>
      </c>
      <c r="M78" s="27">
        <f>IFERROR(100/'Skjema total MA'!I78*K78,0)</f>
        <v>43.052946023426614</v>
      </c>
    </row>
    <row r="79" spans="1:14" x14ac:dyDescent="0.2">
      <c r="A79" s="21" t="s">
        <v>10</v>
      </c>
      <c r="B79" s="291"/>
      <c r="C79" s="292"/>
      <c r="D79" s="166"/>
      <c r="E79" s="27"/>
      <c r="F79" s="291">
        <v>8864566.3540000003</v>
      </c>
      <c r="G79" s="292">
        <v>9274633.4049999993</v>
      </c>
      <c r="H79" s="166">
        <f t="shared" si="18"/>
        <v>4.5999999999999996</v>
      </c>
      <c r="I79" s="27">
        <f>IFERROR(100/'Skjema total MA'!F79*G79,0)</f>
        <v>29.130307007040376</v>
      </c>
      <c r="J79" s="286">
        <f t="shared" si="19"/>
        <v>8864566.3540000003</v>
      </c>
      <c r="K79" s="44">
        <f t="shared" si="19"/>
        <v>9274633.4049999993</v>
      </c>
      <c r="L79" s="254">
        <f t="shared" si="20"/>
        <v>4.5999999999999996</v>
      </c>
      <c r="M79" s="27">
        <f>IFERROR(100/'Skjema total MA'!I79*K79,0)</f>
        <v>29.000909143478587</v>
      </c>
    </row>
    <row r="80" spans="1:14" ht="15.75" x14ac:dyDescent="0.2">
      <c r="A80" s="295" t="s">
        <v>466</v>
      </c>
      <c r="B80" s="280"/>
      <c r="C80" s="280"/>
      <c r="D80" s="166"/>
      <c r="E80" s="365"/>
      <c r="F80" s="280"/>
      <c r="G80" s="280"/>
      <c r="H80" s="166"/>
      <c r="I80" s="365"/>
      <c r="J80" s="289"/>
      <c r="K80" s="289"/>
      <c r="L80" s="166"/>
      <c r="M80" s="23"/>
    </row>
    <row r="81" spans="1:13" x14ac:dyDescent="0.2">
      <c r="A81" s="295" t="s">
        <v>12</v>
      </c>
      <c r="B81" s="235"/>
      <c r="C81" s="288"/>
      <c r="D81" s="166"/>
      <c r="E81" s="365"/>
      <c r="F81" s="280"/>
      <c r="G81" s="280"/>
      <c r="H81" s="166"/>
      <c r="I81" s="365"/>
      <c r="J81" s="289"/>
      <c r="K81" s="289"/>
      <c r="L81" s="166"/>
      <c r="M81" s="23"/>
    </row>
    <row r="82" spans="1:13" x14ac:dyDescent="0.2">
      <c r="A82" s="295" t="s">
        <v>13</v>
      </c>
      <c r="B82" s="235"/>
      <c r="C82" s="288"/>
      <c r="D82" s="166"/>
      <c r="E82" s="365"/>
      <c r="F82" s="280"/>
      <c r="G82" s="280"/>
      <c r="H82" s="166"/>
      <c r="I82" s="365"/>
      <c r="J82" s="289"/>
      <c r="K82" s="289"/>
      <c r="L82" s="166"/>
      <c r="M82" s="23"/>
    </row>
    <row r="83" spans="1:13" ht="15.75" x14ac:dyDescent="0.2">
      <c r="A83" s="295" t="s">
        <v>467</v>
      </c>
      <c r="B83" s="280"/>
      <c r="C83" s="280"/>
      <c r="D83" s="166"/>
      <c r="E83" s="365"/>
      <c r="F83" s="280">
        <v>8864566.3540000003</v>
      </c>
      <c r="G83" s="280">
        <v>9274633.4049999993</v>
      </c>
      <c r="H83" s="166">
        <f t="shared" ref="H83" si="33">IF(F83=0, "    ---- ", IF(ABS(ROUND(100/F83*G83-100,1))&lt;999,ROUND(100/F83*G83-100,1),IF(ROUND(100/F83*G83-100,1)&gt;999,999,-999)))</f>
        <v>4.5999999999999996</v>
      </c>
      <c r="I83" s="365">
        <f>IFERROR(100/'Skjema total MA'!F83*G83,0)</f>
        <v>29.130307007040376</v>
      </c>
      <c r="J83" s="286">
        <f t="shared" ref="J83" si="34">SUM(B83,F83)</f>
        <v>8864566.3540000003</v>
      </c>
      <c r="K83" s="44">
        <f t="shared" ref="K83" si="35">SUM(C83,G83)</f>
        <v>9274633.4049999993</v>
      </c>
      <c r="L83" s="254">
        <f t="shared" ref="L83" si="36">IF(J83=0, "    ---- ", IF(ABS(ROUND(100/J83*K83-100,1))&lt;999,ROUND(100/J83*K83-100,1),IF(ROUND(100/J83*K83-100,1)&gt;999,999,-999)))</f>
        <v>4.5999999999999996</v>
      </c>
      <c r="M83" s="23">
        <f>IFERROR(100/'Skjema total MA'!I83*K83,0)</f>
        <v>29.000909143478587</v>
      </c>
    </row>
    <row r="84" spans="1:13" x14ac:dyDescent="0.2">
      <c r="A84" s="295" t="s">
        <v>12</v>
      </c>
      <c r="B84" s="235"/>
      <c r="C84" s="288"/>
      <c r="D84" s="166"/>
      <c r="E84" s="365"/>
      <c r="F84" s="280"/>
      <c r="G84" s="280"/>
      <c r="H84" s="166"/>
      <c r="I84" s="365"/>
      <c r="J84" s="289"/>
      <c r="K84" s="289"/>
      <c r="L84" s="166"/>
      <c r="M84" s="23"/>
    </row>
    <row r="85" spans="1:13" x14ac:dyDescent="0.2">
      <c r="A85" s="295" t="s">
        <v>13</v>
      </c>
      <c r="B85" s="235"/>
      <c r="C85" s="288"/>
      <c r="D85" s="166"/>
      <c r="E85" s="365"/>
      <c r="F85" s="280">
        <v>8864566.3540000003</v>
      </c>
      <c r="G85" s="280">
        <v>9274633.4049999993</v>
      </c>
      <c r="H85" s="166">
        <f t="shared" ref="H85" si="37">IF(F85=0, "    ---- ", IF(ABS(ROUND(100/F85*G85-100,1))&lt;999,ROUND(100/F85*G85-100,1),IF(ROUND(100/F85*G85-100,1)&gt;999,999,-999)))</f>
        <v>4.5999999999999996</v>
      </c>
      <c r="I85" s="365">
        <f>IFERROR(100/'Skjema total MA'!F85*G85,0)</f>
        <v>29.140251463520968</v>
      </c>
      <c r="J85" s="286">
        <f t="shared" ref="J85" si="38">SUM(B85,F85)</f>
        <v>8864566.3540000003</v>
      </c>
      <c r="K85" s="44">
        <f t="shared" ref="K85" si="39">SUM(C85,G85)</f>
        <v>9274633.4049999993</v>
      </c>
      <c r="L85" s="254">
        <f t="shared" ref="L85" si="40">IF(J85=0, "    ---- ", IF(ABS(ROUND(100/J85*K85-100,1))&lt;999,ROUND(100/J85*K85-100,1),IF(ROUND(100/J85*K85-100,1)&gt;999,999,-999)))</f>
        <v>4.5999999999999996</v>
      </c>
      <c r="M85" s="23">
        <f>IFERROR(100/'Skjema total MA'!I85*K85,0)</f>
        <v>29.140251463520968</v>
      </c>
    </row>
    <row r="86" spans="1:13" ht="15.75" x14ac:dyDescent="0.2">
      <c r="A86" s="21" t="s">
        <v>469</v>
      </c>
      <c r="B86" s="234">
        <v>73783.527000000002</v>
      </c>
      <c r="C86" s="145">
        <v>81076.017999999996</v>
      </c>
      <c r="D86" s="166">
        <f t="shared" si="17"/>
        <v>9.9</v>
      </c>
      <c r="E86" s="27">
        <f>IFERROR(100/'Skjema total MA'!C86*C86,0)</f>
        <v>59.368633077801093</v>
      </c>
      <c r="F86" s="234"/>
      <c r="G86" s="145"/>
      <c r="H86" s="166"/>
      <c r="I86" s="27"/>
      <c r="J86" s="286">
        <f t="shared" si="19"/>
        <v>73783.527000000002</v>
      </c>
      <c r="K86" s="44">
        <f t="shared" si="19"/>
        <v>81076.017999999996</v>
      </c>
      <c r="L86" s="254">
        <f t="shared" si="20"/>
        <v>9.9</v>
      </c>
      <c r="M86" s="27">
        <f>IFERROR(100/'Skjema total MA'!I86*K86,0)</f>
        <v>54.010602608693546</v>
      </c>
    </row>
    <row r="87" spans="1:13" ht="15.75" x14ac:dyDescent="0.2">
      <c r="A87" s="13" t="s">
        <v>451</v>
      </c>
      <c r="B87" s="352">
        <v>163053808.63499999</v>
      </c>
      <c r="C87" s="352">
        <v>164299446.204</v>
      </c>
      <c r="D87" s="171">
        <f t="shared" si="17"/>
        <v>0.8</v>
      </c>
      <c r="E87" s="11">
        <f>IFERROR(100/'Skjema total MA'!C87*C87,0)</f>
        <v>41.91046496964703</v>
      </c>
      <c r="F87" s="351">
        <v>82399219.883000001</v>
      </c>
      <c r="G87" s="351">
        <v>102084752.133</v>
      </c>
      <c r="H87" s="171">
        <f t="shared" si="18"/>
        <v>23.9</v>
      </c>
      <c r="I87" s="11">
        <f>IFERROR(100/'Skjema total MA'!F87*G87,0)</f>
        <v>32.450151540511129</v>
      </c>
      <c r="J87" s="308">
        <f t="shared" ref="J87:K111" si="41">SUM(B87,F87)</f>
        <v>245453028.51800001</v>
      </c>
      <c r="K87" s="236">
        <f t="shared" si="41"/>
        <v>266384198.33700001</v>
      </c>
      <c r="L87" s="373">
        <f t="shared" si="20"/>
        <v>8.5</v>
      </c>
      <c r="M87" s="11">
        <f>IFERROR(100/'Skjema total MA'!I87*K87,0)</f>
        <v>37.698669804751546</v>
      </c>
    </row>
    <row r="88" spans="1:13" x14ac:dyDescent="0.2">
      <c r="A88" s="21" t="s">
        <v>9</v>
      </c>
      <c r="B88" s="234">
        <v>158890973.111</v>
      </c>
      <c r="C88" s="145">
        <v>159560865.039</v>
      </c>
      <c r="D88" s="166">
        <f t="shared" si="17"/>
        <v>0.4</v>
      </c>
      <c r="E88" s="27">
        <f>IFERROR(100/'Skjema total MA'!C88*C88,0)</f>
        <v>41.743054091741584</v>
      </c>
      <c r="F88" s="234"/>
      <c r="G88" s="145"/>
      <c r="H88" s="166"/>
      <c r="I88" s="27"/>
      <c r="J88" s="286">
        <f t="shared" si="41"/>
        <v>158890973.111</v>
      </c>
      <c r="K88" s="44">
        <f t="shared" si="41"/>
        <v>159560865.039</v>
      </c>
      <c r="L88" s="254">
        <f t="shared" si="20"/>
        <v>0.4</v>
      </c>
      <c r="M88" s="27">
        <f>IFERROR(100/'Skjema total MA'!I88*K88,0)</f>
        <v>41.743054091741584</v>
      </c>
    </row>
    <row r="89" spans="1:13" x14ac:dyDescent="0.2">
      <c r="A89" s="21" t="s">
        <v>10</v>
      </c>
      <c r="B89" s="234">
        <v>86875</v>
      </c>
      <c r="C89" s="145">
        <v>48376.71</v>
      </c>
      <c r="D89" s="166">
        <f t="shared" si="17"/>
        <v>-44.3</v>
      </c>
      <c r="E89" s="27">
        <f>IFERROR(100/'Skjema total MA'!C89*C89,0)</f>
        <v>1.6214629306285122</v>
      </c>
      <c r="F89" s="234">
        <v>81995402.013999999</v>
      </c>
      <c r="G89" s="145">
        <v>101470980.26000001</v>
      </c>
      <c r="H89" s="166">
        <f t="shared" si="18"/>
        <v>23.8</v>
      </c>
      <c r="I89" s="27">
        <f>IFERROR(100/'Skjema total MA'!F89*G89,0)</f>
        <v>32.417633735626552</v>
      </c>
      <c r="J89" s="286">
        <f t="shared" si="41"/>
        <v>82082277.013999999</v>
      </c>
      <c r="K89" s="44">
        <f t="shared" si="41"/>
        <v>101519356.97</v>
      </c>
      <c r="L89" s="254">
        <f t="shared" si="20"/>
        <v>23.7</v>
      </c>
      <c r="M89" s="27">
        <f>IFERROR(100/'Skjema total MA'!I89*K89,0)</f>
        <v>32.126866455115938</v>
      </c>
    </row>
    <row r="90" spans="1:13" ht="15.75" x14ac:dyDescent="0.2">
      <c r="A90" s="295" t="s">
        <v>466</v>
      </c>
      <c r="B90" s="280"/>
      <c r="C90" s="280"/>
      <c r="D90" s="166"/>
      <c r="E90" s="365"/>
      <c r="F90" s="280"/>
      <c r="G90" s="280"/>
      <c r="H90" s="166"/>
      <c r="I90" s="365"/>
      <c r="J90" s="289"/>
      <c r="K90" s="289"/>
      <c r="L90" s="166"/>
      <c r="M90" s="23"/>
    </row>
    <row r="91" spans="1:13" x14ac:dyDescent="0.2">
      <c r="A91" s="295" t="s">
        <v>12</v>
      </c>
      <c r="B91" s="235"/>
      <c r="C91" s="288"/>
      <c r="D91" s="166"/>
      <c r="E91" s="365"/>
      <c r="F91" s="280"/>
      <c r="G91" s="280"/>
      <c r="H91" s="166"/>
      <c r="I91" s="365"/>
      <c r="J91" s="289"/>
      <c r="K91" s="289"/>
      <c r="L91" s="166"/>
      <c r="M91" s="23"/>
    </row>
    <row r="92" spans="1:13" x14ac:dyDescent="0.2">
      <c r="A92" s="295" t="s">
        <v>13</v>
      </c>
      <c r="B92" s="235"/>
      <c r="C92" s="288"/>
      <c r="D92" s="166"/>
      <c r="E92" s="365"/>
      <c r="F92" s="280"/>
      <c r="G92" s="280"/>
      <c r="H92" s="166"/>
      <c r="I92" s="365"/>
      <c r="J92" s="289"/>
      <c r="K92" s="289"/>
      <c r="L92" s="166"/>
      <c r="M92" s="23"/>
    </row>
    <row r="93" spans="1:13" ht="15.75" x14ac:dyDescent="0.2">
      <c r="A93" s="295" t="s">
        <v>467</v>
      </c>
      <c r="B93" s="280">
        <v>86875</v>
      </c>
      <c r="C93" s="280">
        <v>48376.71</v>
      </c>
      <c r="D93" s="166">
        <f t="shared" ref="D93" si="42">IF(B93=0, "    ---- ", IF(ABS(ROUND(100/B93*C93-100,1))&lt;999,ROUND(100/B93*C93-100,1),IF(ROUND(100/B93*C93-100,1)&gt;999,999,-999)))</f>
        <v>-44.3</v>
      </c>
      <c r="E93" s="27">
        <f>IFERROR(100/'Skjema total MA'!C93*C93,0)</f>
        <v>1.6214629306285122</v>
      </c>
      <c r="F93" s="280">
        <v>81995402.013999999</v>
      </c>
      <c r="G93" s="280">
        <v>101470980.26000001</v>
      </c>
      <c r="H93" s="166">
        <f t="shared" ref="H93" si="43">IF(F93=0, "    ---- ", IF(ABS(ROUND(100/F93*G93-100,1))&lt;999,ROUND(100/F93*G93-100,1),IF(ROUND(100/F93*G93-100,1)&gt;999,999,-999)))</f>
        <v>23.8</v>
      </c>
      <c r="I93" s="365">
        <f>IFERROR(100/'Skjema total MA'!F93*G93,0)</f>
        <v>32.430333491496064</v>
      </c>
      <c r="J93" s="286">
        <f t="shared" ref="J93" si="44">SUM(B93,F93)</f>
        <v>82082277.013999999</v>
      </c>
      <c r="K93" s="44">
        <f t="shared" ref="K93" si="45">SUM(C93,G93)</f>
        <v>101519356.97</v>
      </c>
      <c r="L93" s="254">
        <f t="shared" ref="L93" si="46">IF(J93=0, "    ---- ", IF(ABS(ROUND(100/J93*K93-100,1))&lt;999,ROUND(100/J93*K93-100,1),IF(ROUND(100/J93*K93-100,1)&gt;999,999,-999)))</f>
        <v>23.7</v>
      </c>
      <c r="M93" s="23">
        <f>IFERROR(100/'Skjema total MA'!I93*K93,0)</f>
        <v>32.139333424055764</v>
      </c>
    </row>
    <row r="94" spans="1:13" x14ac:dyDescent="0.2">
      <c r="A94" s="295" t="s">
        <v>12</v>
      </c>
      <c r="B94" s="235"/>
      <c r="C94" s="288"/>
      <c r="D94" s="166"/>
      <c r="E94" s="365"/>
      <c r="F94" s="280"/>
      <c r="G94" s="280"/>
      <c r="H94" s="166"/>
      <c r="I94" s="365"/>
      <c r="J94" s="289"/>
      <c r="K94" s="289"/>
      <c r="L94" s="166"/>
      <c r="M94" s="23"/>
    </row>
    <row r="95" spans="1:13" x14ac:dyDescent="0.2">
      <c r="A95" s="295" t="s">
        <v>13</v>
      </c>
      <c r="B95" s="235"/>
      <c r="C95" s="288"/>
      <c r="D95" s="166"/>
      <c r="E95" s="365"/>
      <c r="F95" s="280">
        <v>81995402.013999999</v>
      </c>
      <c r="G95" s="280">
        <v>101470980.26000001</v>
      </c>
      <c r="H95" s="166">
        <f t="shared" ref="H95" si="47">IF(F95=0, "    ---- ", IF(ABS(ROUND(100/F95*G95-100,1))&lt;999,ROUND(100/F95*G95-100,1),IF(ROUND(100/F95*G95-100,1)&gt;999,999,-999)))</f>
        <v>23.8</v>
      </c>
      <c r="I95" s="365">
        <f>IFERROR(100/'Skjema total MA'!F95*G95,0)</f>
        <v>32.510121013577852</v>
      </c>
      <c r="J95" s="286">
        <f t="shared" ref="J95" si="48">SUM(B95,F95)</f>
        <v>81995402.013999999</v>
      </c>
      <c r="K95" s="44">
        <f t="shared" ref="K95" si="49">SUM(C95,G95)</f>
        <v>101470980.26000001</v>
      </c>
      <c r="L95" s="254">
        <f t="shared" ref="L95" si="50">IF(J95=0, "    ---- ", IF(ABS(ROUND(100/J95*K95-100,1))&lt;999,ROUND(100/J95*K95-100,1),IF(ROUND(100/J95*K95-100,1)&gt;999,999,-999)))</f>
        <v>23.8</v>
      </c>
      <c r="M95" s="23">
        <f>IFERROR(100/'Skjema total MA'!I95*K95,0)</f>
        <v>32.510121013577852</v>
      </c>
    </row>
    <row r="96" spans="1:13" x14ac:dyDescent="0.2">
      <c r="A96" s="21" t="s">
        <v>351</v>
      </c>
      <c r="B96" s="234">
        <v>123345.37300000001</v>
      </c>
      <c r="C96" s="145">
        <v>249030.15599999999</v>
      </c>
      <c r="D96" s="166">
        <f t="shared" si="17"/>
        <v>101.9</v>
      </c>
      <c r="E96" s="27">
        <f>IFERROR(100/'Skjema total MA'!C96*C96,0)</f>
        <v>17.762860832321927</v>
      </c>
      <c r="F96" s="234">
        <v>403817.86900000001</v>
      </c>
      <c r="G96" s="145">
        <v>613771.87300000002</v>
      </c>
      <c r="H96" s="166">
        <f t="shared" si="18"/>
        <v>52</v>
      </c>
      <c r="I96" s="27">
        <f>IFERROR(100/'Skjema total MA'!F96*G96,0)</f>
        <v>38.901333150752166</v>
      </c>
      <c r="J96" s="286">
        <f t="shared" si="41"/>
        <v>527163.24199999997</v>
      </c>
      <c r="K96" s="44">
        <f t="shared" si="41"/>
        <v>862802.02899999998</v>
      </c>
      <c r="L96" s="254">
        <f t="shared" si="20"/>
        <v>63.7</v>
      </c>
      <c r="M96" s="27">
        <f>IFERROR(100/'Skjema total MA'!I96*K96,0)</f>
        <v>28.955647164746033</v>
      </c>
    </row>
    <row r="97" spans="1:13" x14ac:dyDescent="0.2">
      <c r="A97" s="21" t="s">
        <v>350</v>
      </c>
      <c r="B97" s="234">
        <v>3952615.1510000001</v>
      </c>
      <c r="C97" s="145">
        <v>4441174.2989999996</v>
      </c>
      <c r="D97" s="166">
        <f t="shared" ref="D97" si="51">IF(B97=0, "    ---- ", IF(ABS(ROUND(100/B97*C97-100,1))&lt;999,ROUND(100/B97*C97-100,1),IF(ROUND(100/B97*C97-100,1)&gt;999,999,-999)))</f>
        <v>12.4</v>
      </c>
      <c r="E97" s="27">
        <f>IFERROR(100/'Skjema total MA'!C98*C97,0)</f>
        <v>1.1667813186357878</v>
      </c>
      <c r="F97" s="234"/>
      <c r="G97" s="145"/>
      <c r="H97" s="166"/>
      <c r="I97" s="27"/>
      <c r="J97" s="286">
        <f t="shared" ref="J97" si="52">SUM(B97,F97)</f>
        <v>3952615.1510000001</v>
      </c>
      <c r="K97" s="44">
        <f t="shared" ref="K97" si="53">SUM(C97,G97)</f>
        <v>4441174.2989999996</v>
      </c>
      <c r="L97" s="254">
        <f t="shared" ref="L97" si="54">IF(J97=0, "    ---- ", IF(ABS(ROUND(100/J97*K97-100,1))&lt;999,ROUND(100/J97*K97-100,1),IF(ROUND(100/J97*K97-100,1)&gt;999,999,-999)))</f>
        <v>12.4</v>
      </c>
      <c r="M97" s="27">
        <f>IFERROR(100/'Skjema total MA'!I98*K97,0)</f>
        <v>0.64107957204495647</v>
      </c>
    </row>
    <row r="98" spans="1:13" ht="15.75" x14ac:dyDescent="0.2">
      <c r="A98" s="21" t="s">
        <v>468</v>
      </c>
      <c r="B98" s="234">
        <v>155524968.90200001</v>
      </c>
      <c r="C98" s="234">
        <v>156335085.30400002</v>
      </c>
      <c r="D98" s="166">
        <f t="shared" si="17"/>
        <v>0.5</v>
      </c>
      <c r="E98" s="27">
        <f>IFERROR(100/'Skjema total MA'!C98*C98,0)</f>
        <v>41.07221304534518</v>
      </c>
      <c r="F98" s="291">
        <v>81995402.013999999</v>
      </c>
      <c r="G98" s="291">
        <v>101470980.26000001</v>
      </c>
      <c r="H98" s="166">
        <f t="shared" si="18"/>
        <v>23.8</v>
      </c>
      <c r="I98" s="27">
        <f>IFERROR(100/'Skjema total MA'!F98*G98,0)</f>
        <v>32.509180619946086</v>
      </c>
      <c r="J98" s="286">
        <f t="shared" si="41"/>
        <v>237520370.91600001</v>
      </c>
      <c r="K98" s="44">
        <f t="shared" si="41"/>
        <v>257806065.56400001</v>
      </c>
      <c r="L98" s="254">
        <f t="shared" si="20"/>
        <v>8.5</v>
      </c>
      <c r="M98" s="27">
        <f>IFERROR(100/'Skjema total MA'!I98*K98,0)</f>
        <v>37.214076965990095</v>
      </c>
    </row>
    <row r="99" spans="1:13" x14ac:dyDescent="0.2">
      <c r="A99" s="21" t="s">
        <v>9</v>
      </c>
      <c r="B99" s="291">
        <v>155438093.90200001</v>
      </c>
      <c r="C99" s="292">
        <v>156286708.59400001</v>
      </c>
      <c r="D99" s="166">
        <f t="shared" si="17"/>
        <v>0.5</v>
      </c>
      <c r="E99" s="27">
        <f>IFERROR(100/'Skjema total MA'!C99*C99,0)</f>
        <v>41.383882186002673</v>
      </c>
      <c r="F99" s="234"/>
      <c r="G99" s="145"/>
      <c r="H99" s="166"/>
      <c r="I99" s="27"/>
      <c r="J99" s="286">
        <f t="shared" si="41"/>
        <v>155438093.90200001</v>
      </c>
      <c r="K99" s="44">
        <f t="shared" si="41"/>
        <v>156286708.59400001</v>
      </c>
      <c r="L99" s="254">
        <f t="shared" si="20"/>
        <v>0.5</v>
      </c>
      <c r="M99" s="27">
        <f>IFERROR(100/'Skjema total MA'!I99*K99,0)</f>
        <v>41.383882186002673</v>
      </c>
    </row>
    <row r="100" spans="1:13" x14ac:dyDescent="0.2">
      <c r="A100" s="21" t="s">
        <v>10</v>
      </c>
      <c r="B100" s="291">
        <v>86875</v>
      </c>
      <c r="C100" s="292">
        <v>48376.71</v>
      </c>
      <c r="D100" s="166">
        <f t="shared" si="17"/>
        <v>-44.3</v>
      </c>
      <c r="E100" s="27">
        <f>IFERROR(100/'Skjema total MA'!C100*C100,0)</f>
        <v>1.6214627545433822</v>
      </c>
      <c r="F100" s="234">
        <v>81995402.013999999</v>
      </c>
      <c r="G100" s="234">
        <v>101470980.26000001</v>
      </c>
      <c r="H100" s="166">
        <f t="shared" si="18"/>
        <v>23.8</v>
      </c>
      <c r="I100" s="27">
        <f>IFERROR(100/'Skjema total MA'!F100*G100,0)</f>
        <v>32.509180619946086</v>
      </c>
      <c r="J100" s="286">
        <f t="shared" si="41"/>
        <v>82082277.013999999</v>
      </c>
      <c r="K100" s="44">
        <f t="shared" si="41"/>
        <v>101519356.97</v>
      </c>
      <c r="L100" s="254">
        <f t="shared" si="20"/>
        <v>23.7</v>
      </c>
      <c r="M100" s="27">
        <f>IFERROR(100/'Skjema total MA'!I100*K100,0)</f>
        <v>32.216733185283573</v>
      </c>
    </row>
    <row r="101" spans="1:13" ht="15.75" x14ac:dyDescent="0.2">
      <c r="A101" s="295" t="s">
        <v>466</v>
      </c>
      <c r="B101" s="280"/>
      <c r="C101" s="280"/>
      <c r="D101" s="166"/>
      <c r="E101" s="365"/>
      <c r="F101" s="280"/>
      <c r="G101" s="280"/>
      <c r="H101" s="166"/>
      <c r="I101" s="365"/>
      <c r="J101" s="289"/>
      <c r="K101" s="289"/>
      <c r="L101" s="166"/>
      <c r="M101" s="23"/>
    </row>
    <row r="102" spans="1:13" x14ac:dyDescent="0.2">
      <c r="A102" s="295" t="s">
        <v>12</v>
      </c>
      <c r="B102" s="235"/>
      <c r="C102" s="288"/>
      <c r="D102" s="166"/>
      <c r="E102" s="365"/>
      <c r="F102" s="280"/>
      <c r="G102" s="280"/>
      <c r="H102" s="166"/>
      <c r="I102" s="365"/>
      <c r="J102" s="289"/>
      <c r="K102" s="289"/>
      <c r="L102" s="166"/>
      <c r="M102" s="23"/>
    </row>
    <row r="103" spans="1:13" x14ac:dyDescent="0.2">
      <c r="A103" s="295" t="s">
        <v>13</v>
      </c>
      <c r="B103" s="235"/>
      <c r="C103" s="288"/>
      <c r="D103" s="166"/>
      <c r="E103" s="365"/>
      <c r="F103" s="280"/>
      <c r="G103" s="280"/>
      <c r="H103" s="166"/>
      <c r="I103" s="365"/>
      <c r="J103" s="289"/>
      <c r="K103" s="289"/>
      <c r="L103" s="166"/>
      <c r="M103" s="23"/>
    </row>
    <row r="104" spans="1:13" ht="15.75" x14ac:dyDescent="0.2">
      <c r="A104" s="295" t="s">
        <v>467</v>
      </c>
      <c r="B104" s="280">
        <v>86875</v>
      </c>
      <c r="C104" s="280">
        <v>48376.71</v>
      </c>
      <c r="D104" s="166">
        <f t="shared" ref="D104" si="55">IF(B104=0, "    ---- ", IF(ABS(ROUND(100/B104*C104-100,1))&lt;999,ROUND(100/B104*C104-100,1),IF(ROUND(100/B104*C104-100,1)&gt;999,999,-999)))</f>
        <v>-44.3</v>
      </c>
      <c r="E104" s="27">
        <f>IFERROR(100/'Skjema total MA'!C104*C104,0)</f>
        <v>1.6214627545433822</v>
      </c>
      <c r="F104" s="280">
        <v>81995402.013999999</v>
      </c>
      <c r="G104" s="280">
        <v>101470980.26000001</v>
      </c>
      <c r="H104" s="166">
        <f t="shared" ref="H104" si="56">IF(F104=0, "    ---- ", IF(ABS(ROUND(100/F104*G104-100,1))&lt;999,ROUND(100/F104*G104-100,1),IF(ROUND(100/F104*G104-100,1)&gt;999,999,-999)))</f>
        <v>23.8</v>
      </c>
      <c r="I104" s="365">
        <f>IFERROR(100/'Skjema total MA'!F104*G104,0)</f>
        <v>32.509180619946086</v>
      </c>
      <c r="J104" s="286">
        <f t="shared" ref="J104" si="57">SUM(B104,F104)</f>
        <v>82082277.013999999</v>
      </c>
      <c r="K104" s="44">
        <f t="shared" ref="K104" si="58">SUM(C104,G104)</f>
        <v>101519356.97</v>
      </c>
      <c r="L104" s="254">
        <f t="shared" ref="L104" si="59">IF(J104=0, "    ---- ", IF(ABS(ROUND(100/J104*K104-100,1))&lt;999,ROUND(100/J104*K104-100,1),IF(ROUND(100/J104*K104-100,1)&gt;999,999,-999)))</f>
        <v>23.7</v>
      </c>
      <c r="M104" s="23">
        <f>IFERROR(100/'Skjema total MA'!I104*K104,0)</f>
        <v>32.216733185283573</v>
      </c>
    </row>
    <row r="105" spans="1:13" x14ac:dyDescent="0.2">
      <c r="A105" s="295" t="s">
        <v>12</v>
      </c>
      <c r="B105" s="235"/>
      <c r="C105" s="288"/>
      <c r="D105" s="166"/>
      <c r="E105" s="365"/>
      <c r="F105" s="280"/>
      <c r="G105" s="280"/>
      <c r="H105" s="166"/>
      <c r="I105" s="365"/>
      <c r="J105" s="289"/>
      <c r="K105" s="289"/>
      <c r="L105" s="166"/>
      <c r="M105" s="23"/>
    </row>
    <row r="106" spans="1:13" x14ac:dyDescent="0.2">
      <c r="A106" s="295" t="s">
        <v>13</v>
      </c>
      <c r="B106" s="235"/>
      <c r="C106" s="288"/>
      <c r="D106" s="166"/>
      <c r="E106" s="365"/>
      <c r="F106" s="280">
        <v>81995402.013999999</v>
      </c>
      <c r="G106" s="280">
        <v>101470980.26000001</v>
      </c>
      <c r="H106" s="166">
        <f t="shared" ref="H106" si="60">IF(F106=0, "    ---- ", IF(ABS(ROUND(100/F106*G106-100,1))&lt;999,ROUND(100/F106*G106-100,1),IF(ROUND(100/F106*G106-100,1)&gt;999,999,-999)))</f>
        <v>23.8</v>
      </c>
      <c r="I106" s="365">
        <f>IFERROR(100/'Skjema total MA'!F106*G106,0)</f>
        <v>32.520435479623124</v>
      </c>
      <c r="J106" s="286">
        <f t="shared" ref="J106" si="61">SUM(B106,F106)</f>
        <v>81995402.013999999</v>
      </c>
      <c r="K106" s="44">
        <f t="shared" ref="K106" si="62">SUM(C106,G106)</f>
        <v>101470980.26000001</v>
      </c>
      <c r="L106" s="254">
        <f t="shared" ref="L106" si="63">IF(J106=0, "    ---- ", IF(ABS(ROUND(100/J106*K106-100,1))&lt;999,ROUND(100/J106*K106-100,1),IF(ROUND(100/J106*K106-100,1)&gt;999,999,-999)))</f>
        <v>23.8</v>
      </c>
      <c r="M106" s="23">
        <f>IFERROR(100/'Skjema total MA'!I106*K106,0)</f>
        <v>32.520435479623124</v>
      </c>
    </row>
    <row r="107" spans="1:13" ht="15.75" x14ac:dyDescent="0.2">
      <c r="A107" s="21" t="s">
        <v>469</v>
      </c>
      <c r="B107" s="234">
        <v>3452879.2089999998</v>
      </c>
      <c r="C107" s="145">
        <v>3274156.4449999998</v>
      </c>
      <c r="D107" s="166">
        <f t="shared" si="17"/>
        <v>-5.2</v>
      </c>
      <c r="E107" s="27">
        <f>IFERROR(100/'Skjema total MA'!C107*C107,0)</f>
        <v>71.267918739516688</v>
      </c>
      <c r="F107" s="234"/>
      <c r="G107" s="145"/>
      <c r="H107" s="166"/>
      <c r="I107" s="27"/>
      <c r="J107" s="286">
        <f t="shared" si="41"/>
        <v>3452879.2089999998</v>
      </c>
      <c r="K107" s="44">
        <f t="shared" si="41"/>
        <v>3274156.4449999998</v>
      </c>
      <c r="L107" s="254">
        <f t="shared" si="20"/>
        <v>-5.2</v>
      </c>
      <c r="M107" s="27">
        <f>IFERROR(100/'Skjema total MA'!I107*K107,0)</f>
        <v>59.795361469364622</v>
      </c>
    </row>
    <row r="108" spans="1:13" ht="15.75" x14ac:dyDescent="0.2">
      <c r="A108" s="21" t="s">
        <v>470</v>
      </c>
      <c r="B108" s="234">
        <v>131230667.785</v>
      </c>
      <c r="C108" s="234">
        <v>133217316.215</v>
      </c>
      <c r="D108" s="166">
        <f t="shared" si="17"/>
        <v>1.5</v>
      </c>
      <c r="E108" s="27">
        <f>IFERROR(100/'Skjema total MA'!C108*C108,0)</f>
        <v>41.937917361101114</v>
      </c>
      <c r="F108" s="234">
        <v>14553303.16</v>
      </c>
      <c r="G108" s="234">
        <v>16424165.877</v>
      </c>
      <c r="H108" s="166">
        <f t="shared" si="18"/>
        <v>12.9</v>
      </c>
      <c r="I108" s="27">
        <f>IFERROR(100/'Skjema total MA'!F108*G108,0)</f>
        <v>95.997492977845994</v>
      </c>
      <c r="J108" s="286">
        <f t="shared" si="41"/>
        <v>145783970.94499999</v>
      </c>
      <c r="K108" s="44">
        <f t="shared" si="41"/>
        <v>149641482.09200001</v>
      </c>
      <c r="L108" s="254">
        <f t="shared" si="20"/>
        <v>2.6</v>
      </c>
      <c r="M108" s="27">
        <f>IFERROR(100/'Skjema total MA'!I108*K108,0)</f>
        <v>44.700779118608921</v>
      </c>
    </row>
    <row r="109" spans="1:13" ht="15.75" x14ac:dyDescent="0.2">
      <c r="A109" s="21" t="s">
        <v>471</v>
      </c>
      <c r="B109" s="234"/>
      <c r="C109" s="234"/>
      <c r="D109" s="166"/>
      <c r="E109" s="27"/>
      <c r="F109" s="234">
        <v>24096928.107999999</v>
      </c>
      <c r="G109" s="234">
        <v>31419033.914999999</v>
      </c>
      <c r="H109" s="166">
        <f t="shared" si="18"/>
        <v>30.4</v>
      </c>
      <c r="I109" s="27">
        <f>IFERROR(100/'Skjema total MA'!F109*G109,0)</f>
        <v>29.244720135781336</v>
      </c>
      <c r="J109" s="286">
        <f t="shared" si="41"/>
        <v>24096928.107999999</v>
      </c>
      <c r="K109" s="44">
        <f t="shared" si="41"/>
        <v>31419033.914999999</v>
      </c>
      <c r="L109" s="254">
        <f t="shared" si="20"/>
        <v>30.4</v>
      </c>
      <c r="M109" s="27">
        <f>IFERROR(100/'Skjema total MA'!I109*K109,0)</f>
        <v>28.987279067378076</v>
      </c>
    </row>
    <row r="110" spans="1:13" ht="15.75" x14ac:dyDescent="0.2">
      <c r="A110" s="21" t="s">
        <v>472</v>
      </c>
      <c r="B110" s="234">
        <v>40887.394999999997</v>
      </c>
      <c r="C110" s="234">
        <v>87904.527000000002</v>
      </c>
      <c r="D110" s="166">
        <f t="shared" si="17"/>
        <v>115</v>
      </c>
      <c r="E110" s="27">
        <f>IFERROR(100/'Skjema total MA'!C110*C110,0)</f>
        <v>29.39537698394583</v>
      </c>
      <c r="F110" s="234"/>
      <c r="G110" s="234"/>
      <c r="H110" s="166"/>
      <c r="I110" s="27"/>
      <c r="J110" s="286">
        <f t="shared" si="41"/>
        <v>40887.394999999997</v>
      </c>
      <c r="K110" s="44">
        <f t="shared" si="41"/>
        <v>87904.527000000002</v>
      </c>
      <c r="L110" s="254">
        <f t="shared" si="20"/>
        <v>115</v>
      </c>
      <c r="M110" s="27">
        <f>IFERROR(100/'Skjema total MA'!I110*K110,0)</f>
        <v>29.39537698394583</v>
      </c>
    </row>
    <row r="111" spans="1:13" ht="15.75" x14ac:dyDescent="0.2">
      <c r="A111" s="13" t="s">
        <v>452</v>
      </c>
      <c r="B111" s="307">
        <v>88959.013000000006</v>
      </c>
      <c r="C111" s="159">
        <v>104900.482</v>
      </c>
      <c r="D111" s="171">
        <f t="shared" si="17"/>
        <v>17.899999999999999</v>
      </c>
      <c r="E111" s="11">
        <f>IFERROR(100/'Skjema total MA'!C111*C111,0)</f>
        <v>22.009365247032459</v>
      </c>
      <c r="F111" s="307">
        <v>1972487.6310000001</v>
      </c>
      <c r="G111" s="159">
        <v>3024073.477</v>
      </c>
      <c r="H111" s="171">
        <f t="shared" si="18"/>
        <v>53.3</v>
      </c>
      <c r="I111" s="11">
        <f>IFERROR(100/'Skjema total MA'!F111*G111,0)</f>
        <v>22.846080663158371</v>
      </c>
      <c r="J111" s="308">
        <f t="shared" si="41"/>
        <v>2061446.6440000001</v>
      </c>
      <c r="K111" s="236">
        <f t="shared" si="41"/>
        <v>3128973.9589999998</v>
      </c>
      <c r="L111" s="373">
        <f t="shared" si="20"/>
        <v>51.8</v>
      </c>
      <c r="M111" s="11">
        <f>IFERROR(100/'Skjema total MA'!I111*K111,0)</f>
        <v>22.816999998360867</v>
      </c>
    </row>
    <row r="112" spans="1:13" x14ac:dyDescent="0.2">
      <c r="A112" s="21" t="s">
        <v>9</v>
      </c>
      <c r="B112" s="234">
        <v>44873.474000000002</v>
      </c>
      <c r="C112" s="145">
        <v>14997.737999999999</v>
      </c>
      <c r="D112" s="166">
        <f t="shared" ref="D112:D125" si="64">IF(B112=0, "    ---- ", IF(ABS(ROUND(100/B112*C112-100,1))&lt;999,ROUND(100/B112*C112-100,1),IF(ROUND(100/B112*C112-100,1)&gt;999,999,-999)))</f>
        <v>-66.599999999999994</v>
      </c>
      <c r="E112" s="27">
        <f>IFERROR(100/'Skjema total MA'!C112*C112,0)</f>
        <v>4.1495747007931918</v>
      </c>
      <c r="F112" s="234">
        <v>2884.6590000000001</v>
      </c>
      <c r="G112" s="145">
        <v>5989.8890000000001</v>
      </c>
      <c r="H112" s="166">
        <f t="shared" ref="H112:H125" si="65">IF(F112=0, "    ---- ", IF(ABS(ROUND(100/F112*G112-100,1))&lt;999,ROUND(100/F112*G112-100,1),IF(ROUND(100/F112*G112-100,1)&gt;999,999,-999)))</f>
        <v>107.6</v>
      </c>
      <c r="I112" s="27">
        <f>IFERROR(100/'Skjema total MA'!F112*G112,0)</f>
        <v>100</v>
      </c>
      <c r="J112" s="286">
        <f t="shared" ref="J112:K125" si="66">SUM(B112,F112)</f>
        <v>47758.133000000002</v>
      </c>
      <c r="K112" s="44">
        <f t="shared" si="66"/>
        <v>20987.627</v>
      </c>
      <c r="L112" s="254">
        <f t="shared" ref="L112:L125" si="67">IF(J112=0, "    ---- ", IF(ABS(ROUND(100/J112*K112-100,1))&lt;999,ROUND(100/J112*K112-100,1),IF(ROUND(100/J112*K112-100,1)&gt;999,999,-999)))</f>
        <v>-56.1</v>
      </c>
      <c r="M112" s="27">
        <f>IFERROR(100/'Skjema total MA'!I112*K112,0)</f>
        <v>5.7121902677683236</v>
      </c>
    </row>
    <row r="113" spans="1:14" x14ac:dyDescent="0.2">
      <c r="A113" s="21" t="s">
        <v>10</v>
      </c>
      <c r="B113" s="234"/>
      <c r="C113" s="145"/>
      <c r="D113" s="166"/>
      <c r="E113" s="27"/>
      <c r="F113" s="234">
        <v>1930388.537</v>
      </c>
      <c r="G113" s="145">
        <v>3016283.7779999999</v>
      </c>
      <c r="H113" s="166">
        <f t="shared" si="65"/>
        <v>56.3</v>
      </c>
      <c r="I113" s="27">
        <f>IFERROR(100/'Skjema total MA'!F113*G113,0)</f>
        <v>22.851914656233216</v>
      </c>
      <c r="J113" s="286">
        <f t="shared" si="66"/>
        <v>1930388.537</v>
      </c>
      <c r="K113" s="44">
        <f t="shared" si="66"/>
        <v>3016283.7779999999</v>
      </c>
      <c r="L113" s="254">
        <f t="shared" si="67"/>
        <v>56.3</v>
      </c>
      <c r="M113" s="27">
        <f>IFERROR(100/'Skjema total MA'!I113*K113,0)</f>
        <v>22.848863489832379</v>
      </c>
    </row>
    <row r="114" spans="1:14" x14ac:dyDescent="0.2">
      <c r="A114" s="21" t="s">
        <v>26</v>
      </c>
      <c r="B114" s="234">
        <v>44085.538999999997</v>
      </c>
      <c r="C114" s="145">
        <v>89902.744000000006</v>
      </c>
      <c r="D114" s="166">
        <f t="shared" si="64"/>
        <v>103.9</v>
      </c>
      <c r="E114" s="27">
        <f>IFERROR(100/'Skjema total MA'!C114*C114,0)</f>
        <v>79.260741340316486</v>
      </c>
      <c r="F114" s="234">
        <v>39214.434999999998</v>
      </c>
      <c r="G114" s="145">
        <v>1799.81</v>
      </c>
      <c r="H114" s="166">
        <f t="shared" si="65"/>
        <v>-95.4</v>
      </c>
      <c r="I114" s="27">
        <f>IFERROR(100/'Skjema total MA'!F114*G114,0)</f>
        <v>5.7178358013507875</v>
      </c>
      <c r="J114" s="286">
        <f t="shared" si="66"/>
        <v>83299.973999999987</v>
      </c>
      <c r="K114" s="44">
        <f t="shared" si="66"/>
        <v>91702.554000000004</v>
      </c>
      <c r="L114" s="254">
        <f t="shared" si="67"/>
        <v>10.1</v>
      </c>
      <c r="M114" s="27">
        <f>IFERROR(100/'Skjema total MA'!I114*K114,0)</f>
        <v>63.285173357534873</v>
      </c>
    </row>
    <row r="115" spans="1:14" x14ac:dyDescent="0.2">
      <c r="A115" s="295" t="s">
        <v>15</v>
      </c>
      <c r="B115" s="280"/>
      <c r="C115" s="280"/>
      <c r="D115" s="166"/>
      <c r="E115" s="365"/>
      <c r="F115" s="280"/>
      <c r="G115" s="280"/>
      <c r="H115" s="166"/>
      <c r="I115" s="365"/>
      <c r="J115" s="289"/>
      <c r="K115" s="289"/>
      <c r="L115" s="166"/>
      <c r="M115" s="23"/>
    </row>
    <row r="116" spans="1:14" ht="15.75" x14ac:dyDescent="0.2">
      <c r="A116" s="21" t="s">
        <v>473</v>
      </c>
      <c r="B116" s="234">
        <v>16778.155999999999</v>
      </c>
      <c r="C116" s="234">
        <v>13047.608</v>
      </c>
      <c r="D116" s="166">
        <f t="shared" si="64"/>
        <v>-22.2</v>
      </c>
      <c r="E116" s="27">
        <f>IFERROR(100/'Skjema total MA'!C116*C116,0)</f>
        <v>9.8821951259373169</v>
      </c>
      <c r="F116" s="234">
        <v>2884.6590000000001</v>
      </c>
      <c r="G116" s="234">
        <v>5989.8890000000001</v>
      </c>
      <c r="H116" s="166">
        <f t="shared" si="65"/>
        <v>107.6</v>
      </c>
      <c r="I116" s="27">
        <f>IFERROR(100/'Skjema total MA'!F116*G116,0)</f>
        <v>100</v>
      </c>
      <c r="J116" s="286">
        <f t="shared" si="66"/>
        <v>19662.814999999999</v>
      </c>
      <c r="K116" s="44">
        <f t="shared" si="66"/>
        <v>19037.496999999999</v>
      </c>
      <c r="L116" s="254">
        <f t="shared" si="67"/>
        <v>-3.2</v>
      </c>
      <c r="M116" s="27">
        <f>IFERROR(100/'Skjema total MA'!I116*K116,0)</f>
        <v>13.793152328264849</v>
      </c>
    </row>
    <row r="117" spans="1:14" ht="15.75" x14ac:dyDescent="0.2">
      <c r="A117" s="21" t="s">
        <v>474</v>
      </c>
      <c r="B117" s="234"/>
      <c r="C117" s="234"/>
      <c r="D117" s="166"/>
      <c r="E117" s="27"/>
      <c r="F117" s="234">
        <v>650572.34699999995</v>
      </c>
      <c r="G117" s="234">
        <v>1118278.9720000001</v>
      </c>
      <c r="H117" s="166">
        <f t="shared" si="65"/>
        <v>71.900000000000006</v>
      </c>
      <c r="I117" s="27">
        <f>IFERROR(100/'Skjema total MA'!F117*G117,0)</f>
        <v>35.680826219677385</v>
      </c>
      <c r="J117" s="286">
        <f t="shared" si="66"/>
        <v>650572.34699999995</v>
      </c>
      <c r="K117" s="44">
        <f t="shared" si="66"/>
        <v>1118278.9720000001</v>
      </c>
      <c r="L117" s="254">
        <f t="shared" si="67"/>
        <v>71.900000000000006</v>
      </c>
      <c r="M117" s="27">
        <f>IFERROR(100/'Skjema total MA'!I117*K117,0)</f>
        <v>35.680826219677385</v>
      </c>
    </row>
    <row r="118" spans="1:14" ht="15.75" x14ac:dyDescent="0.2">
      <c r="A118" s="21" t="s">
        <v>472</v>
      </c>
      <c r="B118" s="234"/>
      <c r="C118" s="234"/>
      <c r="D118" s="166"/>
      <c r="E118" s="27"/>
      <c r="F118" s="234"/>
      <c r="G118" s="234"/>
      <c r="H118" s="166"/>
      <c r="I118" s="27"/>
      <c r="J118" s="286"/>
      <c r="K118" s="44"/>
      <c r="L118" s="254"/>
      <c r="M118" s="27"/>
    </row>
    <row r="119" spans="1:14" ht="15.75" x14ac:dyDescent="0.2">
      <c r="A119" s="13" t="s">
        <v>453</v>
      </c>
      <c r="B119" s="307">
        <v>120923.842</v>
      </c>
      <c r="C119" s="159">
        <v>203205.72500000001</v>
      </c>
      <c r="D119" s="171">
        <f t="shared" si="64"/>
        <v>68</v>
      </c>
      <c r="E119" s="11">
        <f>IFERROR(100/'Skjema total MA'!C119*C119,0)</f>
        <v>41.329204121726292</v>
      </c>
      <c r="F119" s="307">
        <v>2754979.1740000001</v>
      </c>
      <c r="G119" s="159">
        <v>4227474.6780000003</v>
      </c>
      <c r="H119" s="171">
        <f t="shared" si="65"/>
        <v>53.4</v>
      </c>
      <c r="I119" s="11">
        <f>IFERROR(100/'Skjema total MA'!F119*G119,0)</f>
        <v>31.175521369301087</v>
      </c>
      <c r="J119" s="308">
        <f t="shared" si="66"/>
        <v>2875903.0160000003</v>
      </c>
      <c r="K119" s="236">
        <f t="shared" si="66"/>
        <v>4430680.4029999999</v>
      </c>
      <c r="L119" s="373">
        <f t="shared" si="67"/>
        <v>54.1</v>
      </c>
      <c r="M119" s="11">
        <f>IFERROR(100/'Skjema total MA'!I119*K119,0)</f>
        <v>31.530798317362159</v>
      </c>
    </row>
    <row r="120" spans="1:14" x14ac:dyDescent="0.2">
      <c r="A120" s="21" t="s">
        <v>9</v>
      </c>
      <c r="B120" s="234">
        <v>14987.325000000001</v>
      </c>
      <c r="C120" s="145">
        <v>44550.133000000002</v>
      </c>
      <c r="D120" s="166">
        <f t="shared" si="64"/>
        <v>197.3</v>
      </c>
      <c r="E120" s="27">
        <f>IFERROR(100/'Skjema total MA'!C120*C120,0)</f>
        <v>15.79502253958233</v>
      </c>
      <c r="F120" s="234"/>
      <c r="G120" s="145"/>
      <c r="H120" s="166"/>
      <c r="I120" s="27"/>
      <c r="J120" s="286">
        <f t="shared" si="66"/>
        <v>14987.325000000001</v>
      </c>
      <c r="K120" s="44">
        <f t="shared" si="66"/>
        <v>44550.133000000002</v>
      </c>
      <c r="L120" s="254">
        <f t="shared" si="67"/>
        <v>197.3</v>
      </c>
      <c r="M120" s="27">
        <f>IFERROR(100/'Skjema total MA'!I120*K120,0)</f>
        <v>15.79502253958233</v>
      </c>
    </row>
    <row r="121" spans="1:14" x14ac:dyDescent="0.2">
      <c r="A121" s="21" t="s">
        <v>10</v>
      </c>
      <c r="B121" s="234"/>
      <c r="C121" s="145"/>
      <c r="D121" s="166"/>
      <c r="E121" s="27"/>
      <c r="F121" s="234">
        <v>2754979.1740000001</v>
      </c>
      <c r="G121" s="145">
        <v>4227474.6780000003</v>
      </c>
      <c r="H121" s="166">
        <f t="shared" si="65"/>
        <v>53.4</v>
      </c>
      <c r="I121" s="27">
        <f>IFERROR(100/'Skjema total MA'!F121*G121,0)</f>
        <v>31.175521369301087</v>
      </c>
      <c r="J121" s="286">
        <f t="shared" si="66"/>
        <v>2754979.1740000001</v>
      </c>
      <c r="K121" s="44">
        <f t="shared" si="66"/>
        <v>4227474.6780000003</v>
      </c>
      <c r="L121" s="254">
        <f t="shared" si="67"/>
        <v>53.4</v>
      </c>
      <c r="M121" s="27">
        <f>IFERROR(100/'Skjema total MA'!I121*K121,0)</f>
        <v>31.085770605994323</v>
      </c>
    </row>
    <row r="122" spans="1:14" x14ac:dyDescent="0.2">
      <c r="A122" s="21" t="s">
        <v>26</v>
      </c>
      <c r="B122" s="234">
        <v>105936.51700000001</v>
      </c>
      <c r="C122" s="145">
        <v>158655.592</v>
      </c>
      <c r="D122" s="166">
        <f t="shared" si="64"/>
        <v>49.8</v>
      </c>
      <c r="E122" s="27">
        <f>IFERROR(100/'Skjema total MA'!C122*C122,0)</f>
        <v>93.067835153814798</v>
      </c>
      <c r="F122" s="234"/>
      <c r="G122" s="145"/>
      <c r="H122" s="166"/>
      <c r="I122" s="27"/>
      <c r="J122" s="286">
        <f t="shared" si="66"/>
        <v>105936.51700000001</v>
      </c>
      <c r="K122" s="44">
        <f t="shared" si="66"/>
        <v>158655.592</v>
      </c>
      <c r="L122" s="254">
        <f t="shared" si="67"/>
        <v>49.8</v>
      </c>
      <c r="M122" s="27">
        <f>IFERROR(100/'Skjema total MA'!I122*K122,0)</f>
        <v>93.067835153814798</v>
      </c>
    </row>
    <row r="123" spans="1:14" x14ac:dyDescent="0.2">
      <c r="A123" s="295" t="s">
        <v>14</v>
      </c>
      <c r="B123" s="280"/>
      <c r="C123" s="280"/>
      <c r="D123" s="166"/>
      <c r="E123" s="365"/>
      <c r="F123" s="280"/>
      <c r="G123" s="280"/>
      <c r="H123" s="166"/>
      <c r="I123" s="365"/>
      <c r="J123" s="289"/>
      <c r="K123" s="289"/>
      <c r="L123" s="166"/>
      <c r="M123" s="23"/>
    </row>
    <row r="124" spans="1:14" ht="15.75" x14ac:dyDescent="0.2">
      <c r="A124" s="21" t="s">
        <v>479</v>
      </c>
      <c r="B124" s="234">
        <v>8069.0739999999996</v>
      </c>
      <c r="C124" s="234">
        <v>5872.2460000000001</v>
      </c>
      <c r="D124" s="166">
        <f t="shared" si="64"/>
        <v>-27.2</v>
      </c>
      <c r="E124" s="27">
        <f>IFERROR(100/'Skjema total MA'!C124*C124,0)</f>
        <v>7.4127062333533438</v>
      </c>
      <c r="F124" s="234">
        <v>28362.670999999998</v>
      </c>
      <c r="G124" s="234">
        <v>27241.109</v>
      </c>
      <c r="H124" s="166">
        <f t="shared" si="65"/>
        <v>-4</v>
      </c>
      <c r="I124" s="27">
        <f>IFERROR(100/'Skjema total MA'!F124*G124,0)</f>
        <v>92.044543014745585</v>
      </c>
      <c r="J124" s="286">
        <f t="shared" si="66"/>
        <v>36431.744999999995</v>
      </c>
      <c r="K124" s="44">
        <f t="shared" si="66"/>
        <v>33113.355000000003</v>
      </c>
      <c r="L124" s="254">
        <f t="shared" si="67"/>
        <v>-9.1</v>
      </c>
      <c r="M124" s="27">
        <f>IFERROR(100/'Skjema total MA'!I124*K124,0)</f>
        <v>30.431090345661385</v>
      </c>
    </row>
    <row r="125" spans="1:14" ht="15.75" x14ac:dyDescent="0.2">
      <c r="A125" s="21" t="s">
        <v>471</v>
      </c>
      <c r="B125" s="234">
        <v>6.69</v>
      </c>
      <c r="C125" s="234">
        <v>6.27</v>
      </c>
      <c r="D125" s="166">
        <f t="shared" si="64"/>
        <v>-6.3</v>
      </c>
      <c r="E125" s="27">
        <f>IFERROR(100/'Skjema total MA'!C125*C125,0)</f>
        <v>0.17418306600233077</v>
      </c>
      <c r="F125" s="234">
        <v>497541.83299999998</v>
      </c>
      <c r="G125" s="234">
        <v>679088.72100000002</v>
      </c>
      <c r="H125" s="166">
        <f t="shared" si="65"/>
        <v>36.5</v>
      </c>
      <c r="I125" s="27">
        <f>IFERROR(100/'Skjema total MA'!F125*G125,0)</f>
        <v>21.818480331705356</v>
      </c>
      <c r="J125" s="286">
        <f t="shared" si="66"/>
        <v>497548.52299999999</v>
      </c>
      <c r="K125" s="44">
        <f t="shared" si="66"/>
        <v>679094.99100000004</v>
      </c>
      <c r="L125" s="254">
        <f t="shared" si="67"/>
        <v>36.5</v>
      </c>
      <c r="M125" s="27">
        <f>IFERROR(100/'Skjema total MA'!I125*K125,0)</f>
        <v>21.793476815123938</v>
      </c>
    </row>
    <row r="126" spans="1:14" ht="15.75" x14ac:dyDescent="0.2">
      <c r="A126" s="10" t="s">
        <v>472</v>
      </c>
      <c r="B126" s="45"/>
      <c r="C126" s="45"/>
      <c r="D126" s="167"/>
      <c r="E126" s="366"/>
      <c r="F126" s="45"/>
      <c r="G126" s="45"/>
      <c r="H126" s="167"/>
      <c r="I126" s="22"/>
      <c r="J126" s="287"/>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975"/>
      <c r="C130" s="975"/>
      <c r="D130" s="975"/>
      <c r="E130" s="298"/>
      <c r="F130" s="975"/>
      <c r="G130" s="975"/>
      <c r="H130" s="975"/>
      <c r="I130" s="298"/>
      <c r="J130" s="975"/>
      <c r="K130" s="975"/>
      <c r="L130" s="975"/>
      <c r="M130" s="298"/>
    </row>
    <row r="131" spans="1:14" s="3" customFormat="1" x14ac:dyDescent="0.2">
      <c r="A131" s="144"/>
      <c r="B131" s="973" t="s">
        <v>0</v>
      </c>
      <c r="C131" s="974"/>
      <c r="D131" s="974"/>
      <c r="E131" s="300"/>
      <c r="F131" s="973" t="s">
        <v>1</v>
      </c>
      <c r="G131" s="974"/>
      <c r="H131" s="974"/>
      <c r="I131" s="303"/>
      <c r="J131" s="973" t="s">
        <v>2</v>
      </c>
      <c r="K131" s="974"/>
      <c r="L131" s="974"/>
      <c r="M131" s="303"/>
      <c r="N131" s="148"/>
    </row>
    <row r="132" spans="1:14" s="3" customFormat="1" x14ac:dyDescent="0.2">
      <c r="A132" s="140"/>
      <c r="B132" s="152" t="s">
        <v>492</v>
      </c>
      <c r="C132" s="152" t="s">
        <v>493</v>
      </c>
      <c r="D132" s="245" t="s">
        <v>3</v>
      </c>
      <c r="E132" s="304" t="s">
        <v>29</v>
      </c>
      <c r="F132" s="152" t="s">
        <v>492</v>
      </c>
      <c r="G132" s="152" t="s">
        <v>493</v>
      </c>
      <c r="H132" s="206" t="s">
        <v>3</v>
      </c>
      <c r="I132" s="162" t="s">
        <v>29</v>
      </c>
      <c r="J132" s="152" t="s">
        <v>492</v>
      </c>
      <c r="K132" s="152" t="s">
        <v>493</v>
      </c>
      <c r="L132" s="246" t="s">
        <v>3</v>
      </c>
      <c r="M132" s="162" t="s">
        <v>29</v>
      </c>
      <c r="N132" s="148"/>
    </row>
    <row r="133" spans="1:14" s="3" customFormat="1" x14ac:dyDescent="0.2">
      <c r="A133" s="947"/>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475</v>
      </c>
      <c r="B134" s="236">
        <v>235159.59899999999</v>
      </c>
      <c r="C134" s="308">
        <v>243340.84299999999</v>
      </c>
      <c r="D134" s="349">
        <f t="shared" ref="D134:D135" si="68">IF(B134=0, "    ---- ", IF(ABS(ROUND(100/B134*C134-100,1))&lt;999,ROUND(100/B134*C134-100,1),IF(ROUND(100/B134*C134-100,1)&gt;999,999,-999)))</f>
        <v>3.5</v>
      </c>
      <c r="E134" s="11">
        <f>IFERROR(100/'Skjema total MA'!C134*C134,0)</f>
        <v>0.53527536431393663</v>
      </c>
      <c r="F134" s="315"/>
      <c r="G134" s="316"/>
      <c r="H134" s="376"/>
      <c r="I134" s="24"/>
      <c r="J134" s="317">
        <f t="shared" ref="J134:K135" si="69">SUM(B134,F134)</f>
        <v>235159.59899999999</v>
      </c>
      <c r="K134" s="317">
        <f t="shared" si="69"/>
        <v>243340.84299999999</v>
      </c>
      <c r="L134" s="372">
        <f t="shared" ref="L134:L135" si="70">IF(J134=0, "    ---- ", IF(ABS(ROUND(100/J134*K134-100,1))&lt;999,ROUND(100/J134*K134-100,1),IF(ROUND(100/J134*K134-100,1)&gt;999,999,-999)))</f>
        <v>3.5</v>
      </c>
      <c r="M134" s="11">
        <f>IFERROR(100/'Skjema total MA'!I134*K134,0)</f>
        <v>0.53348215729944037</v>
      </c>
      <c r="N134" s="148"/>
    </row>
    <row r="135" spans="1:14" s="3" customFormat="1" ht="15.75" x14ac:dyDescent="0.2">
      <c r="A135" s="13" t="s">
        <v>480</v>
      </c>
      <c r="B135" s="236">
        <v>2873195.608</v>
      </c>
      <c r="C135" s="308">
        <v>2879767.605</v>
      </c>
      <c r="D135" s="171">
        <f t="shared" si="68"/>
        <v>0.2</v>
      </c>
      <c r="E135" s="11">
        <f>IFERROR(100/'Skjema total MA'!C135*C135,0)</f>
        <v>0.49084498260476667</v>
      </c>
      <c r="F135" s="236"/>
      <c r="G135" s="308"/>
      <c r="H135" s="377"/>
      <c r="I135" s="24"/>
      <c r="J135" s="307">
        <f t="shared" si="69"/>
        <v>2873195.608</v>
      </c>
      <c r="K135" s="307">
        <f t="shared" si="69"/>
        <v>2879767.605</v>
      </c>
      <c r="L135" s="373">
        <f t="shared" si="70"/>
        <v>0.2</v>
      </c>
      <c r="M135" s="11">
        <f>IFERROR(100/'Skjema total MA'!I135*K135,0)</f>
        <v>0.48859332461231531</v>
      </c>
      <c r="N135" s="148"/>
    </row>
    <row r="136" spans="1:14" s="3" customFormat="1" ht="15.75" x14ac:dyDescent="0.2">
      <c r="A136" s="13" t="s">
        <v>477</v>
      </c>
      <c r="B136" s="236"/>
      <c r="C136" s="308"/>
      <c r="D136" s="171"/>
      <c r="E136" s="11"/>
      <c r="F136" s="236"/>
      <c r="G136" s="308"/>
      <c r="H136" s="377"/>
      <c r="I136" s="24"/>
      <c r="J136" s="307"/>
      <c r="K136" s="307"/>
      <c r="L136" s="373"/>
      <c r="M136" s="11"/>
      <c r="N136" s="148"/>
    </row>
    <row r="137" spans="1:14" s="3" customFormat="1" ht="15.75" x14ac:dyDescent="0.2">
      <c r="A137" s="41" t="s">
        <v>478</v>
      </c>
      <c r="B137" s="275"/>
      <c r="C137" s="314"/>
      <c r="D137" s="169"/>
      <c r="E137" s="9"/>
      <c r="F137" s="275"/>
      <c r="G137" s="314"/>
      <c r="H137" s="378"/>
      <c r="I137" s="36"/>
      <c r="J137" s="313"/>
      <c r="K137" s="313"/>
      <c r="L137" s="374"/>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36" priority="132">
      <formula>kvartal &lt; 4</formula>
    </cfRule>
  </conditionalFormatting>
  <conditionalFormatting sqref="B69">
    <cfRule type="expression" dxfId="335" priority="100">
      <formula>kvartal &lt; 4</formula>
    </cfRule>
  </conditionalFormatting>
  <conditionalFormatting sqref="C69">
    <cfRule type="expression" dxfId="334" priority="99">
      <formula>kvartal &lt; 4</formula>
    </cfRule>
  </conditionalFormatting>
  <conditionalFormatting sqref="B72">
    <cfRule type="expression" dxfId="333" priority="98">
      <formula>kvartal &lt; 4</formula>
    </cfRule>
  </conditionalFormatting>
  <conditionalFormatting sqref="C72">
    <cfRule type="expression" dxfId="332" priority="97">
      <formula>kvartal &lt; 4</formula>
    </cfRule>
  </conditionalFormatting>
  <conditionalFormatting sqref="B80">
    <cfRule type="expression" dxfId="331" priority="96">
      <formula>kvartal &lt; 4</formula>
    </cfRule>
  </conditionalFormatting>
  <conditionalFormatting sqref="C80">
    <cfRule type="expression" dxfId="330" priority="95">
      <formula>kvartal &lt; 4</formula>
    </cfRule>
  </conditionalFormatting>
  <conditionalFormatting sqref="B83">
    <cfRule type="expression" dxfId="329" priority="94">
      <formula>kvartal &lt; 4</formula>
    </cfRule>
  </conditionalFormatting>
  <conditionalFormatting sqref="C83">
    <cfRule type="expression" dxfId="328" priority="93">
      <formula>kvartal &lt; 4</formula>
    </cfRule>
  </conditionalFormatting>
  <conditionalFormatting sqref="B90">
    <cfRule type="expression" dxfId="327" priority="84">
      <formula>kvartal &lt; 4</formula>
    </cfRule>
  </conditionalFormatting>
  <conditionalFormatting sqref="C90">
    <cfRule type="expression" dxfId="326" priority="83">
      <formula>kvartal &lt; 4</formula>
    </cfRule>
  </conditionalFormatting>
  <conditionalFormatting sqref="B93">
    <cfRule type="expression" dxfId="325" priority="82">
      <formula>kvartal &lt; 4</formula>
    </cfRule>
  </conditionalFormatting>
  <conditionalFormatting sqref="C93">
    <cfRule type="expression" dxfId="324" priority="81">
      <formula>kvartal &lt; 4</formula>
    </cfRule>
  </conditionalFormatting>
  <conditionalFormatting sqref="B101">
    <cfRule type="expression" dxfId="323" priority="80">
      <formula>kvartal &lt; 4</formula>
    </cfRule>
  </conditionalFormatting>
  <conditionalFormatting sqref="C101">
    <cfRule type="expression" dxfId="322" priority="79">
      <formula>kvartal &lt; 4</formula>
    </cfRule>
  </conditionalFormatting>
  <conditionalFormatting sqref="B104">
    <cfRule type="expression" dxfId="321" priority="78">
      <formula>kvartal &lt; 4</formula>
    </cfRule>
  </conditionalFormatting>
  <conditionalFormatting sqref="C104">
    <cfRule type="expression" dxfId="320" priority="77">
      <formula>kvartal &lt; 4</formula>
    </cfRule>
  </conditionalFormatting>
  <conditionalFormatting sqref="B115">
    <cfRule type="expression" dxfId="319" priority="76">
      <formula>kvartal &lt; 4</formula>
    </cfRule>
  </conditionalFormatting>
  <conditionalFormatting sqref="C115">
    <cfRule type="expression" dxfId="318" priority="75">
      <formula>kvartal &lt; 4</formula>
    </cfRule>
  </conditionalFormatting>
  <conditionalFormatting sqref="B123">
    <cfRule type="expression" dxfId="317" priority="74">
      <formula>kvartal &lt; 4</formula>
    </cfRule>
  </conditionalFormatting>
  <conditionalFormatting sqref="C123">
    <cfRule type="expression" dxfId="316" priority="73">
      <formula>kvartal &lt; 4</formula>
    </cfRule>
  </conditionalFormatting>
  <conditionalFormatting sqref="F70">
    <cfRule type="expression" dxfId="315" priority="72">
      <formula>kvartal &lt; 4</formula>
    </cfRule>
  </conditionalFormatting>
  <conditionalFormatting sqref="G70">
    <cfRule type="expression" dxfId="314" priority="71">
      <formula>kvartal &lt; 4</formula>
    </cfRule>
  </conditionalFormatting>
  <conditionalFormatting sqref="F71:G71">
    <cfRule type="expression" dxfId="313" priority="70">
      <formula>kvartal &lt; 4</formula>
    </cfRule>
  </conditionalFormatting>
  <conditionalFormatting sqref="F73:G74">
    <cfRule type="expression" dxfId="312" priority="69">
      <formula>kvartal &lt; 4</formula>
    </cfRule>
  </conditionalFormatting>
  <conditionalFormatting sqref="F81:G82">
    <cfRule type="expression" dxfId="311" priority="68">
      <formula>kvartal &lt; 4</formula>
    </cfRule>
  </conditionalFormatting>
  <conditionalFormatting sqref="F84:G85">
    <cfRule type="expression" dxfId="310" priority="67">
      <formula>kvartal &lt; 4</formula>
    </cfRule>
  </conditionalFormatting>
  <conditionalFormatting sqref="F91:G92">
    <cfRule type="expression" dxfId="309" priority="62">
      <formula>kvartal &lt; 4</formula>
    </cfRule>
  </conditionalFormatting>
  <conditionalFormatting sqref="F94:G95">
    <cfRule type="expression" dxfId="308" priority="61">
      <formula>kvartal &lt; 4</formula>
    </cfRule>
  </conditionalFormatting>
  <conditionalFormatting sqref="F102:G103">
    <cfRule type="expression" dxfId="307" priority="60">
      <formula>kvartal &lt; 4</formula>
    </cfRule>
  </conditionalFormatting>
  <conditionalFormatting sqref="F105:G106">
    <cfRule type="expression" dxfId="306" priority="59">
      <formula>kvartal &lt; 4</formula>
    </cfRule>
  </conditionalFormatting>
  <conditionalFormatting sqref="F115">
    <cfRule type="expression" dxfId="305" priority="58">
      <formula>kvartal &lt; 4</formula>
    </cfRule>
  </conditionalFormatting>
  <conditionalFormatting sqref="G115">
    <cfRule type="expression" dxfId="304" priority="57">
      <formula>kvartal &lt; 4</formula>
    </cfRule>
  </conditionalFormatting>
  <conditionalFormatting sqref="F123:G123">
    <cfRule type="expression" dxfId="303" priority="56">
      <formula>kvartal &lt; 4</formula>
    </cfRule>
  </conditionalFormatting>
  <conditionalFormatting sqref="F69:G69">
    <cfRule type="expression" dxfId="302" priority="55">
      <formula>kvartal &lt; 4</formula>
    </cfRule>
  </conditionalFormatting>
  <conditionalFormatting sqref="F72:G72">
    <cfRule type="expression" dxfId="301" priority="54">
      <formula>kvartal &lt; 4</formula>
    </cfRule>
  </conditionalFormatting>
  <conditionalFormatting sqref="F80:G80">
    <cfRule type="expression" dxfId="300" priority="53">
      <formula>kvartal &lt; 4</formula>
    </cfRule>
  </conditionalFormatting>
  <conditionalFormatting sqref="F83:G83">
    <cfRule type="expression" dxfId="299" priority="52">
      <formula>kvartal &lt; 4</formula>
    </cfRule>
  </conditionalFormatting>
  <conditionalFormatting sqref="F90:G90">
    <cfRule type="expression" dxfId="298" priority="46">
      <formula>kvartal &lt; 4</formula>
    </cfRule>
  </conditionalFormatting>
  <conditionalFormatting sqref="F93">
    <cfRule type="expression" dxfId="297" priority="45">
      <formula>kvartal &lt; 4</formula>
    </cfRule>
  </conditionalFormatting>
  <conditionalFormatting sqref="G93">
    <cfRule type="expression" dxfId="296" priority="44">
      <formula>kvartal &lt; 4</formula>
    </cfRule>
  </conditionalFormatting>
  <conditionalFormatting sqref="F101">
    <cfRule type="expression" dxfId="295" priority="43">
      <formula>kvartal &lt; 4</formula>
    </cfRule>
  </conditionalFormatting>
  <conditionalFormatting sqref="G101">
    <cfRule type="expression" dxfId="294" priority="42">
      <formula>kvartal &lt; 4</formula>
    </cfRule>
  </conditionalFormatting>
  <conditionalFormatting sqref="G104">
    <cfRule type="expression" dxfId="293" priority="41">
      <formula>kvartal &lt; 4</formula>
    </cfRule>
  </conditionalFormatting>
  <conditionalFormatting sqref="F104">
    <cfRule type="expression" dxfId="292" priority="40">
      <formula>kvartal &lt; 4</formula>
    </cfRule>
  </conditionalFormatting>
  <conditionalFormatting sqref="J69:K71 J73:K73">
    <cfRule type="expression" dxfId="291" priority="39">
      <formula>kvartal &lt; 4</formula>
    </cfRule>
  </conditionalFormatting>
  <conditionalFormatting sqref="J80:K82 J84:K84">
    <cfRule type="expression" dxfId="290" priority="37">
      <formula>kvartal &lt; 4</formula>
    </cfRule>
  </conditionalFormatting>
  <conditionalFormatting sqref="J90:K92 J94:K94">
    <cfRule type="expression" dxfId="289" priority="34">
      <formula>kvartal &lt; 4</formula>
    </cfRule>
  </conditionalFormatting>
  <conditionalFormatting sqref="J101:K103 J105:K105">
    <cfRule type="expression" dxfId="288" priority="33">
      <formula>kvartal &lt; 4</formula>
    </cfRule>
  </conditionalFormatting>
  <conditionalFormatting sqref="J115:K115">
    <cfRule type="expression" dxfId="287" priority="32">
      <formula>kvartal &lt; 4</formula>
    </cfRule>
  </conditionalFormatting>
  <conditionalFormatting sqref="J123:K123">
    <cfRule type="expression" dxfId="286" priority="31">
      <formula>kvartal &lt; 4</formula>
    </cfRule>
  </conditionalFormatting>
  <conditionalFormatting sqref="A50:A52">
    <cfRule type="expression" dxfId="285" priority="12">
      <formula>kvartal &lt; 4</formula>
    </cfRule>
  </conditionalFormatting>
  <conditionalFormatting sqref="A69:A74">
    <cfRule type="expression" dxfId="284" priority="10">
      <formula>kvartal &lt; 4</formula>
    </cfRule>
  </conditionalFormatting>
  <conditionalFormatting sqref="A80:A85">
    <cfRule type="expression" dxfId="283" priority="9">
      <formula>kvartal &lt; 4</formula>
    </cfRule>
  </conditionalFormatting>
  <conditionalFormatting sqref="A90:A95">
    <cfRule type="expression" dxfId="282" priority="6">
      <formula>kvartal &lt; 4</formula>
    </cfRule>
  </conditionalFormatting>
  <conditionalFormatting sqref="A101:A106">
    <cfRule type="expression" dxfId="281" priority="5">
      <formula>kvartal &lt; 4</formula>
    </cfRule>
  </conditionalFormatting>
  <conditionalFormatting sqref="A115">
    <cfRule type="expression" dxfId="280" priority="4">
      <formula>kvartal &lt; 4</formula>
    </cfRule>
  </conditionalFormatting>
  <conditionalFormatting sqref="A123">
    <cfRule type="expression" dxfId="279" priority="3">
      <formula>kvartal &lt; 4</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N144"/>
  <sheetViews>
    <sheetView showGridLines="0" zoomScaleNormal="100" workbookViewId="0">
      <selection activeCell="A3" sqref="A3"/>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139</v>
      </c>
      <c r="B1" s="945"/>
      <c r="C1" s="248" t="s">
        <v>135</v>
      </c>
      <c r="D1" s="26"/>
      <c r="E1" s="26"/>
      <c r="F1" s="26"/>
      <c r="G1" s="26"/>
      <c r="H1" s="26"/>
      <c r="I1" s="26"/>
      <c r="J1" s="26"/>
      <c r="K1" s="26"/>
      <c r="L1" s="26"/>
      <c r="M1" s="26"/>
    </row>
    <row r="2" spans="1:14" ht="15.75" x14ac:dyDescent="0.25">
      <c r="A2" s="165" t="s">
        <v>28</v>
      </c>
      <c r="B2" s="972"/>
      <c r="C2" s="972"/>
      <c r="D2" s="972"/>
      <c r="E2" s="298"/>
      <c r="F2" s="972"/>
      <c r="G2" s="972"/>
      <c r="H2" s="972"/>
      <c r="I2" s="298"/>
      <c r="J2" s="972"/>
      <c r="K2" s="972"/>
      <c r="L2" s="972"/>
      <c r="M2" s="298"/>
    </row>
    <row r="3" spans="1:14" ht="15.75" x14ac:dyDescent="0.25">
      <c r="A3" s="163"/>
      <c r="B3" s="298"/>
      <c r="C3" s="298"/>
      <c r="D3" s="298"/>
      <c r="E3" s="298"/>
      <c r="F3" s="298"/>
      <c r="G3" s="298"/>
      <c r="H3" s="298"/>
      <c r="I3" s="298"/>
      <c r="J3" s="298"/>
      <c r="K3" s="298"/>
      <c r="L3" s="298"/>
      <c r="M3" s="298"/>
    </row>
    <row r="4" spans="1:14" x14ac:dyDescent="0.2">
      <c r="A4" s="144"/>
      <c r="B4" s="973" t="s">
        <v>0</v>
      </c>
      <c r="C4" s="974"/>
      <c r="D4" s="974"/>
      <c r="E4" s="300"/>
      <c r="F4" s="973" t="s">
        <v>1</v>
      </c>
      <c r="G4" s="974"/>
      <c r="H4" s="974"/>
      <c r="I4" s="303"/>
      <c r="J4" s="973" t="s">
        <v>2</v>
      </c>
      <c r="K4" s="974"/>
      <c r="L4" s="974"/>
      <c r="M4" s="303"/>
    </row>
    <row r="5" spans="1:14" x14ac:dyDescent="0.2">
      <c r="A5" s="158"/>
      <c r="B5" s="152" t="s">
        <v>492</v>
      </c>
      <c r="C5" s="152" t="s">
        <v>493</v>
      </c>
      <c r="D5" s="245" t="s">
        <v>3</v>
      </c>
      <c r="E5" s="304" t="s">
        <v>29</v>
      </c>
      <c r="F5" s="152" t="s">
        <v>492</v>
      </c>
      <c r="G5" s="152" t="s">
        <v>493</v>
      </c>
      <c r="H5" s="245" t="s">
        <v>3</v>
      </c>
      <c r="I5" s="162" t="s">
        <v>29</v>
      </c>
      <c r="J5" s="152" t="s">
        <v>492</v>
      </c>
      <c r="K5" s="152" t="s">
        <v>493</v>
      </c>
      <c r="L5" s="245" t="s">
        <v>3</v>
      </c>
      <c r="M5" s="162" t="s">
        <v>29</v>
      </c>
    </row>
    <row r="6" spans="1:14" x14ac:dyDescent="0.2">
      <c r="A6" s="946"/>
      <c r="B6" s="156"/>
      <c r="C6" s="156"/>
      <c r="D6" s="246" t="s">
        <v>4</v>
      </c>
      <c r="E6" s="156" t="s">
        <v>30</v>
      </c>
      <c r="F6" s="161"/>
      <c r="G6" s="161"/>
      <c r="H6" s="245" t="s">
        <v>4</v>
      </c>
      <c r="I6" s="156" t="s">
        <v>30</v>
      </c>
      <c r="J6" s="161"/>
      <c r="K6" s="161"/>
      <c r="L6" s="245" t="s">
        <v>4</v>
      </c>
      <c r="M6" s="156" t="s">
        <v>30</v>
      </c>
    </row>
    <row r="7" spans="1:14" ht="15.75" x14ac:dyDescent="0.2">
      <c r="A7" s="14" t="s">
        <v>23</v>
      </c>
      <c r="B7" s="305"/>
      <c r="C7" s="306"/>
      <c r="D7" s="349"/>
      <c r="E7" s="11"/>
      <c r="F7" s="305"/>
      <c r="G7" s="306"/>
      <c r="H7" s="349"/>
      <c r="I7" s="160"/>
      <c r="J7" s="307"/>
      <c r="K7" s="308"/>
      <c r="L7" s="372"/>
      <c r="M7" s="11"/>
    </row>
    <row r="8" spans="1:14" ht="15.75" x14ac:dyDescent="0.2">
      <c r="A8" s="21" t="s">
        <v>25</v>
      </c>
      <c r="B8" s="280"/>
      <c r="C8" s="281"/>
      <c r="D8" s="166"/>
      <c r="E8" s="27"/>
      <c r="F8" s="284"/>
      <c r="G8" s="285"/>
      <c r="H8" s="166"/>
      <c r="I8" s="175"/>
      <c r="J8" s="234"/>
      <c r="K8" s="286"/>
      <c r="L8" s="254"/>
      <c r="M8" s="27"/>
    </row>
    <row r="9" spans="1:14" ht="15.75" x14ac:dyDescent="0.2">
      <c r="A9" s="21" t="s">
        <v>24</v>
      </c>
      <c r="B9" s="280"/>
      <c r="C9" s="281"/>
      <c r="D9" s="166"/>
      <c r="E9" s="27"/>
      <c r="F9" s="284"/>
      <c r="G9" s="285"/>
      <c r="H9" s="166"/>
      <c r="I9" s="175"/>
      <c r="J9" s="234"/>
      <c r="K9" s="286"/>
      <c r="L9" s="254"/>
      <c r="M9" s="27"/>
    </row>
    <row r="10" spans="1:14" ht="15.75" x14ac:dyDescent="0.2">
      <c r="A10" s="13" t="s">
        <v>451</v>
      </c>
      <c r="B10" s="309"/>
      <c r="C10" s="310"/>
      <c r="D10" s="171"/>
      <c r="E10" s="11"/>
      <c r="F10" s="309"/>
      <c r="G10" s="310"/>
      <c r="H10" s="171"/>
      <c r="I10" s="160"/>
      <c r="J10" s="307"/>
      <c r="K10" s="308"/>
      <c r="L10" s="373"/>
      <c r="M10" s="11"/>
    </row>
    <row r="11" spans="1:14" s="43" customFormat="1" ht="15.75" x14ac:dyDescent="0.2">
      <c r="A11" s="13" t="s">
        <v>452</v>
      </c>
      <c r="B11" s="309"/>
      <c r="C11" s="310"/>
      <c r="D11" s="171"/>
      <c r="E11" s="11"/>
      <c r="F11" s="309"/>
      <c r="G11" s="310"/>
      <c r="H11" s="171"/>
      <c r="I11" s="160"/>
      <c r="J11" s="307"/>
      <c r="K11" s="308"/>
      <c r="L11" s="373"/>
      <c r="M11" s="11"/>
      <c r="N11" s="143"/>
    </row>
    <row r="12" spans="1:14" s="43" customFormat="1" ht="15.75" x14ac:dyDescent="0.2">
      <c r="A12" s="41" t="s">
        <v>453</v>
      </c>
      <c r="B12" s="311"/>
      <c r="C12" s="312"/>
      <c r="D12" s="169"/>
      <c r="E12" s="36"/>
      <c r="F12" s="311"/>
      <c r="G12" s="312"/>
      <c r="H12" s="169"/>
      <c r="I12" s="169"/>
      <c r="J12" s="313"/>
      <c r="K12" s="314"/>
      <c r="L12" s="374"/>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975"/>
      <c r="C18" s="975"/>
      <c r="D18" s="975"/>
      <c r="E18" s="298"/>
      <c r="F18" s="975"/>
      <c r="G18" s="975"/>
      <c r="H18" s="975"/>
      <c r="I18" s="298"/>
      <c r="J18" s="975"/>
      <c r="K18" s="975"/>
      <c r="L18" s="975"/>
      <c r="M18" s="298"/>
    </row>
    <row r="19" spans="1:14" x14ac:dyDescent="0.2">
      <c r="A19" s="144"/>
      <c r="B19" s="973" t="s">
        <v>0</v>
      </c>
      <c r="C19" s="974"/>
      <c r="D19" s="974"/>
      <c r="E19" s="300"/>
      <c r="F19" s="973" t="s">
        <v>1</v>
      </c>
      <c r="G19" s="974"/>
      <c r="H19" s="974"/>
      <c r="I19" s="303"/>
      <c r="J19" s="973" t="s">
        <v>2</v>
      </c>
      <c r="K19" s="974"/>
      <c r="L19" s="974"/>
      <c r="M19" s="303"/>
    </row>
    <row r="20" spans="1:14" x14ac:dyDescent="0.2">
      <c r="A20" s="140" t="s">
        <v>5</v>
      </c>
      <c r="B20" s="152" t="s">
        <v>492</v>
      </c>
      <c r="C20" s="152" t="s">
        <v>493</v>
      </c>
      <c r="D20" s="162" t="s">
        <v>3</v>
      </c>
      <c r="E20" s="304" t="s">
        <v>29</v>
      </c>
      <c r="F20" s="152" t="s">
        <v>492</v>
      </c>
      <c r="G20" s="152" t="s">
        <v>493</v>
      </c>
      <c r="H20" s="162" t="s">
        <v>3</v>
      </c>
      <c r="I20" s="162" t="s">
        <v>29</v>
      </c>
      <c r="J20" s="152" t="s">
        <v>492</v>
      </c>
      <c r="K20" s="152" t="s">
        <v>493</v>
      </c>
      <c r="L20" s="162" t="s">
        <v>3</v>
      </c>
      <c r="M20" s="162" t="s">
        <v>29</v>
      </c>
    </row>
    <row r="21" spans="1:14" x14ac:dyDescent="0.2">
      <c r="A21" s="947"/>
      <c r="B21" s="156"/>
      <c r="C21" s="156"/>
      <c r="D21" s="246" t="s">
        <v>4</v>
      </c>
      <c r="E21" s="156" t="s">
        <v>30</v>
      </c>
      <c r="F21" s="161"/>
      <c r="G21" s="161"/>
      <c r="H21" s="245"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372"/>
      <c r="M22" s="24"/>
    </row>
    <row r="23" spans="1:14" ht="15.75" x14ac:dyDescent="0.2">
      <c r="A23" s="753" t="s">
        <v>454</v>
      </c>
      <c r="B23" s="280"/>
      <c r="C23" s="280"/>
      <c r="D23" s="166"/>
      <c r="E23" s="11"/>
      <c r="F23" s="289"/>
      <c r="G23" s="289"/>
      <c r="H23" s="166"/>
      <c r="I23" s="365"/>
      <c r="J23" s="289"/>
      <c r="K23" s="289"/>
      <c r="L23" s="166"/>
      <c r="M23" s="23"/>
    </row>
    <row r="24" spans="1:14" ht="15.75" x14ac:dyDescent="0.2">
      <c r="A24" s="753" t="s">
        <v>455</v>
      </c>
      <c r="B24" s="280"/>
      <c r="C24" s="280"/>
      <c r="D24" s="166"/>
      <c r="E24" s="11"/>
      <c r="F24" s="289"/>
      <c r="G24" s="289"/>
      <c r="H24" s="166"/>
      <c r="I24" s="365"/>
      <c r="J24" s="289"/>
      <c r="K24" s="289"/>
      <c r="L24" s="166"/>
      <c r="M24" s="23"/>
    </row>
    <row r="25" spans="1:14" ht="15.75" x14ac:dyDescent="0.2">
      <c r="A25" s="753" t="s">
        <v>456</v>
      </c>
      <c r="B25" s="280"/>
      <c r="C25" s="280"/>
      <c r="D25" s="166"/>
      <c r="E25" s="11"/>
      <c r="F25" s="289"/>
      <c r="G25" s="289"/>
      <c r="H25" s="166"/>
      <c r="I25" s="365"/>
      <c r="J25" s="289"/>
      <c r="K25" s="289"/>
      <c r="L25" s="166"/>
      <c r="M25" s="23"/>
    </row>
    <row r="26" spans="1:14" ht="15.75" x14ac:dyDescent="0.2">
      <c r="A26" s="753" t="s">
        <v>457</v>
      </c>
      <c r="B26" s="280"/>
      <c r="C26" s="280"/>
      <c r="D26" s="166"/>
      <c r="E26" s="11"/>
      <c r="F26" s="289"/>
      <c r="G26" s="289"/>
      <c r="H26" s="166"/>
      <c r="I26" s="365"/>
      <c r="J26" s="289"/>
      <c r="K26" s="289"/>
      <c r="L26" s="166"/>
      <c r="M26" s="23"/>
    </row>
    <row r="27" spans="1:14" x14ac:dyDescent="0.2">
      <c r="A27" s="753" t="s">
        <v>11</v>
      </c>
      <c r="B27" s="280"/>
      <c r="C27" s="280"/>
      <c r="D27" s="166"/>
      <c r="E27" s="11"/>
      <c r="F27" s="289"/>
      <c r="G27" s="289"/>
      <c r="H27" s="166"/>
      <c r="I27" s="365"/>
      <c r="J27" s="289"/>
      <c r="K27" s="289"/>
      <c r="L27" s="166"/>
      <c r="M27" s="23"/>
    </row>
    <row r="28" spans="1:14" ht="15.75" x14ac:dyDescent="0.2">
      <c r="A28" s="49" t="s">
        <v>279</v>
      </c>
      <c r="B28" s="44"/>
      <c r="C28" s="286"/>
      <c r="D28" s="166"/>
      <c r="E28" s="11"/>
      <c r="F28" s="234"/>
      <c r="G28" s="286"/>
      <c r="H28" s="166"/>
      <c r="I28" s="27"/>
      <c r="J28" s="44"/>
      <c r="K28" s="44"/>
      <c r="L28" s="254"/>
      <c r="M28" s="23"/>
    </row>
    <row r="29" spans="1:14" s="3" customFormat="1" ht="15.75" x14ac:dyDescent="0.2">
      <c r="A29" s="13" t="s">
        <v>451</v>
      </c>
      <c r="B29" s="236"/>
      <c r="C29" s="236"/>
      <c r="D29" s="171"/>
      <c r="E29" s="11"/>
      <c r="F29" s="307"/>
      <c r="G29" s="307"/>
      <c r="H29" s="171"/>
      <c r="I29" s="11"/>
      <c r="J29" s="236"/>
      <c r="K29" s="236"/>
      <c r="L29" s="373"/>
      <c r="M29" s="24"/>
      <c r="N29" s="148"/>
    </row>
    <row r="30" spans="1:14" s="3" customFormat="1" ht="15.75" x14ac:dyDescent="0.2">
      <c r="A30" s="753" t="s">
        <v>454</v>
      </c>
      <c r="B30" s="280"/>
      <c r="C30" s="280"/>
      <c r="D30" s="166"/>
      <c r="E30" s="11"/>
      <c r="F30" s="289"/>
      <c r="G30" s="289"/>
      <c r="H30" s="166"/>
      <c r="I30" s="365"/>
      <c r="J30" s="289"/>
      <c r="K30" s="289"/>
      <c r="L30" s="166"/>
      <c r="M30" s="23"/>
      <c r="N30" s="148"/>
    </row>
    <row r="31" spans="1:14" s="3" customFormat="1" ht="15.75" x14ac:dyDescent="0.2">
      <c r="A31" s="753" t="s">
        <v>455</v>
      </c>
      <c r="B31" s="280"/>
      <c r="C31" s="280"/>
      <c r="D31" s="166"/>
      <c r="E31" s="11"/>
      <c r="F31" s="289"/>
      <c r="G31" s="289"/>
      <c r="H31" s="166"/>
      <c r="I31" s="365"/>
      <c r="J31" s="289"/>
      <c r="K31" s="289"/>
      <c r="L31" s="166"/>
      <c r="M31" s="23"/>
      <c r="N31" s="148"/>
    </row>
    <row r="32" spans="1:14" ht="15.75" x14ac:dyDescent="0.2">
      <c r="A32" s="753" t="s">
        <v>456</v>
      </c>
      <c r="B32" s="280"/>
      <c r="C32" s="280"/>
      <c r="D32" s="166"/>
      <c r="E32" s="11"/>
      <c r="F32" s="289"/>
      <c r="G32" s="289"/>
      <c r="H32" s="166"/>
      <c r="I32" s="365"/>
      <c r="J32" s="289"/>
      <c r="K32" s="289"/>
      <c r="L32" s="166"/>
      <c r="M32" s="23"/>
    </row>
    <row r="33" spans="1:14" ht="15.75" x14ac:dyDescent="0.2">
      <c r="A33" s="753" t="s">
        <v>457</v>
      </c>
      <c r="B33" s="280"/>
      <c r="C33" s="280"/>
      <c r="D33" s="166"/>
      <c r="E33" s="11"/>
      <c r="F33" s="289"/>
      <c r="G33" s="289"/>
      <c r="H33" s="166"/>
      <c r="I33" s="365"/>
      <c r="J33" s="289"/>
      <c r="K33" s="289"/>
      <c r="L33" s="166"/>
      <c r="M33" s="23"/>
    </row>
    <row r="34" spans="1:14" ht="15.75" x14ac:dyDescent="0.2">
      <c r="A34" s="13" t="s">
        <v>452</v>
      </c>
      <c r="B34" s="236"/>
      <c r="C34" s="308"/>
      <c r="D34" s="171"/>
      <c r="E34" s="11"/>
      <c r="F34" s="307"/>
      <c r="G34" s="308"/>
      <c r="H34" s="171"/>
      <c r="I34" s="11"/>
      <c r="J34" s="236"/>
      <c r="K34" s="236"/>
      <c r="L34" s="373"/>
      <c r="M34" s="24"/>
    </row>
    <row r="35" spans="1:14" ht="15.75" x14ac:dyDescent="0.2">
      <c r="A35" s="13" t="s">
        <v>453</v>
      </c>
      <c r="B35" s="236"/>
      <c r="C35" s="308"/>
      <c r="D35" s="171"/>
      <c r="E35" s="11"/>
      <c r="F35" s="307"/>
      <c r="G35" s="308"/>
      <c r="H35" s="171"/>
      <c r="I35" s="11"/>
      <c r="J35" s="236"/>
      <c r="K35" s="236"/>
      <c r="L35" s="373"/>
      <c r="M35" s="24"/>
    </row>
    <row r="36" spans="1:14" ht="15.75" x14ac:dyDescent="0.2">
      <c r="A36" s="12" t="s">
        <v>287</v>
      </c>
      <c r="B36" s="236"/>
      <c r="C36" s="308"/>
      <c r="D36" s="171"/>
      <c r="E36" s="11"/>
      <c r="F36" s="318"/>
      <c r="G36" s="319"/>
      <c r="H36" s="171"/>
      <c r="I36" s="379"/>
      <c r="J36" s="236"/>
      <c r="K36" s="236"/>
      <c r="L36" s="373"/>
      <c r="M36" s="24"/>
    </row>
    <row r="37" spans="1:14" ht="15.75" x14ac:dyDescent="0.2">
      <c r="A37" s="12" t="s">
        <v>459</v>
      </c>
      <c r="B37" s="236"/>
      <c r="C37" s="308"/>
      <c r="D37" s="171"/>
      <c r="E37" s="11"/>
      <c r="F37" s="318"/>
      <c r="G37" s="320"/>
      <c r="H37" s="171"/>
      <c r="I37" s="379"/>
      <c r="J37" s="236"/>
      <c r="K37" s="236"/>
      <c r="L37" s="373"/>
      <c r="M37" s="24"/>
    </row>
    <row r="38" spans="1:14" ht="15.75" x14ac:dyDescent="0.2">
      <c r="A38" s="12" t="s">
        <v>460</v>
      </c>
      <c r="B38" s="236"/>
      <c r="C38" s="308"/>
      <c r="D38" s="171"/>
      <c r="E38" s="24"/>
      <c r="F38" s="318"/>
      <c r="G38" s="319"/>
      <c r="H38" s="171"/>
      <c r="I38" s="379"/>
      <c r="J38" s="236"/>
      <c r="K38" s="236"/>
      <c r="L38" s="373"/>
      <c r="M38" s="24"/>
    </row>
    <row r="39" spans="1:14" ht="15.75" x14ac:dyDescent="0.2">
      <c r="A39" s="18" t="s">
        <v>461</v>
      </c>
      <c r="B39" s="275"/>
      <c r="C39" s="314"/>
      <c r="D39" s="169"/>
      <c r="E39" s="36"/>
      <c r="F39" s="321"/>
      <c r="G39" s="322"/>
      <c r="H39" s="169"/>
      <c r="I39" s="36"/>
      <c r="J39" s="236"/>
      <c r="K39" s="236"/>
      <c r="L39" s="374"/>
      <c r="M39" s="36"/>
    </row>
    <row r="40" spans="1:14" ht="15.75" x14ac:dyDescent="0.25">
      <c r="A40" s="47"/>
      <c r="B40" s="253"/>
      <c r="C40" s="253"/>
      <c r="D40" s="976"/>
      <c r="E40" s="976"/>
      <c r="F40" s="976"/>
      <c r="G40" s="976"/>
      <c r="H40" s="976"/>
      <c r="I40" s="976"/>
      <c r="J40" s="976"/>
      <c r="K40" s="976"/>
      <c r="L40" s="976"/>
      <c r="M40" s="301"/>
    </row>
    <row r="41" spans="1:14" x14ac:dyDescent="0.2">
      <c r="A41" s="155"/>
    </row>
    <row r="42" spans="1:14" ht="15.75" x14ac:dyDescent="0.25">
      <c r="A42" s="147" t="s">
        <v>276</v>
      </c>
      <c r="B42" s="972"/>
      <c r="C42" s="972"/>
      <c r="D42" s="972"/>
      <c r="E42" s="298"/>
      <c r="F42" s="977"/>
      <c r="G42" s="977"/>
      <c r="H42" s="977"/>
      <c r="I42" s="301"/>
      <c r="J42" s="977"/>
      <c r="K42" s="977"/>
      <c r="L42" s="977"/>
      <c r="M42" s="301"/>
    </row>
    <row r="43" spans="1:14" ht="15.75" x14ac:dyDescent="0.25">
      <c r="A43" s="163"/>
      <c r="B43" s="302"/>
      <c r="C43" s="302"/>
      <c r="D43" s="302"/>
      <c r="E43" s="302"/>
      <c r="F43" s="301"/>
      <c r="G43" s="301"/>
      <c r="H43" s="301"/>
      <c r="I43" s="301"/>
      <c r="J43" s="301"/>
      <c r="K43" s="301"/>
      <c r="L43" s="301"/>
      <c r="M43" s="301"/>
    </row>
    <row r="44" spans="1:14" ht="15.75" x14ac:dyDescent="0.25">
      <c r="A44" s="247"/>
      <c r="B44" s="973" t="s">
        <v>0</v>
      </c>
      <c r="C44" s="974"/>
      <c r="D44" s="974"/>
      <c r="E44" s="243"/>
      <c r="F44" s="301"/>
      <c r="G44" s="301"/>
      <c r="H44" s="301"/>
      <c r="I44" s="301"/>
      <c r="J44" s="301"/>
      <c r="K44" s="301"/>
      <c r="L44" s="301"/>
      <c r="M44" s="301"/>
    </row>
    <row r="45" spans="1:14" s="3" customFormat="1" x14ac:dyDescent="0.2">
      <c r="A45" s="140"/>
      <c r="B45" s="152" t="s">
        <v>492</v>
      </c>
      <c r="C45" s="152" t="s">
        <v>493</v>
      </c>
      <c r="D45" s="162" t="s">
        <v>3</v>
      </c>
      <c r="E45" s="162" t="s">
        <v>29</v>
      </c>
      <c r="F45" s="174"/>
      <c r="G45" s="174"/>
      <c r="H45" s="173"/>
      <c r="I45" s="173"/>
      <c r="J45" s="174"/>
      <c r="K45" s="174"/>
      <c r="L45" s="173"/>
      <c r="M45" s="173"/>
      <c r="N45" s="148"/>
    </row>
    <row r="46" spans="1:14" s="3" customFormat="1" x14ac:dyDescent="0.2">
      <c r="A46" s="947"/>
      <c r="B46" s="244"/>
      <c r="C46" s="244"/>
      <c r="D46" s="245" t="s">
        <v>4</v>
      </c>
      <c r="E46" s="156" t="s">
        <v>30</v>
      </c>
      <c r="F46" s="173"/>
      <c r="G46" s="173"/>
      <c r="H46" s="173"/>
      <c r="I46" s="173"/>
      <c r="J46" s="173"/>
      <c r="K46" s="173"/>
      <c r="L46" s="173"/>
      <c r="M46" s="173"/>
      <c r="N46" s="148"/>
    </row>
    <row r="47" spans="1:14" s="3" customFormat="1" ht="15.75" x14ac:dyDescent="0.2">
      <c r="A47" s="14" t="s">
        <v>23</v>
      </c>
      <c r="B47" s="309">
        <v>22616</v>
      </c>
      <c r="C47" s="310">
        <v>1989</v>
      </c>
      <c r="D47" s="372">
        <f t="shared" ref="D47:D48" si="0">IF(B47=0, "    ---- ", IF(ABS(ROUND(100/B47*C47-100,1))&lt;999,ROUND(100/B47*C47-100,1),IF(ROUND(100/B47*C47-100,1)&gt;999,999,-999)))</f>
        <v>-91.2</v>
      </c>
      <c r="E47" s="11">
        <f>IFERROR(100/'Skjema total MA'!C47*C47,0)</f>
        <v>4.5956102802863566E-2</v>
      </c>
      <c r="F47" s="145"/>
      <c r="G47" s="33"/>
      <c r="H47" s="159"/>
      <c r="I47" s="159"/>
      <c r="J47" s="37"/>
      <c r="K47" s="37"/>
      <c r="L47" s="159"/>
      <c r="M47" s="159"/>
      <c r="N47" s="148"/>
    </row>
    <row r="48" spans="1:14" s="3" customFormat="1" ht="15.75" x14ac:dyDescent="0.2">
      <c r="A48" s="38" t="s">
        <v>462</v>
      </c>
      <c r="B48" s="280">
        <v>22616</v>
      </c>
      <c r="C48" s="281">
        <v>1989</v>
      </c>
      <c r="D48" s="254">
        <f t="shared" si="0"/>
        <v>-91.2</v>
      </c>
      <c r="E48" s="27">
        <f>IFERROR(100/'Skjema total MA'!C48*C48,0)</f>
        <v>8.2894532718910161E-2</v>
      </c>
      <c r="F48" s="145"/>
      <c r="G48" s="33"/>
      <c r="H48" s="145"/>
      <c r="I48" s="145"/>
      <c r="J48" s="33"/>
      <c r="K48" s="33"/>
      <c r="L48" s="159"/>
      <c r="M48" s="159"/>
      <c r="N48" s="148"/>
    </row>
    <row r="49" spans="1:14" s="3" customFormat="1" ht="15.75" x14ac:dyDescent="0.2">
      <c r="A49" s="38" t="s">
        <v>463</v>
      </c>
      <c r="B49" s="44"/>
      <c r="C49" s="286"/>
      <c r="D49" s="254"/>
      <c r="E49" s="27"/>
      <c r="F49" s="145"/>
      <c r="G49" s="33"/>
      <c r="H49" s="145"/>
      <c r="I49" s="145"/>
      <c r="J49" s="37"/>
      <c r="K49" s="37"/>
      <c r="L49" s="159"/>
      <c r="M49" s="159"/>
      <c r="N49" s="148"/>
    </row>
    <row r="50" spans="1:14" s="3" customFormat="1" x14ac:dyDescent="0.2">
      <c r="A50" s="295" t="s">
        <v>6</v>
      </c>
      <c r="B50" s="289"/>
      <c r="C50" s="290"/>
      <c r="D50" s="254"/>
      <c r="E50" s="23"/>
      <c r="F50" s="145"/>
      <c r="G50" s="33"/>
      <c r="H50" s="145"/>
      <c r="I50" s="145"/>
      <c r="J50" s="33"/>
      <c r="K50" s="33"/>
      <c r="L50" s="159"/>
      <c r="M50" s="159"/>
      <c r="N50" s="148"/>
    </row>
    <row r="51" spans="1:14" s="3" customFormat="1" x14ac:dyDescent="0.2">
      <c r="A51" s="295" t="s">
        <v>7</v>
      </c>
      <c r="B51" s="289"/>
      <c r="C51" s="290"/>
      <c r="D51" s="254"/>
      <c r="E51" s="23"/>
      <c r="F51" s="145"/>
      <c r="G51" s="33"/>
      <c r="H51" s="145"/>
      <c r="I51" s="145"/>
      <c r="J51" s="33"/>
      <c r="K51" s="33"/>
      <c r="L51" s="159"/>
      <c r="M51" s="159"/>
      <c r="N51" s="148"/>
    </row>
    <row r="52" spans="1:14" s="3" customFormat="1" x14ac:dyDescent="0.2">
      <c r="A52" s="295" t="s">
        <v>8</v>
      </c>
      <c r="B52" s="289"/>
      <c r="C52" s="290"/>
      <c r="D52" s="254"/>
      <c r="E52" s="23"/>
      <c r="F52" s="145"/>
      <c r="G52" s="33"/>
      <c r="H52" s="145"/>
      <c r="I52" s="145"/>
      <c r="J52" s="33"/>
      <c r="K52" s="33"/>
      <c r="L52" s="159"/>
      <c r="M52" s="159"/>
      <c r="N52" s="148"/>
    </row>
    <row r="53" spans="1:14" s="3" customFormat="1" ht="15.75" x14ac:dyDescent="0.2">
      <c r="A53" s="39" t="s">
        <v>464</v>
      </c>
      <c r="B53" s="309"/>
      <c r="C53" s="310"/>
      <c r="D53" s="373"/>
      <c r="E53" s="11"/>
      <c r="F53" s="145"/>
      <c r="G53" s="33"/>
      <c r="H53" s="145"/>
      <c r="I53" s="145"/>
      <c r="J53" s="33"/>
      <c r="K53" s="33"/>
      <c r="L53" s="159"/>
      <c r="M53" s="159"/>
      <c r="N53" s="148"/>
    </row>
    <row r="54" spans="1:14" s="3" customFormat="1" ht="15.75" x14ac:dyDescent="0.2">
      <c r="A54" s="38" t="s">
        <v>462</v>
      </c>
      <c r="B54" s="280"/>
      <c r="C54" s="281"/>
      <c r="D54" s="254"/>
      <c r="E54" s="27"/>
      <c r="F54" s="145"/>
      <c r="G54" s="33"/>
      <c r="H54" s="145"/>
      <c r="I54" s="145"/>
      <c r="J54" s="33"/>
      <c r="K54" s="33"/>
      <c r="L54" s="159"/>
      <c r="M54" s="159"/>
      <c r="N54" s="148"/>
    </row>
    <row r="55" spans="1:14" s="3" customFormat="1" ht="15.75" x14ac:dyDescent="0.2">
      <c r="A55" s="38" t="s">
        <v>463</v>
      </c>
      <c r="B55" s="280"/>
      <c r="C55" s="281"/>
      <c r="D55" s="254"/>
      <c r="E55" s="27"/>
      <c r="F55" s="145"/>
      <c r="G55" s="33"/>
      <c r="H55" s="145"/>
      <c r="I55" s="145"/>
      <c r="J55" s="33"/>
      <c r="K55" s="33"/>
      <c r="L55" s="159"/>
      <c r="M55" s="159"/>
      <c r="N55" s="148"/>
    </row>
    <row r="56" spans="1:14" s="3" customFormat="1" ht="15.75" x14ac:dyDescent="0.2">
      <c r="A56" s="39" t="s">
        <v>465</v>
      </c>
      <c r="B56" s="309"/>
      <c r="C56" s="310"/>
      <c r="D56" s="373"/>
      <c r="E56" s="11"/>
      <c r="F56" s="145"/>
      <c r="G56" s="33"/>
      <c r="H56" s="145"/>
      <c r="I56" s="145"/>
      <c r="J56" s="33"/>
      <c r="K56" s="33"/>
      <c r="L56" s="159"/>
      <c r="M56" s="159"/>
      <c r="N56" s="148"/>
    </row>
    <row r="57" spans="1:14" s="3" customFormat="1" ht="15.75" x14ac:dyDescent="0.2">
      <c r="A57" s="38" t="s">
        <v>462</v>
      </c>
      <c r="B57" s="280"/>
      <c r="C57" s="281"/>
      <c r="D57" s="254"/>
      <c r="E57" s="27"/>
      <c r="F57" s="145"/>
      <c r="G57" s="33"/>
      <c r="H57" s="145"/>
      <c r="I57" s="145"/>
      <c r="J57" s="33"/>
      <c r="K57" s="33"/>
      <c r="L57" s="159"/>
      <c r="M57" s="159"/>
      <c r="N57" s="148"/>
    </row>
    <row r="58" spans="1:14" s="3" customFormat="1" ht="15.75" x14ac:dyDescent="0.2">
      <c r="A58" s="46" t="s">
        <v>463</v>
      </c>
      <c r="B58" s="282"/>
      <c r="C58" s="283"/>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975"/>
      <c r="C62" s="975"/>
      <c r="D62" s="975"/>
      <c r="E62" s="298"/>
      <c r="F62" s="975"/>
      <c r="G62" s="975"/>
      <c r="H62" s="975"/>
      <c r="I62" s="298"/>
      <c r="J62" s="975"/>
      <c r="K62" s="975"/>
      <c r="L62" s="975"/>
      <c r="M62" s="298"/>
    </row>
    <row r="63" spans="1:14" x14ac:dyDescent="0.2">
      <c r="A63" s="144"/>
      <c r="B63" s="973" t="s">
        <v>0</v>
      </c>
      <c r="C63" s="974"/>
      <c r="D63" s="978"/>
      <c r="E63" s="299"/>
      <c r="F63" s="974" t="s">
        <v>1</v>
      </c>
      <c r="G63" s="974"/>
      <c r="H63" s="974"/>
      <c r="I63" s="303"/>
      <c r="J63" s="973" t="s">
        <v>2</v>
      </c>
      <c r="K63" s="974"/>
      <c r="L63" s="974"/>
      <c r="M63" s="303"/>
    </row>
    <row r="64" spans="1:14" x14ac:dyDescent="0.2">
      <c r="A64" s="140"/>
      <c r="B64" s="152" t="s">
        <v>492</v>
      </c>
      <c r="C64" s="152" t="s">
        <v>493</v>
      </c>
      <c r="D64" s="245" t="s">
        <v>3</v>
      </c>
      <c r="E64" s="304" t="s">
        <v>29</v>
      </c>
      <c r="F64" s="152" t="s">
        <v>492</v>
      </c>
      <c r="G64" s="152" t="s">
        <v>493</v>
      </c>
      <c r="H64" s="245" t="s">
        <v>3</v>
      </c>
      <c r="I64" s="304" t="s">
        <v>29</v>
      </c>
      <c r="J64" s="152" t="s">
        <v>492</v>
      </c>
      <c r="K64" s="152" t="s">
        <v>493</v>
      </c>
      <c r="L64" s="245" t="s">
        <v>3</v>
      </c>
      <c r="M64" s="162" t="s">
        <v>29</v>
      </c>
    </row>
    <row r="65" spans="1:14" x14ac:dyDescent="0.2">
      <c r="A65" s="947"/>
      <c r="B65" s="156"/>
      <c r="C65" s="156"/>
      <c r="D65" s="246" t="s">
        <v>4</v>
      </c>
      <c r="E65" s="156" t="s">
        <v>30</v>
      </c>
      <c r="F65" s="161"/>
      <c r="G65" s="161"/>
      <c r="H65" s="245" t="s">
        <v>4</v>
      </c>
      <c r="I65" s="156" t="s">
        <v>30</v>
      </c>
      <c r="J65" s="161"/>
      <c r="K65" s="206"/>
      <c r="L65" s="156" t="s">
        <v>4</v>
      </c>
      <c r="M65" s="156" t="s">
        <v>30</v>
      </c>
    </row>
    <row r="66" spans="1:14" ht="15.75" x14ac:dyDescent="0.2">
      <c r="A66" s="14" t="s">
        <v>23</v>
      </c>
      <c r="B66" s="352"/>
      <c r="C66" s="352"/>
      <c r="D66" s="349"/>
      <c r="E66" s="11"/>
      <c r="F66" s="351"/>
      <c r="G66" s="351"/>
      <c r="H66" s="349"/>
      <c r="I66" s="11"/>
      <c r="J66" s="308"/>
      <c r="K66" s="315"/>
      <c r="L66" s="373"/>
      <c r="M66" s="11"/>
    </row>
    <row r="67" spans="1:14" x14ac:dyDescent="0.2">
      <c r="A67" s="367" t="s">
        <v>9</v>
      </c>
      <c r="B67" s="44"/>
      <c r="C67" s="145"/>
      <c r="D67" s="166"/>
      <c r="E67" s="27"/>
      <c r="F67" s="234"/>
      <c r="G67" s="145"/>
      <c r="H67" s="166"/>
      <c r="I67" s="27"/>
      <c r="J67" s="286"/>
      <c r="K67" s="44"/>
      <c r="L67" s="254"/>
      <c r="M67" s="27"/>
    </row>
    <row r="68" spans="1:14" x14ac:dyDescent="0.2">
      <c r="A68" s="21" t="s">
        <v>10</v>
      </c>
      <c r="B68" s="291"/>
      <c r="C68" s="292"/>
      <c r="D68" s="166"/>
      <c r="E68" s="27"/>
      <c r="F68" s="291"/>
      <c r="G68" s="292"/>
      <c r="H68" s="166"/>
      <c r="I68" s="27"/>
      <c r="J68" s="286"/>
      <c r="K68" s="44"/>
      <c r="L68" s="254"/>
      <c r="M68" s="27"/>
    </row>
    <row r="69" spans="1:14" ht="15.75" x14ac:dyDescent="0.2">
      <c r="A69" s="295" t="s">
        <v>466</v>
      </c>
      <c r="B69" s="280"/>
      <c r="C69" s="280"/>
      <c r="D69" s="166"/>
      <c r="E69" s="365"/>
      <c r="F69" s="280"/>
      <c r="G69" s="280"/>
      <c r="H69" s="166"/>
      <c r="I69" s="365"/>
      <c r="J69" s="289"/>
      <c r="K69" s="289"/>
      <c r="L69" s="166"/>
      <c r="M69" s="23"/>
    </row>
    <row r="70" spans="1:14" x14ac:dyDescent="0.2">
      <c r="A70" s="295" t="s">
        <v>12</v>
      </c>
      <c r="B70" s="293"/>
      <c r="C70" s="294"/>
      <c r="D70" s="166"/>
      <c r="E70" s="365"/>
      <c r="F70" s="280"/>
      <c r="G70" s="280"/>
      <c r="H70" s="166"/>
      <c r="I70" s="365"/>
      <c r="J70" s="289"/>
      <c r="K70" s="289"/>
      <c r="L70" s="166"/>
      <c r="M70" s="23"/>
    </row>
    <row r="71" spans="1:14" x14ac:dyDescent="0.2">
      <c r="A71" s="295" t="s">
        <v>13</v>
      </c>
      <c r="B71" s="235"/>
      <c r="C71" s="288"/>
      <c r="D71" s="166"/>
      <c r="E71" s="365"/>
      <c r="F71" s="280"/>
      <c r="G71" s="280"/>
      <c r="H71" s="166"/>
      <c r="I71" s="365"/>
      <c r="J71" s="289"/>
      <c r="K71" s="289"/>
      <c r="L71" s="166"/>
      <c r="M71" s="23"/>
    </row>
    <row r="72" spans="1:14" ht="15.75" x14ac:dyDescent="0.2">
      <c r="A72" s="295" t="s">
        <v>467</v>
      </c>
      <c r="B72" s="280"/>
      <c r="C72" s="280"/>
      <c r="D72" s="166"/>
      <c r="E72" s="365"/>
      <c r="F72" s="280"/>
      <c r="G72" s="280"/>
      <c r="H72" s="166"/>
      <c r="I72" s="365"/>
      <c r="J72" s="289"/>
      <c r="K72" s="289"/>
      <c r="L72" s="166"/>
      <c r="M72" s="23"/>
    </row>
    <row r="73" spans="1:14" x14ac:dyDescent="0.2">
      <c r="A73" s="295" t="s">
        <v>12</v>
      </c>
      <c r="B73" s="235"/>
      <c r="C73" s="288"/>
      <c r="D73" s="166"/>
      <c r="E73" s="365"/>
      <c r="F73" s="280"/>
      <c r="G73" s="280"/>
      <c r="H73" s="166"/>
      <c r="I73" s="365"/>
      <c r="J73" s="289"/>
      <c r="K73" s="289"/>
      <c r="L73" s="166"/>
      <c r="M73" s="23"/>
    </row>
    <row r="74" spans="1:14" s="3" customFormat="1" x14ac:dyDescent="0.2">
      <c r="A74" s="295" t="s">
        <v>13</v>
      </c>
      <c r="B74" s="235"/>
      <c r="C74" s="288"/>
      <c r="D74" s="166"/>
      <c r="E74" s="365"/>
      <c r="F74" s="280"/>
      <c r="G74" s="280"/>
      <c r="H74" s="166"/>
      <c r="I74" s="365"/>
      <c r="J74" s="289"/>
      <c r="K74" s="289"/>
      <c r="L74" s="166"/>
      <c r="M74" s="23"/>
      <c r="N74" s="148"/>
    </row>
    <row r="75" spans="1:14" s="3" customFormat="1" x14ac:dyDescent="0.2">
      <c r="A75" s="21" t="s">
        <v>353</v>
      </c>
      <c r="B75" s="234"/>
      <c r="C75" s="145"/>
      <c r="D75" s="166"/>
      <c r="E75" s="27"/>
      <c r="F75" s="234"/>
      <c r="G75" s="145"/>
      <c r="H75" s="166"/>
      <c r="I75" s="27"/>
      <c r="J75" s="286"/>
      <c r="K75" s="44"/>
      <c r="L75" s="254"/>
      <c r="M75" s="27"/>
      <c r="N75" s="148"/>
    </row>
    <row r="76" spans="1:14" s="3" customFormat="1" x14ac:dyDescent="0.2">
      <c r="A76" s="21" t="s">
        <v>352</v>
      </c>
      <c r="B76" s="234"/>
      <c r="C76" s="145"/>
      <c r="D76" s="166"/>
      <c r="E76" s="27"/>
      <c r="F76" s="234"/>
      <c r="G76" s="145"/>
      <c r="H76" s="166"/>
      <c r="I76" s="27"/>
      <c r="J76" s="286"/>
      <c r="K76" s="44"/>
      <c r="L76" s="254"/>
      <c r="M76" s="27"/>
      <c r="N76" s="148"/>
    </row>
    <row r="77" spans="1:14" ht="15.75" x14ac:dyDescent="0.2">
      <c r="A77" s="21" t="s">
        <v>468</v>
      </c>
      <c r="B77" s="234"/>
      <c r="C77" s="234"/>
      <c r="D77" s="166"/>
      <c r="E77" s="27"/>
      <c r="F77" s="234"/>
      <c r="G77" s="145"/>
      <c r="H77" s="166"/>
      <c r="I77" s="27"/>
      <c r="J77" s="286"/>
      <c r="K77" s="44"/>
      <c r="L77" s="254"/>
      <c r="M77" s="27"/>
    </row>
    <row r="78" spans="1:14" x14ac:dyDescent="0.2">
      <c r="A78" s="21" t="s">
        <v>9</v>
      </c>
      <c r="B78" s="234"/>
      <c r="C78" s="145"/>
      <c r="D78" s="166"/>
      <c r="E78" s="27"/>
      <c r="F78" s="234"/>
      <c r="G78" s="145"/>
      <c r="H78" s="166"/>
      <c r="I78" s="27"/>
      <c r="J78" s="286"/>
      <c r="K78" s="44"/>
      <c r="L78" s="254"/>
      <c r="M78" s="27"/>
    </row>
    <row r="79" spans="1:14" x14ac:dyDescent="0.2">
      <c r="A79" s="21" t="s">
        <v>10</v>
      </c>
      <c r="B79" s="291"/>
      <c r="C79" s="292"/>
      <c r="D79" s="166"/>
      <c r="E79" s="27"/>
      <c r="F79" s="291"/>
      <c r="G79" s="292"/>
      <c r="H79" s="166"/>
      <c r="I79" s="27"/>
      <c r="J79" s="286"/>
      <c r="K79" s="44"/>
      <c r="L79" s="254"/>
      <c r="M79" s="27"/>
    </row>
    <row r="80" spans="1:14" ht="15.75" x14ac:dyDescent="0.2">
      <c r="A80" s="295" t="s">
        <v>466</v>
      </c>
      <c r="B80" s="280"/>
      <c r="C80" s="280"/>
      <c r="D80" s="166"/>
      <c r="E80" s="365"/>
      <c r="F80" s="280"/>
      <c r="G80" s="280"/>
      <c r="H80" s="166"/>
      <c r="I80" s="365"/>
      <c r="J80" s="289"/>
      <c r="K80" s="289"/>
      <c r="L80" s="166"/>
      <c r="M80" s="23"/>
    </row>
    <row r="81" spans="1:13" x14ac:dyDescent="0.2">
      <c r="A81" s="295" t="s">
        <v>12</v>
      </c>
      <c r="B81" s="235"/>
      <c r="C81" s="288"/>
      <c r="D81" s="166"/>
      <c r="E81" s="365"/>
      <c r="F81" s="280"/>
      <c r="G81" s="280"/>
      <c r="H81" s="166"/>
      <c r="I81" s="365"/>
      <c r="J81" s="289"/>
      <c r="K81" s="289"/>
      <c r="L81" s="166"/>
      <c r="M81" s="23"/>
    </row>
    <row r="82" spans="1:13" x14ac:dyDescent="0.2">
      <c r="A82" s="295" t="s">
        <v>13</v>
      </c>
      <c r="B82" s="235"/>
      <c r="C82" s="288"/>
      <c r="D82" s="166"/>
      <c r="E82" s="365"/>
      <c r="F82" s="280"/>
      <c r="G82" s="280"/>
      <c r="H82" s="166"/>
      <c r="I82" s="365"/>
      <c r="J82" s="289"/>
      <c r="K82" s="289"/>
      <c r="L82" s="166"/>
      <c r="M82" s="23"/>
    </row>
    <row r="83" spans="1:13" ht="15.75" x14ac:dyDescent="0.2">
      <c r="A83" s="295" t="s">
        <v>467</v>
      </c>
      <c r="B83" s="280"/>
      <c r="C83" s="280"/>
      <c r="D83" s="166"/>
      <c r="E83" s="365"/>
      <c r="F83" s="280"/>
      <c r="G83" s="280"/>
      <c r="H83" s="166"/>
      <c r="I83" s="365"/>
      <c r="J83" s="289"/>
      <c r="K83" s="289"/>
      <c r="L83" s="166"/>
      <c r="M83" s="23"/>
    </row>
    <row r="84" spans="1:13" x14ac:dyDescent="0.2">
      <c r="A84" s="295" t="s">
        <v>12</v>
      </c>
      <c r="B84" s="235"/>
      <c r="C84" s="288"/>
      <c r="D84" s="166"/>
      <c r="E84" s="365"/>
      <c r="F84" s="280"/>
      <c r="G84" s="280"/>
      <c r="H84" s="166"/>
      <c r="I84" s="365"/>
      <c r="J84" s="289"/>
      <c r="K84" s="289"/>
      <c r="L84" s="166"/>
      <c r="M84" s="23"/>
    </row>
    <row r="85" spans="1:13" x14ac:dyDescent="0.2">
      <c r="A85" s="295" t="s">
        <v>13</v>
      </c>
      <c r="B85" s="235"/>
      <c r="C85" s="288"/>
      <c r="D85" s="166"/>
      <c r="E85" s="365"/>
      <c r="F85" s="280"/>
      <c r="G85" s="280"/>
      <c r="H85" s="166"/>
      <c r="I85" s="365"/>
      <c r="J85" s="289"/>
      <c r="K85" s="289"/>
      <c r="L85" s="166"/>
      <c r="M85" s="23"/>
    </row>
    <row r="86" spans="1:13" ht="15.75" x14ac:dyDescent="0.2">
      <c r="A86" s="21" t="s">
        <v>469</v>
      </c>
      <c r="B86" s="234"/>
      <c r="C86" s="145"/>
      <c r="D86" s="166"/>
      <c r="E86" s="27"/>
      <c r="F86" s="234"/>
      <c r="G86" s="145"/>
      <c r="H86" s="166"/>
      <c r="I86" s="27"/>
      <c r="J86" s="286"/>
      <c r="K86" s="44"/>
      <c r="L86" s="254"/>
      <c r="M86" s="27"/>
    </row>
    <row r="87" spans="1:13" ht="15.75" x14ac:dyDescent="0.2">
      <c r="A87" s="13" t="s">
        <v>451</v>
      </c>
      <c r="B87" s="352"/>
      <c r="C87" s="352"/>
      <c r="D87" s="171"/>
      <c r="E87" s="11"/>
      <c r="F87" s="351"/>
      <c r="G87" s="351"/>
      <c r="H87" s="171"/>
      <c r="I87" s="11"/>
      <c r="J87" s="308"/>
      <c r="K87" s="236"/>
      <c r="L87" s="373"/>
      <c r="M87" s="11"/>
    </row>
    <row r="88" spans="1:13" x14ac:dyDescent="0.2">
      <c r="A88" s="21" t="s">
        <v>9</v>
      </c>
      <c r="B88" s="234"/>
      <c r="C88" s="145"/>
      <c r="D88" s="166"/>
      <c r="E88" s="27"/>
      <c r="F88" s="234"/>
      <c r="G88" s="145"/>
      <c r="H88" s="166"/>
      <c r="I88" s="27"/>
      <c r="J88" s="286"/>
      <c r="K88" s="44"/>
      <c r="L88" s="254"/>
      <c r="M88" s="27"/>
    </row>
    <row r="89" spans="1:13" x14ac:dyDescent="0.2">
      <c r="A89" s="21" t="s">
        <v>10</v>
      </c>
      <c r="B89" s="234"/>
      <c r="C89" s="145"/>
      <c r="D89" s="166"/>
      <c r="E89" s="27"/>
      <c r="F89" s="234"/>
      <c r="G89" s="145"/>
      <c r="H89" s="166"/>
      <c r="I89" s="27"/>
      <c r="J89" s="286"/>
      <c r="K89" s="44"/>
      <c r="L89" s="254"/>
      <c r="M89" s="27"/>
    </row>
    <row r="90" spans="1:13" ht="15.75" x14ac:dyDescent="0.2">
      <c r="A90" s="295" t="s">
        <v>466</v>
      </c>
      <c r="B90" s="280"/>
      <c r="C90" s="280"/>
      <c r="D90" s="166"/>
      <c r="E90" s="365"/>
      <c r="F90" s="280"/>
      <c r="G90" s="280"/>
      <c r="H90" s="166"/>
      <c r="I90" s="365"/>
      <c r="J90" s="289"/>
      <c r="K90" s="289"/>
      <c r="L90" s="166"/>
      <c r="M90" s="23"/>
    </row>
    <row r="91" spans="1:13" x14ac:dyDescent="0.2">
      <c r="A91" s="295" t="s">
        <v>12</v>
      </c>
      <c r="B91" s="235"/>
      <c r="C91" s="288"/>
      <c r="D91" s="166"/>
      <c r="E91" s="365"/>
      <c r="F91" s="280"/>
      <c r="G91" s="280"/>
      <c r="H91" s="166"/>
      <c r="I91" s="365"/>
      <c r="J91" s="289"/>
      <c r="K91" s="289"/>
      <c r="L91" s="166"/>
      <c r="M91" s="23"/>
    </row>
    <row r="92" spans="1:13" x14ac:dyDescent="0.2">
      <c r="A92" s="295" t="s">
        <v>13</v>
      </c>
      <c r="B92" s="235"/>
      <c r="C92" s="288"/>
      <c r="D92" s="166"/>
      <c r="E92" s="365"/>
      <c r="F92" s="280"/>
      <c r="G92" s="280"/>
      <c r="H92" s="166"/>
      <c r="I92" s="365"/>
      <c r="J92" s="289"/>
      <c r="K92" s="289"/>
      <c r="L92" s="166"/>
      <c r="M92" s="23"/>
    </row>
    <row r="93" spans="1:13" ht="15.75" x14ac:dyDescent="0.2">
      <c r="A93" s="295" t="s">
        <v>467</v>
      </c>
      <c r="B93" s="280"/>
      <c r="C93" s="280"/>
      <c r="D93" s="166"/>
      <c r="E93" s="365"/>
      <c r="F93" s="280"/>
      <c r="G93" s="280"/>
      <c r="H93" s="166"/>
      <c r="I93" s="365"/>
      <c r="J93" s="289"/>
      <c r="K93" s="289"/>
      <c r="L93" s="166"/>
      <c r="M93" s="23"/>
    </row>
    <row r="94" spans="1:13" x14ac:dyDescent="0.2">
      <c r="A94" s="295" t="s">
        <v>12</v>
      </c>
      <c r="B94" s="235"/>
      <c r="C94" s="288"/>
      <c r="D94" s="166"/>
      <c r="E94" s="365"/>
      <c r="F94" s="280"/>
      <c r="G94" s="280"/>
      <c r="H94" s="166"/>
      <c r="I94" s="365"/>
      <c r="J94" s="289"/>
      <c r="K94" s="289"/>
      <c r="L94" s="166"/>
      <c r="M94" s="23"/>
    </row>
    <row r="95" spans="1:13" x14ac:dyDescent="0.2">
      <c r="A95" s="295" t="s">
        <v>13</v>
      </c>
      <c r="B95" s="235"/>
      <c r="C95" s="288"/>
      <c r="D95" s="166"/>
      <c r="E95" s="365"/>
      <c r="F95" s="280"/>
      <c r="G95" s="280"/>
      <c r="H95" s="166"/>
      <c r="I95" s="365"/>
      <c r="J95" s="289"/>
      <c r="K95" s="289"/>
      <c r="L95" s="166"/>
      <c r="M95" s="23"/>
    </row>
    <row r="96" spans="1:13" x14ac:dyDescent="0.2">
      <c r="A96" s="21" t="s">
        <v>351</v>
      </c>
      <c r="B96" s="234"/>
      <c r="C96" s="145"/>
      <c r="D96" s="166"/>
      <c r="E96" s="27"/>
      <c r="F96" s="234"/>
      <c r="G96" s="145"/>
      <c r="H96" s="166"/>
      <c r="I96" s="27"/>
      <c r="J96" s="286"/>
      <c r="K96" s="44"/>
      <c r="L96" s="254"/>
      <c r="M96" s="27"/>
    </row>
    <row r="97" spans="1:13" x14ac:dyDescent="0.2">
      <c r="A97" s="21" t="s">
        <v>350</v>
      </c>
      <c r="B97" s="234"/>
      <c r="C97" s="145"/>
      <c r="D97" s="166"/>
      <c r="E97" s="27"/>
      <c r="F97" s="234"/>
      <c r="G97" s="145"/>
      <c r="H97" s="166"/>
      <c r="I97" s="27"/>
      <c r="J97" s="286"/>
      <c r="K97" s="44"/>
      <c r="L97" s="254"/>
      <c r="M97" s="27"/>
    </row>
    <row r="98" spans="1:13" ht="15.75" x14ac:dyDescent="0.2">
      <c r="A98" s="21" t="s">
        <v>468</v>
      </c>
      <c r="B98" s="234"/>
      <c r="C98" s="234"/>
      <c r="D98" s="166"/>
      <c r="E98" s="27"/>
      <c r="F98" s="291"/>
      <c r="G98" s="291"/>
      <c r="H98" s="166"/>
      <c r="I98" s="27"/>
      <c r="J98" s="286"/>
      <c r="K98" s="44"/>
      <c r="L98" s="254"/>
      <c r="M98" s="27"/>
    </row>
    <row r="99" spans="1:13" x14ac:dyDescent="0.2">
      <c r="A99" s="21" t="s">
        <v>9</v>
      </c>
      <c r="B99" s="291"/>
      <c r="C99" s="292"/>
      <c r="D99" s="166"/>
      <c r="E99" s="27"/>
      <c r="F99" s="234"/>
      <c r="G99" s="145"/>
      <c r="H99" s="166"/>
      <c r="I99" s="27"/>
      <c r="J99" s="286"/>
      <c r="K99" s="44"/>
      <c r="L99" s="254"/>
      <c r="M99" s="27"/>
    </row>
    <row r="100" spans="1:13" x14ac:dyDescent="0.2">
      <c r="A100" s="21" t="s">
        <v>10</v>
      </c>
      <c r="B100" s="291"/>
      <c r="C100" s="292"/>
      <c r="D100" s="166"/>
      <c r="E100" s="27"/>
      <c r="F100" s="234"/>
      <c r="G100" s="234"/>
      <c r="H100" s="166"/>
      <c r="I100" s="27"/>
      <c r="J100" s="286"/>
      <c r="K100" s="44"/>
      <c r="L100" s="254"/>
      <c r="M100" s="27"/>
    </row>
    <row r="101" spans="1:13" ht="15.75" x14ac:dyDescent="0.2">
      <c r="A101" s="295" t="s">
        <v>466</v>
      </c>
      <c r="B101" s="280"/>
      <c r="C101" s="280"/>
      <c r="D101" s="166"/>
      <c r="E101" s="365"/>
      <c r="F101" s="280"/>
      <c r="G101" s="280"/>
      <c r="H101" s="166"/>
      <c r="I101" s="365"/>
      <c r="J101" s="289"/>
      <c r="K101" s="289"/>
      <c r="L101" s="166"/>
      <c r="M101" s="23"/>
    </row>
    <row r="102" spans="1:13" x14ac:dyDescent="0.2">
      <c r="A102" s="295" t="s">
        <v>12</v>
      </c>
      <c r="B102" s="235"/>
      <c r="C102" s="288"/>
      <c r="D102" s="166"/>
      <c r="E102" s="365"/>
      <c r="F102" s="280"/>
      <c r="G102" s="280"/>
      <c r="H102" s="166"/>
      <c r="I102" s="365"/>
      <c r="J102" s="289"/>
      <c r="K102" s="289"/>
      <c r="L102" s="166"/>
      <c r="M102" s="23"/>
    </row>
    <row r="103" spans="1:13" x14ac:dyDescent="0.2">
      <c r="A103" s="295" t="s">
        <v>13</v>
      </c>
      <c r="B103" s="235"/>
      <c r="C103" s="288"/>
      <c r="D103" s="166"/>
      <c r="E103" s="365"/>
      <c r="F103" s="280"/>
      <c r="G103" s="280"/>
      <c r="H103" s="166"/>
      <c r="I103" s="365"/>
      <c r="J103" s="289"/>
      <c r="K103" s="289"/>
      <c r="L103" s="166"/>
      <c r="M103" s="23"/>
    </row>
    <row r="104" spans="1:13" ht="15.75" x14ac:dyDescent="0.2">
      <c r="A104" s="295" t="s">
        <v>467</v>
      </c>
      <c r="B104" s="280"/>
      <c r="C104" s="280"/>
      <c r="D104" s="166"/>
      <c r="E104" s="365"/>
      <c r="F104" s="280"/>
      <c r="G104" s="280"/>
      <c r="H104" s="166"/>
      <c r="I104" s="365"/>
      <c r="J104" s="289"/>
      <c r="K104" s="289"/>
      <c r="L104" s="166"/>
      <c r="M104" s="23"/>
    </row>
    <row r="105" spans="1:13" x14ac:dyDescent="0.2">
      <c r="A105" s="295" t="s">
        <v>12</v>
      </c>
      <c r="B105" s="235"/>
      <c r="C105" s="288"/>
      <c r="D105" s="166"/>
      <c r="E105" s="365"/>
      <c r="F105" s="280"/>
      <c r="G105" s="280"/>
      <c r="H105" s="166"/>
      <c r="I105" s="365"/>
      <c r="J105" s="289"/>
      <c r="K105" s="289"/>
      <c r="L105" s="166"/>
      <c r="M105" s="23"/>
    </row>
    <row r="106" spans="1:13" x14ac:dyDescent="0.2">
      <c r="A106" s="295" t="s">
        <v>13</v>
      </c>
      <c r="B106" s="235"/>
      <c r="C106" s="288"/>
      <c r="D106" s="166"/>
      <c r="E106" s="365"/>
      <c r="F106" s="280"/>
      <c r="G106" s="280"/>
      <c r="H106" s="166"/>
      <c r="I106" s="365"/>
      <c r="J106" s="289"/>
      <c r="K106" s="289"/>
      <c r="L106" s="166"/>
      <c r="M106" s="23"/>
    </row>
    <row r="107" spans="1:13" ht="15.75" x14ac:dyDescent="0.2">
      <c r="A107" s="21" t="s">
        <v>469</v>
      </c>
      <c r="B107" s="234"/>
      <c r="C107" s="145"/>
      <c r="D107" s="166"/>
      <c r="E107" s="27"/>
      <c r="F107" s="234"/>
      <c r="G107" s="145"/>
      <c r="H107" s="166"/>
      <c r="I107" s="27"/>
      <c r="J107" s="286"/>
      <c r="K107" s="44"/>
      <c r="L107" s="254"/>
      <c r="M107" s="27"/>
    </row>
    <row r="108" spans="1:13" ht="15.75" x14ac:dyDescent="0.2">
      <c r="A108" s="21" t="s">
        <v>470</v>
      </c>
      <c r="B108" s="234"/>
      <c r="C108" s="234"/>
      <c r="D108" s="166"/>
      <c r="E108" s="27"/>
      <c r="F108" s="234"/>
      <c r="G108" s="234"/>
      <c r="H108" s="166"/>
      <c r="I108" s="27"/>
      <c r="J108" s="286"/>
      <c r="K108" s="44"/>
      <c r="L108" s="254"/>
      <c r="M108" s="27"/>
    </row>
    <row r="109" spans="1:13" ht="15.75" x14ac:dyDescent="0.2">
      <c r="A109" s="21" t="s">
        <v>471</v>
      </c>
      <c r="B109" s="234"/>
      <c r="C109" s="234"/>
      <c r="D109" s="166"/>
      <c r="E109" s="27"/>
      <c r="F109" s="234"/>
      <c r="G109" s="234"/>
      <c r="H109" s="166"/>
      <c r="I109" s="27"/>
      <c r="J109" s="286"/>
      <c r="K109" s="44"/>
      <c r="L109" s="254"/>
      <c r="M109" s="27"/>
    </row>
    <row r="110" spans="1:13" ht="15.75" x14ac:dyDescent="0.2">
      <c r="A110" s="21" t="s">
        <v>472</v>
      </c>
      <c r="B110" s="234"/>
      <c r="C110" s="234"/>
      <c r="D110" s="166"/>
      <c r="E110" s="27"/>
      <c r="F110" s="234"/>
      <c r="G110" s="234"/>
      <c r="H110" s="166"/>
      <c r="I110" s="27"/>
      <c r="J110" s="286"/>
      <c r="K110" s="44"/>
      <c r="L110" s="254"/>
      <c r="M110" s="27"/>
    </row>
    <row r="111" spans="1:13" ht="15.75" x14ac:dyDescent="0.2">
      <c r="A111" s="13" t="s">
        <v>452</v>
      </c>
      <c r="B111" s="307"/>
      <c r="C111" s="159"/>
      <c r="D111" s="171"/>
      <c r="E111" s="11"/>
      <c r="F111" s="307"/>
      <c r="G111" s="159"/>
      <c r="H111" s="171"/>
      <c r="I111" s="11"/>
      <c r="J111" s="308"/>
      <c r="K111" s="236"/>
      <c r="L111" s="373"/>
      <c r="M111" s="11"/>
    </row>
    <row r="112" spans="1:13" x14ac:dyDescent="0.2">
      <c r="A112" s="21" t="s">
        <v>9</v>
      </c>
      <c r="B112" s="234"/>
      <c r="C112" s="145"/>
      <c r="D112" s="166"/>
      <c r="E112" s="27"/>
      <c r="F112" s="234"/>
      <c r="G112" s="145"/>
      <c r="H112" s="166"/>
      <c r="I112" s="27"/>
      <c r="J112" s="286"/>
      <c r="K112" s="44"/>
      <c r="L112" s="254"/>
      <c r="M112" s="27"/>
    </row>
    <row r="113" spans="1:14" x14ac:dyDescent="0.2">
      <c r="A113" s="21" t="s">
        <v>10</v>
      </c>
      <c r="B113" s="234"/>
      <c r="C113" s="145"/>
      <c r="D113" s="166"/>
      <c r="E113" s="27"/>
      <c r="F113" s="234"/>
      <c r="G113" s="145"/>
      <c r="H113" s="166"/>
      <c r="I113" s="27"/>
      <c r="J113" s="286"/>
      <c r="K113" s="44"/>
      <c r="L113" s="254"/>
      <c r="M113" s="27"/>
    </row>
    <row r="114" spans="1:14" x14ac:dyDescent="0.2">
      <c r="A114" s="21" t="s">
        <v>26</v>
      </c>
      <c r="B114" s="234"/>
      <c r="C114" s="145"/>
      <c r="D114" s="166"/>
      <c r="E114" s="27"/>
      <c r="F114" s="234"/>
      <c r="G114" s="145"/>
      <c r="H114" s="166"/>
      <c r="I114" s="27"/>
      <c r="J114" s="286"/>
      <c r="K114" s="44"/>
      <c r="L114" s="254"/>
      <c r="M114" s="27"/>
    </row>
    <row r="115" spans="1:14" x14ac:dyDescent="0.2">
      <c r="A115" s="295" t="s">
        <v>15</v>
      </c>
      <c r="B115" s="280"/>
      <c r="C115" s="280"/>
      <c r="D115" s="166"/>
      <c r="E115" s="365"/>
      <c r="F115" s="280"/>
      <c r="G115" s="280"/>
      <c r="H115" s="166"/>
      <c r="I115" s="365"/>
      <c r="J115" s="289"/>
      <c r="K115" s="289"/>
      <c r="L115" s="166"/>
      <c r="M115" s="23"/>
    </row>
    <row r="116" spans="1:14" ht="15.75" x14ac:dyDescent="0.2">
      <c r="A116" s="21" t="s">
        <v>473</v>
      </c>
      <c r="B116" s="234"/>
      <c r="C116" s="234"/>
      <c r="D116" s="166"/>
      <c r="E116" s="27"/>
      <c r="F116" s="234"/>
      <c r="G116" s="234"/>
      <c r="H116" s="166"/>
      <c r="I116" s="27"/>
      <c r="J116" s="286"/>
      <c r="K116" s="44"/>
      <c r="L116" s="254"/>
      <c r="M116" s="27"/>
    </row>
    <row r="117" spans="1:14" ht="15.75" x14ac:dyDescent="0.2">
      <c r="A117" s="21" t="s">
        <v>474</v>
      </c>
      <c r="B117" s="234"/>
      <c r="C117" s="234"/>
      <c r="D117" s="166"/>
      <c r="E117" s="27"/>
      <c r="F117" s="234"/>
      <c r="G117" s="234"/>
      <c r="H117" s="166"/>
      <c r="I117" s="27"/>
      <c r="J117" s="286"/>
      <c r="K117" s="44"/>
      <c r="L117" s="254"/>
      <c r="M117" s="27"/>
    </row>
    <row r="118" spans="1:14" ht="15.75" x14ac:dyDescent="0.2">
      <c r="A118" s="21" t="s">
        <v>472</v>
      </c>
      <c r="B118" s="234"/>
      <c r="C118" s="234"/>
      <c r="D118" s="166"/>
      <c r="E118" s="27"/>
      <c r="F118" s="234"/>
      <c r="G118" s="234"/>
      <c r="H118" s="166"/>
      <c r="I118" s="27"/>
      <c r="J118" s="286"/>
      <c r="K118" s="44"/>
      <c r="L118" s="254"/>
      <c r="M118" s="27"/>
    </row>
    <row r="119" spans="1:14" ht="15.75" x14ac:dyDescent="0.2">
      <c r="A119" s="13" t="s">
        <v>453</v>
      </c>
      <c r="B119" s="307"/>
      <c r="C119" s="159"/>
      <c r="D119" s="171"/>
      <c r="E119" s="11"/>
      <c r="F119" s="307"/>
      <c r="G119" s="159"/>
      <c r="H119" s="171"/>
      <c r="I119" s="11"/>
      <c r="J119" s="308"/>
      <c r="K119" s="236"/>
      <c r="L119" s="373"/>
      <c r="M119" s="11"/>
    </row>
    <row r="120" spans="1:14" x14ac:dyDescent="0.2">
      <c r="A120" s="21" t="s">
        <v>9</v>
      </c>
      <c r="B120" s="234"/>
      <c r="C120" s="145"/>
      <c r="D120" s="166"/>
      <c r="E120" s="27"/>
      <c r="F120" s="234"/>
      <c r="G120" s="145"/>
      <c r="H120" s="166"/>
      <c r="I120" s="27"/>
      <c r="J120" s="286"/>
      <c r="K120" s="44"/>
      <c r="L120" s="254"/>
      <c r="M120" s="27"/>
    </row>
    <row r="121" spans="1:14" x14ac:dyDescent="0.2">
      <c r="A121" s="21" t="s">
        <v>10</v>
      </c>
      <c r="B121" s="234"/>
      <c r="C121" s="145"/>
      <c r="D121" s="166"/>
      <c r="E121" s="27"/>
      <c r="F121" s="234"/>
      <c r="G121" s="145"/>
      <c r="H121" s="166"/>
      <c r="I121" s="27"/>
      <c r="J121" s="286"/>
      <c r="K121" s="44"/>
      <c r="L121" s="254"/>
      <c r="M121" s="27"/>
    </row>
    <row r="122" spans="1:14" x14ac:dyDescent="0.2">
      <c r="A122" s="21" t="s">
        <v>26</v>
      </c>
      <c r="B122" s="234"/>
      <c r="C122" s="145"/>
      <c r="D122" s="166"/>
      <c r="E122" s="27"/>
      <c r="F122" s="234"/>
      <c r="G122" s="145"/>
      <c r="H122" s="166"/>
      <c r="I122" s="27"/>
      <c r="J122" s="286"/>
      <c r="K122" s="44"/>
      <c r="L122" s="254"/>
      <c r="M122" s="27"/>
    </row>
    <row r="123" spans="1:14" x14ac:dyDescent="0.2">
      <c r="A123" s="295" t="s">
        <v>14</v>
      </c>
      <c r="B123" s="280"/>
      <c r="C123" s="280"/>
      <c r="D123" s="166"/>
      <c r="E123" s="365"/>
      <c r="F123" s="280"/>
      <c r="G123" s="280"/>
      <c r="H123" s="166"/>
      <c r="I123" s="365"/>
      <c r="J123" s="289"/>
      <c r="K123" s="289"/>
      <c r="L123" s="166"/>
      <c r="M123" s="23"/>
    </row>
    <row r="124" spans="1:14" ht="15.75" x14ac:dyDescent="0.2">
      <c r="A124" s="21" t="s">
        <v>479</v>
      </c>
      <c r="B124" s="234"/>
      <c r="C124" s="234"/>
      <c r="D124" s="166"/>
      <c r="E124" s="27"/>
      <c r="F124" s="234"/>
      <c r="G124" s="234"/>
      <c r="H124" s="166"/>
      <c r="I124" s="27"/>
      <c r="J124" s="286"/>
      <c r="K124" s="44"/>
      <c r="L124" s="254"/>
      <c r="M124" s="27"/>
    </row>
    <row r="125" spans="1:14" ht="15.75" x14ac:dyDescent="0.2">
      <c r="A125" s="21" t="s">
        <v>471</v>
      </c>
      <c r="B125" s="234"/>
      <c r="C125" s="234"/>
      <c r="D125" s="166"/>
      <c r="E125" s="27"/>
      <c r="F125" s="234"/>
      <c r="G125" s="234"/>
      <c r="H125" s="166"/>
      <c r="I125" s="27"/>
      <c r="J125" s="286"/>
      <c r="K125" s="44"/>
      <c r="L125" s="254"/>
      <c r="M125" s="27"/>
    </row>
    <row r="126" spans="1:14" ht="15.75" x14ac:dyDescent="0.2">
      <c r="A126" s="10" t="s">
        <v>472</v>
      </c>
      <c r="B126" s="45"/>
      <c r="C126" s="45"/>
      <c r="D126" s="167"/>
      <c r="E126" s="366"/>
      <c r="F126" s="45"/>
      <c r="G126" s="45"/>
      <c r="H126" s="167"/>
      <c r="I126" s="22"/>
      <c r="J126" s="287"/>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975"/>
      <c r="C130" s="975"/>
      <c r="D130" s="975"/>
      <c r="E130" s="298"/>
      <c r="F130" s="975"/>
      <c r="G130" s="975"/>
      <c r="H130" s="975"/>
      <c r="I130" s="298"/>
      <c r="J130" s="975"/>
      <c r="K130" s="975"/>
      <c r="L130" s="975"/>
      <c r="M130" s="298"/>
    </row>
    <row r="131" spans="1:14" s="3" customFormat="1" x14ac:dyDescent="0.2">
      <c r="A131" s="144"/>
      <c r="B131" s="973" t="s">
        <v>0</v>
      </c>
      <c r="C131" s="974"/>
      <c r="D131" s="974"/>
      <c r="E131" s="300"/>
      <c r="F131" s="973" t="s">
        <v>1</v>
      </c>
      <c r="G131" s="974"/>
      <c r="H131" s="974"/>
      <c r="I131" s="303"/>
      <c r="J131" s="973" t="s">
        <v>2</v>
      </c>
      <c r="K131" s="974"/>
      <c r="L131" s="974"/>
      <c r="M131" s="303"/>
      <c r="N131" s="148"/>
    </row>
    <row r="132" spans="1:14" s="3" customFormat="1" x14ac:dyDescent="0.2">
      <c r="A132" s="140"/>
      <c r="B132" s="152" t="s">
        <v>492</v>
      </c>
      <c r="C132" s="152" t="s">
        <v>493</v>
      </c>
      <c r="D132" s="245" t="s">
        <v>3</v>
      </c>
      <c r="E132" s="304" t="s">
        <v>29</v>
      </c>
      <c r="F132" s="152" t="s">
        <v>492</v>
      </c>
      <c r="G132" s="152" t="s">
        <v>493</v>
      </c>
      <c r="H132" s="206" t="s">
        <v>3</v>
      </c>
      <c r="I132" s="162" t="s">
        <v>29</v>
      </c>
      <c r="J132" s="152" t="s">
        <v>492</v>
      </c>
      <c r="K132" s="152" t="s">
        <v>493</v>
      </c>
      <c r="L132" s="246" t="s">
        <v>3</v>
      </c>
      <c r="M132" s="162" t="s">
        <v>29</v>
      </c>
      <c r="N132" s="148"/>
    </row>
    <row r="133" spans="1:14" s="3" customFormat="1" x14ac:dyDescent="0.2">
      <c r="A133" s="947"/>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475</v>
      </c>
      <c r="B134" s="236"/>
      <c r="C134" s="308"/>
      <c r="D134" s="349"/>
      <c r="E134" s="11"/>
      <c r="F134" s="315"/>
      <c r="G134" s="316"/>
      <c r="H134" s="376"/>
      <c r="I134" s="24"/>
      <c r="J134" s="317"/>
      <c r="K134" s="317"/>
      <c r="L134" s="372"/>
      <c r="M134" s="11"/>
      <c r="N134" s="148"/>
    </row>
    <row r="135" spans="1:14" s="3" customFormat="1" ht="15.75" x14ac:dyDescent="0.2">
      <c r="A135" s="13" t="s">
        <v>480</v>
      </c>
      <c r="B135" s="236"/>
      <c r="C135" s="308"/>
      <c r="D135" s="171"/>
      <c r="E135" s="11"/>
      <c r="F135" s="236"/>
      <c r="G135" s="308"/>
      <c r="H135" s="377"/>
      <c r="I135" s="24"/>
      <c r="J135" s="307"/>
      <c r="K135" s="307"/>
      <c r="L135" s="373"/>
      <c r="M135" s="11"/>
      <c r="N135" s="148"/>
    </row>
    <row r="136" spans="1:14" s="3" customFormat="1" ht="15.75" x14ac:dyDescent="0.2">
      <c r="A136" s="13" t="s">
        <v>477</v>
      </c>
      <c r="B136" s="236"/>
      <c r="C136" s="308"/>
      <c r="D136" s="171"/>
      <c r="E136" s="11"/>
      <c r="F136" s="236"/>
      <c r="G136" s="308"/>
      <c r="H136" s="377"/>
      <c r="I136" s="24"/>
      <c r="J136" s="307"/>
      <c r="K136" s="307"/>
      <c r="L136" s="373"/>
      <c r="M136" s="11"/>
      <c r="N136" s="148"/>
    </row>
    <row r="137" spans="1:14" s="3" customFormat="1" ht="15.75" x14ac:dyDescent="0.2">
      <c r="A137" s="41" t="s">
        <v>478</v>
      </c>
      <c r="B137" s="275"/>
      <c r="C137" s="314"/>
      <c r="D137" s="169"/>
      <c r="E137" s="9"/>
      <c r="F137" s="275"/>
      <c r="G137" s="314"/>
      <c r="H137" s="378"/>
      <c r="I137" s="36"/>
      <c r="J137" s="313"/>
      <c r="K137" s="313"/>
      <c r="L137" s="374"/>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78" priority="132">
      <formula>kvartal &lt; 4</formula>
    </cfRule>
  </conditionalFormatting>
  <conditionalFormatting sqref="B69">
    <cfRule type="expression" dxfId="277" priority="100">
      <formula>kvartal &lt; 4</formula>
    </cfRule>
  </conditionalFormatting>
  <conditionalFormatting sqref="C69">
    <cfRule type="expression" dxfId="276" priority="99">
      <formula>kvartal &lt; 4</formula>
    </cfRule>
  </conditionalFormatting>
  <conditionalFormatting sqref="B72">
    <cfRule type="expression" dxfId="275" priority="98">
      <formula>kvartal &lt; 4</formula>
    </cfRule>
  </conditionalFormatting>
  <conditionalFormatting sqref="C72">
    <cfRule type="expression" dxfId="274" priority="97">
      <formula>kvartal &lt; 4</formula>
    </cfRule>
  </conditionalFormatting>
  <conditionalFormatting sqref="B80">
    <cfRule type="expression" dxfId="273" priority="96">
      <formula>kvartal &lt; 4</formula>
    </cfRule>
  </conditionalFormatting>
  <conditionalFormatting sqref="C80">
    <cfRule type="expression" dxfId="272" priority="95">
      <formula>kvartal &lt; 4</formula>
    </cfRule>
  </conditionalFormatting>
  <conditionalFormatting sqref="B83">
    <cfRule type="expression" dxfId="271" priority="94">
      <formula>kvartal &lt; 4</formula>
    </cfRule>
  </conditionalFormatting>
  <conditionalFormatting sqref="C83">
    <cfRule type="expression" dxfId="270" priority="93">
      <formula>kvartal &lt; 4</formula>
    </cfRule>
  </conditionalFormatting>
  <conditionalFormatting sqref="B90">
    <cfRule type="expression" dxfId="269" priority="84">
      <formula>kvartal &lt; 4</formula>
    </cfRule>
  </conditionalFormatting>
  <conditionalFormatting sqref="C90">
    <cfRule type="expression" dxfId="268" priority="83">
      <formula>kvartal &lt; 4</formula>
    </cfRule>
  </conditionalFormatting>
  <conditionalFormatting sqref="B93">
    <cfRule type="expression" dxfId="267" priority="82">
      <formula>kvartal &lt; 4</formula>
    </cfRule>
  </conditionalFormatting>
  <conditionalFormatting sqref="C93">
    <cfRule type="expression" dxfId="266" priority="81">
      <formula>kvartal &lt; 4</formula>
    </cfRule>
  </conditionalFormatting>
  <conditionalFormatting sqref="B101">
    <cfRule type="expression" dxfId="265" priority="80">
      <formula>kvartal &lt; 4</formula>
    </cfRule>
  </conditionalFormatting>
  <conditionalFormatting sqref="C101">
    <cfRule type="expression" dxfId="264" priority="79">
      <formula>kvartal &lt; 4</formula>
    </cfRule>
  </conditionalFormatting>
  <conditionalFormatting sqref="B104">
    <cfRule type="expression" dxfId="263" priority="78">
      <formula>kvartal &lt; 4</formula>
    </cfRule>
  </conditionalFormatting>
  <conditionalFormatting sqref="C104">
    <cfRule type="expression" dxfId="262" priority="77">
      <formula>kvartal &lt; 4</formula>
    </cfRule>
  </conditionalFormatting>
  <conditionalFormatting sqref="B115">
    <cfRule type="expression" dxfId="261" priority="76">
      <formula>kvartal &lt; 4</formula>
    </cfRule>
  </conditionalFormatting>
  <conditionalFormatting sqref="C115">
    <cfRule type="expression" dxfId="260" priority="75">
      <formula>kvartal &lt; 4</formula>
    </cfRule>
  </conditionalFormatting>
  <conditionalFormatting sqref="B123">
    <cfRule type="expression" dxfId="259" priority="74">
      <formula>kvartal &lt; 4</formula>
    </cfRule>
  </conditionalFormatting>
  <conditionalFormatting sqref="C123">
    <cfRule type="expression" dxfId="258" priority="73">
      <formula>kvartal &lt; 4</formula>
    </cfRule>
  </conditionalFormatting>
  <conditionalFormatting sqref="F70">
    <cfRule type="expression" dxfId="257" priority="72">
      <formula>kvartal &lt; 4</formula>
    </cfRule>
  </conditionalFormatting>
  <conditionalFormatting sqref="G70">
    <cfRule type="expression" dxfId="256" priority="71">
      <formula>kvartal &lt; 4</formula>
    </cfRule>
  </conditionalFormatting>
  <conditionalFormatting sqref="F71:G71">
    <cfRule type="expression" dxfId="255" priority="70">
      <formula>kvartal &lt; 4</formula>
    </cfRule>
  </conditionalFormatting>
  <conditionalFormatting sqref="F73:G74">
    <cfRule type="expression" dxfId="254" priority="69">
      <formula>kvartal &lt; 4</formula>
    </cfRule>
  </conditionalFormatting>
  <conditionalFormatting sqref="F81:G82">
    <cfRule type="expression" dxfId="253" priority="68">
      <formula>kvartal &lt; 4</formula>
    </cfRule>
  </conditionalFormatting>
  <conditionalFormatting sqref="F84:G85">
    <cfRule type="expression" dxfId="252" priority="67">
      <formula>kvartal &lt; 4</formula>
    </cfRule>
  </conditionalFormatting>
  <conditionalFormatting sqref="F91:G92">
    <cfRule type="expression" dxfId="251" priority="62">
      <formula>kvartal &lt; 4</formula>
    </cfRule>
  </conditionalFormatting>
  <conditionalFormatting sqref="F94:G95">
    <cfRule type="expression" dxfId="250" priority="61">
      <formula>kvartal &lt; 4</formula>
    </cfRule>
  </conditionalFormatting>
  <conditionalFormatting sqref="F102:G103">
    <cfRule type="expression" dxfId="249" priority="60">
      <formula>kvartal &lt; 4</formula>
    </cfRule>
  </conditionalFormatting>
  <conditionalFormatting sqref="F105:G106">
    <cfRule type="expression" dxfId="248" priority="59">
      <formula>kvartal &lt; 4</formula>
    </cfRule>
  </conditionalFormatting>
  <conditionalFormatting sqref="F115">
    <cfRule type="expression" dxfId="247" priority="58">
      <formula>kvartal &lt; 4</formula>
    </cfRule>
  </conditionalFormatting>
  <conditionalFormatting sqref="G115">
    <cfRule type="expression" dxfId="246" priority="57">
      <formula>kvartal &lt; 4</formula>
    </cfRule>
  </conditionalFormatting>
  <conditionalFormatting sqref="F123:G123">
    <cfRule type="expression" dxfId="245" priority="56">
      <formula>kvartal &lt; 4</formula>
    </cfRule>
  </conditionalFormatting>
  <conditionalFormatting sqref="F69:G69">
    <cfRule type="expression" dxfId="244" priority="55">
      <formula>kvartal &lt; 4</formula>
    </cfRule>
  </conditionalFormatting>
  <conditionalFormatting sqref="F72:G72">
    <cfRule type="expression" dxfId="243" priority="54">
      <formula>kvartal &lt; 4</formula>
    </cfRule>
  </conditionalFormatting>
  <conditionalFormatting sqref="F80:G80">
    <cfRule type="expression" dxfId="242" priority="53">
      <formula>kvartal &lt; 4</formula>
    </cfRule>
  </conditionalFormatting>
  <conditionalFormatting sqref="F83:G83">
    <cfRule type="expression" dxfId="241" priority="52">
      <formula>kvartal &lt; 4</formula>
    </cfRule>
  </conditionalFormatting>
  <conditionalFormatting sqref="F90:G90">
    <cfRule type="expression" dxfId="240" priority="46">
      <formula>kvartal &lt; 4</formula>
    </cfRule>
  </conditionalFormatting>
  <conditionalFormatting sqref="F93">
    <cfRule type="expression" dxfId="239" priority="45">
      <formula>kvartal &lt; 4</formula>
    </cfRule>
  </conditionalFormatting>
  <conditionalFormatting sqref="G93">
    <cfRule type="expression" dxfId="238" priority="44">
      <formula>kvartal &lt; 4</formula>
    </cfRule>
  </conditionalFormatting>
  <conditionalFormatting sqref="F101">
    <cfRule type="expression" dxfId="237" priority="43">
      <formula>kvartal &lt; 4</formula>
    </cfRule>
  </conditionalFormatting>
  <conditionalFormatting sqref="G101">
    <cfRule type="expression" dxfId="236" priority="42">
      <formula>kvartal &lt; 4</formula>
    </cfRule>
  </conditionalFormatting>
  <conditionalFormatting sqref="G104">
    <cfRule type="expression" dxfId="235" priority="41">
      <formula>kvartal &lt; 4</formula>
    </cfRule>
  </conditionalFormatting>
  <conditionalFormatting sqref="F104">
    <cfRule type="expression" dxfId="234" priority="40">
      <formula>kvartal &lt; 4</formula>
    </cfRule>
  </conditionalFormatting>
  <conditionalFormatting sqref="J69:K73">
    <cfRule type="expression" dxfId="233" priority="39">
      <formula>kvartal &lt; 4</formula>
    </cfRule>
  </conditionalFormatting>
  <conditionalFormatting sqref="J74:K74">
    <cfRule type="expression" dxfId="232" priority="38">
      <formula>kvartal &lt; 4</formula>
    </cfRule>
  </conditionalFormatting>
  <conditionalFormatting sqref="J80:K85">
    <cfRule type="expression" dxfId="231" priority="37">
      <formula>kvartal &lt; 4</formula>
    </cfRule>
  </conditionalFormatting>
  <conditionalFormatting sqref="J90:K95">
    <cfRule type="expression" dxfId="230" priority="34">
      <formula>kvartal &lt; 4</formula>
    </cfRule>
  </conditionalFormatting>
  <conditionalFormatting sqref="J101:K106">
    <cfRule type="expression" dxfId="229" priority="33">
      <formula>kvartal &lt; 4</formula>
    </cfRule>
  </conditionalFormatting>
  <conditionalFormatting sqref="J115:K115">
    <cfRule type="expression" dxfId="228" priority="32">
      <formula>kvartal &lt; 4</formula>
    </cfRule>
  </conditionalFormatting>
  <conditionalFormatting sqref="J123:K123">
    <cfRule type="expression" dxfId="227" priority="31">
      <formula>kvartal &lt; 4</formula>
    </cfRule>
  </conditionalFormatting>
  <conditionalFormatting sqref="A50:A52">
    <cfRule type="expression" dxfId="226" priority="12">
      <formula>kvartal &lt; 4</formula>
    </cfRule>
  </conditionalFormatting>
  <conditionalFormatting sqref="A69:A74">
    <cfRule type="expression" dxfId="225" priority="10">
      <formula>kvartal &lt; 4</formula>
    </cfRule>
  </conditionalFormatting>
  <conditionalFormatting sqref="A80:A85">
    <cfRule type="expression" dxfId="224" priority="9">
      <formula>kvartal &lt; 4</formula>
    </cfRule>
  </conditionalFormatting>
  <conditionalFormatting sqref="A90:A95">
    <cfRule type="expression" dxfId="223" priority="6">
      <formula>kvartal &lt; 4</formula>
    </cfRule>
  </conditionalFormatting>
  <conditionalFormatting sqref="A101:A106">
    <cfRule type="expression" dxfId="222" priority="5">
      <formula>kvartal &lt; 4</formula>
    </cfRule>
  </conditionalFormatting>
  <conditionalFormatting sqref="A115">
    <cfRule type="expression" dxfId="221" priority="4">
      <formula>kvartal &lt; 4</formula>
    </cfRule>
  </conditionalFormatting>
  <conditionalFormatting sqref="A123">
    <cfRule type="expression" dxfId="220" priority="3">
      <formula>kvartal &lt; 4</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N144"/>
  <sheetViews>
    <sheetView showGridLines="0" zoomScaleNormal="100" workbookViewId="0">
      <selection activeCell="A3" sqref="A3"/>
    </sheetView>
  </sheetViews>
  <sheetFormatPr baseColWidth="10" defaultColWidth="11.42578125" defaultRowHeight="12.75" x14ac:dyDescent="0.2"/>
  <cols>
    <col min="1" max="1" width="43"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139</v>
      </c>
      <c r="B1" s="945"/>
      <c r="C1" s="248" t="s">
        <v>101</v>
      </c>
      <c r="D1" s="26"/>
      <c r="E1" s="26"/>
      <c r="F1" s="26"/>
      <c r="G1" s="26"/>
      <c r="H1" s="26"/>
      <c r="I1" s="26"/>
      <c r="J1" s="26"/>
      <c r="K1" s="26"/>
      <c r="L1" s="26"/>
      <c r="M1" s="26"/>
    </row>
    <row r="2" spans="1:14" ht="15.75" x14ac:dyDescent="0.25">
      <c r="A2" s="165" t="s">
        <v>28</v>
      </c>
      <c r="B2" s="972"/>
      <c r="C2" s="972"/>
      <c r="D2" s="972"/>
      <c r="E2" s="298"/>
      <c r="F2" s="972"/>
      <c r="G2" s="972"/>
      <c r="H2" s="972"/>
      <c r="I2" s="298"/>
      <c r="J2" s="972"/>
      <c r="K2" s="972"/>
      <c r="L2" s="972"/>
      <c r="M2" s="298"/>
    </row>
    <row r="3" spans="1:14" ht="15.75" x14ac:dyDescent="0.25">
      <c r="A3" s="163"/>
      <c r="B3" s="298"/>
      <c r="C3" s="298"/>
      <c r="D3" s="298"/>
      <c r="E3" s="298"/>
      <c r="F3" s="298"/>
      <c r="G3" s="298"/>
      <c r="H3" s="298"/>
      <c r="I3" s="298"/>
      <c r="J3" s="298"/>
      <c r="K3" s="298"/>
      <c r="L3" s="298"/>
      <c r="M3" s="298"/>
    </row>
    <row r="4" spans="1:14" x14ac:dyDescent="0.2">
      <c r="A4" s="144"/>
      <c r="B4" s="973" t="s">
        <v>0</v>
      </c>
      <c r="C4" s="974"/>
      <c r="D4" s="974"/>
      <c r="E4" s="300"/>
      <c r="F4" s="973" t="s">
        <v>1</v>
      </c>
      <c r="G4" s="974"/>
      <c r="H4" s="974"/>
      <c r="I4" s="303"/>
      <c r="J4" s="973" t="s">
        <v>2</v>
      </c>
      <c r="K4" s="974"/>
      <c r="L4" s="974"/>
      <c r="M4" s="303"/>
    </row>
    <row r="5" spans="1:14" x14ac:dyDescent="0.2">
      <c r="A5" s="158"/>
      <c r="B5" s="152" t="s">
        <v>492</v>
      </c>
      <c r="C5" s="152" t="s">
        <v>493</v>
      </c>
      <c r="D5" s="245" t="s">
        <v>3</v>
      </c>
      <c r="E5" s="304" t="s">
        <v>29</v>
      </c>
      <c r="F5" s="152" t="s">
        <v>492</v>
      </c>
      <c r="G5" s="152" t="s">
        <v>493</v>
      </c>
      <c r="H5" s="245" t="s">
        <v>3</v>
      </c>
      <c r="I5" s="162" t="s">
        <v>29</v>
      </c>
      <c r="J5" s="152" t="s">
        <v>492</v>
      </c>
      <c r="K5" s="152" t="s">
        <v>493</v>
      </c>
      <c r="L5" s="245" t="s">
        <v>3</v>
      </c>
      <c r="M5" s="162" t="s">
        <v>29</v>
      </c>
    </row>
    <row r="6" spans="1:14" x14ac:dyDescent="0.2">
      <c r="A6" s="946"/>
      <c r="B6" s="156"/>
      <c r="C6" s="156"/>
      <c r="D6" s="246" t="s">
        <v>4</v>
      </c>
      <c r="E6" s="156" t="s">
        <v>30</v>
      </c>
      <c r="F6" s="161"/>
      <c r="G6" s="161"/>
      <c r="H6" s="245" t="s">
        <v>4</v>
      </c>
      <c r="I6" s="156" t="s">
        <v>30</v>
      </c>
      <c r="J6" s="161"/>
      <c r="K6" s="161"/>
      <c r="L6" s="245" t="s">
        <v>4</v>
      </c>
      <c r="M6" s="156" t="s">
        <v>30</v>
      </c>
    </row>
    <row r="7" spans="1:14" ht="15.75" x14ac:dyDescent="0.2">
      <c r="A7" s="14" t="s">
        <v>23</v>
      </c>
      <c r="B7" s="305"/>
      <c r="C7" s="306"/>
      <c r="D7" s="349"/>
      <c r="E7" s="11"/>
      <c r="F7" s="305"/>
      <c r="G7" s="306"/>
      <c r="H7" s="349"/>
      <c r="I7" s="160"/>
      <c r="J7" s="307"/>
      <c r="K7" s="308"/>
      <c r="L7" s="372"/>
      <c r="M7" s="11"/>
    </row>
    <row r="8" spans="1:14" ht="15.75" x14ac:dyDescent="0.2">
      <c r="A8" s="21" t="s">
        <v>25</v>
      </c>
      <c r="B8" s="280"/>
      <c r="C8" s="281"/>
      <c r="D8" s="166"/>
      <c r="E8" s="27"/>
      <c r="F8" s="284"/>
      <c r="G8" s="285"/>
      <c r="H8" s="166"/>
      <c r="I8" s="175"/>
      <c r="J8" s="234"/>
      <c r="K8" s="286"/>
      <c r="L8" s="254"/>
      <c r="M8" s="27"/>
    </row>
    <row r="9" spans="1:14" ht="15.75" x14ac:dyDescent="0.2">
      <c r="A9" s="21" t="s">
        <v>24</v>
      </c>
      <c r="B9" s="280"/>
      <c r="C9" s="281"/>
      <c r="D9" s="166"/>
      <c r="E9" s="27"/>
      <c r="F9" s="284"/>
      <c r="G9" s="285"/>
      <c r="H9" s="166"/>
      <c r="I9" s="175"/>
      <c r="J9" s="234"/>
      <c r="K9" s="286"/>
      <c r="L9" s="254"/>
      <c r="M9" s="27"/>
    </row>
    <row r="10" spans="1:14" ht="15.75" x14ac:dyDescent="0.2">
      <c r="A10" s="13" t="s">
        <v>451</v>
      </c>
      <c r="B10" s="309"/>
      <c r="C10" s="310"/>
      <c r="D10" s="171"/>
      <c r="E10" s="11"/>
      <c r="F10" s="309"/>
      <c r="G10" s="310"/>
      <c r="H10" s="171"/>
      <c r="I10" s="160"/>
      <c r="J10" s="307"/>
      <c r="K10" s="308"/>
      <c r="L10" s="373"/>
      <c r="M10" s="11"/>
    </row>
    <row r="11" spans="1:14" s="43" customFormat="1" ht="15.75" x14ac:dyDescent="0.2">
      <c r="A11" s="13" t="s">
        <v>452</v>
      </c>
      <c r="B11" s="309"/>
      <c r="C11" s="310"/>
      <c r="D11" s="171"/>
      <c r="E11" s="11"/>
      <c r="F11" s="309"/>
      <c r="G11" s="310"/>
      <c r="H11" s="171"/>
      <c r="I11" s="160"/>
      <c r="J11" s="307"/>
      <c r="K11" s="308"/>
      <c r="L11" s="373"/>
      <c r="M11" s="11"/>
      <c r="N11" s="143"/>
    </row>
    <row r="12" spans="1:14" s="43" customFormat="1" ht="15.75" x14ac:dyDescent="0.2">
      <c r="A12" s="41" t="s">
        <v>453</v>
      </c>
      <c r="B12" s="311"/>
      <c r="C12" s="312"/>
      <c r="D12" s="169"/>
      <c r="E12" s="36"/>
      <c r="F12" s="311"/>
      <c r="G12" s="312"/>
      <c r="H12" s="169"/>
      <c r="I12" s="169"/>
      <c r="J12" s="313"/>
      <c r="K12" s="314"/>
      <c r="L12" s="374"/>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975"/>
      <c r="C18" s="975"/>
      <c r="D18" s="975"/>
      <c r="E18" s="298"/>
      <c r="F18" s="975"/>
      <c r="G18" s="975"/>
      <c r="H18" s="975"/>
      <c r="I18" s="298"/>
      <c r="J18" s="975"/>
      <c r="K18" s="975"/>
      <c r="L18" s="975"/>
      <c r="M18" s="298"/>
    </row>
    <row r="19" spans="1:14" x14ac:dyDescent="0.2">
      <c r="A19" s="144"/>
      <c r="B19" s="973" t="s">
        <v>0</v>
      </c>
      <c r="C19" s="974"/>
      <c r="D19" s="974"/>
      <c r="E19" s="300"/>
      <c r="F19" s="973" t="s">
        <v>1</v>
      </c>
      <c r="G19" s="974"/>
      <c r="H19" s="974"/>
      <c r="I19" s="303"/>
      <c r="J19" s="973" t="s">
        <v>2</v>
      </c>
      <c r="K19" s="974"/>
      <c r="L19" s="974"/>
      <c r="M19" s="303"/>
    </row>
    <row r="20" spans="1:14" x14ac:dyDescent="0.2">
      <c r="A20" s="140" t="s">
        <v>5</v>
      </c>
      <c r="B20" s="152" t="s">
        <v>492</v>
      </c>
      <c r="C20" s="152" t="s">
        <v>493</v>
      </c>
      <c r="D20" s="162" t="s">
        <v>3</v>
      </c>
      <c r="E20" s="304" t="s">
        <v>29</v>
      </c>
      <c r="F20" s="152" t="s">
        <v>492</v>
      </c>
      <c r="G20" s="152" t="s">
        <v>493</v>
      </c>
      <c r="H20" s="162" t="s">
        <v>3</v>
      </c>
      <c r="I20" s="162" t="s">
        <v>29</v>
      </c>
      <c r="J20" s="152" t="s">
        <v>492</v>
      </c>
      <c r="K20" s="152" t="s">
        <v>493</v>
      </c>
      <c r="L20" s="162" t="s">
        <v>3</v>
      </c>
      <c r="M20" s="162" t="s">
        <v>29</v>
      </c>
    </row>
    <row r="21" spans="1:14" x14ac:dyDescent="0.2">
      <c r="A21" s="947"/>
      <c r="B21" s="156"/>
      <c r="C21" s="156"/>
      <c r="D21" s="246" t="s">
        <v>4</v>
      </c>
      <c r="E21" s="156" t="s">
        <v>30</v>
      </c>
      <c r="F21" s="161"/>
      <c r="G21" s="161"/>
      <c r="H21" s="245" t="s">
        <v>4</v>
      </c>
      <c r="I21" s="156" t="s">
        <v>30</v>
      </c>
      <c r="J21" s="161"/>
      <c r="K21" s="161"/>
      <c r="L21" s="156" t="s">
        <v>4</v>
      </c>
      <c r="M21" s="156" t="s">
        <v>30</v>
      </c>
    </row>
    <row r="22" spans="1:14" ht="15.75" x14ac:dyDescent="0.2">
      <c r="A22" s="14" t="s">
        <v>23</v>
      </c>
      <c r="B22" s="309"/>
      <c r="C22" s="309"/>
      <c r="D22" s="349"/>
      <c r="E22" s="11"/>
      <c r="F22" s="317"/>
      <c r="G22" s="317"/>
      <c r="H22" s="349"/>
      <c r="I22" s="11"/>
      <c r="J22" s="315"/>
      <c r="K22" s="315"/>
      <c r="L22" s="372"/>
      <c r="M22" s="24"/>
    </row>
    <row r="23" spans="1:14" ht="15.75" x14ac:dyDescent="0.2">
      <c r="A23" s="753" t="s">
        <v>454</v>
      </c>
      <c r="B23" s="280"/>
      <c r="C23" s="280"/>
      <c r="D23" s="166"/>
      <c r="E23" s="11"/>
      <c r="F23" s="289"/>
      <c r="G23" s="289"/>
      <c r="H23" s="166"/>
      <c r="I23" s="365"/>
      <c r="J23" s="289"/>
      <c r="K23" s="289"/>
      <c r="L23" s="166"/>
      <c r="M23" s="23"/>
    </row>
    <row r="24" spans="1:14" ht="15.75" x14ac:dyDescent="0.2">
      <c r="A24" s="753" t="s">
        <v>455</v>
      </c>
      <c r="B24" s="280"/>
      <c r="C24" s="280"/>
      <c r="D24" s="166"/>
      <c r="E24" s="11"/>
      <c r="F24" s="289"/>
      <c r="G24" s="289"/>
      <c r="H24" s="166"/>
      <c r="I24" s="365"/>
      <c r="J24" s="289"/>
      <c r="K24" s="289"/>
      <c r="L24" s="166"/>
      <c r="M24" s="23"/>
    </row>
    <row r="25" spans="1:14" ht="15.75" x14ac:dyDescent="0.2">
      <c r="A25" s="753" t="s">
        <v>456</v>
      </c>
      <c r="B25" s="280"/>
      <c r="C25" s="280"/>
      <c r="D25" s="166"/>
      <c r="E25" s="11"/>
      <c r="F25" s="289"/>
      <c r="G25" s="289"/>
      <c r="H25" s="166"/>
      <c r="I25" s="365"/>
      <c r="J25" s="289"/>
      <c r="K25" s="289"/>
      <c r="L25" s="166"/>
      <c r="M25" s="23"/>
    </row>
    <row r="26" spans="1:14" ht="15.75" x14ac:dyDescent="0.2">
      <c r="A26" s="753" t="s">
        <v>457</v>
      </c>
      <c r="B26" s="280"/>
      <c r="C26" s="280"/>
      <c r="D26" s="166"/>
      <c r="E26" s="11"/>
      <c r="F26" s="289"/>
      <c r="G26" s="289"/>
      <c r="H26" s="166"/>
      <c r="I26" s="365"/>
      <c r="J26" s="289"/>
      <c r="K26" s="289"/>
      <c r="L26" s="166"/>
      <c r="M26" s="23"/>
    </row>
    <row r="27" spans="1:14" x14ac:dyDescent="0.2">
      <c r="A27" s="753" t="s">
        <v>11</v>
      </c>
      <c r="B27" s="280"/>
      <c r="C27" s="280"/>
      <c r="D27" s="166"/>
      <c r="E27" s="11"/>
      <c r="F27" s="289"/>
      <c r="G27" s="289"/>
      <c r="H27" s="166"/>
      <c r="I27" s="365"/>
      <c r="J27" s="289"/>
      <c r="K27" s="289"/>
      <c r="L27" s="166"/>
      <c r="M27" s="23"/>
    </row>
    <row r="28" spans="1:14" ht="15.75" x14ac:dyDescent="0.2">
      <c r="A28" s="49" t="s">
        <v>279</v>
      </c>
      <c r="B28" s="44"/>
      <c r="C28" s="286"/>
      <c r="D28" s="166"/>
      <c r="E28" s="11"/>
      <c r="F28" s="234"/>
      <c r="G28" s="286"/>
      <c r="H28" s="166"/>
      <c r="I28" s="27"/>
      <c r="J28" s="44"/>
      <c r="K28" s="44"/>
      <c r="L28" s="254"/>
      <c r="M28" s="23"/>
    </row>
    <row r="29" spans="1:14" s="3" customFormat="1" ht="15.75" x14ac:dyDescent="0.2">
      <c r="A29" s="13" t="s">
        <v>451</v>
      </c>
      <c r="B29" s="236"/>
      <c r="C29" s="236"/>
      <c r="D29" s="171"/>
      <c r="E29" s="11"/>
      <c r="F29" s="307"/>
      <c r="G29" s="307"/>
      <c r="H29" s="171"/>
      <c r="I29" s="11"/>
      <c r="J29" s="236"/>
      <c r="K29" s="236"/>
      <c r="L29" s="373"/>
      <c r="M29" s="24"/>
      <c r="N29" s="148"/>
    </row>
    <row r="30" spans="1:14" s="3" customFormat="1" ht="15.75" x14ac:dyDescent="0.2">
      <c r="A30" s="753" t="s">
        <v>454</v>
      </c>
      <c r="B30" s="280"/>
      <c r="C30" s="280"/>
      <c r="D30" s="166"/>
      <c r="E30" s="11"/>
      <c r="F30" s="289"/>
      <c r="G30" s="289"/>
      <c r="H30" s="166"/>
      <c r="I30" s="365"/>
      <c r="J30" s="289"/>
      <c r="K30" s="289"/>
      <c r="L30" s="166"/>
      <c r="M30" s="23"/>
      <c r="N30" s="148"/>
    </row>
    <row r="31" spans="1:14" s="3" customFormat="1" ht="15.75" x14ac:dyDescent="0.2">
      <c r="A31" s="753" t="s">
        <v>455</v>
      </c>
      <c r="B31" s="280"/>
      <c r="C31" s="280"/>
      <c r="D31" s="166"/>
      <c r="E31" s="11"/>
      <c r="F31" s="289"/>
      <c r="G31" s="289"/>
      <c r="H31" s="166"/>
      <c r="I31" s="365"/>
      <c r="J31" s="289"/>
      <c r="K31" s="289"/>
      <c r="L31" s="166"/>
      <c r="M31" s="23"/>
      <c r="N31" s="148"/>
    </row>
    <row r="32" spans="1:14" ht="15.75" x14ac:dyDescent="0.2">
      <c r="A32" s="753" t="s">
        <v>456</v>
      </c>
      <c r="B32" s="280"/>
      <c r="C32" s="280"/>
      <c r="D32" s="166"/>
      <c r="E32" s="11"/>
      <c r="F32" s="289"/>
      <c r="G32" s="289"/>
      <c r="H32" s="166"/>
      <c r="I32" s="365"/>
      <c r="J32" s="289"/>
      <c r="K32" s="289"/>
      <c r="L32" s="166"/>
      <c r="M32" s="23"/>
    </row>
    <row r="33" spans="1:14" ht="15.75" x14ac:dyDescent="0.2">
      <c r="A33" s="753" t="s">
        <v>457</v>
      </c>
      <c r="B33" s="280"/>
      <c r="C33" s="280"/>
      <c r="D33" s="166"/>
      <c r="E33" s="11"/>
      <c r="F33" s="289"/>
      <c r="G33" s="289"/>
      <c r="H33" s="166"/>
      <c r="I33" s="365"/>
      <c r="J33" s="289"/>
      <c r="K33" s="289"/>
      <c r="L33" s="166"/>
      <c r="M33" s="23"/>
    </row>
    <row r="34" spans="1:14" ht="15.75" x14ac:dyDescent="0.2">
      <c r="A34" s="13" t="s">
        <v>452</v>
      </c>
      <c r="B34" s="236"/>
      <c r="C34" s="308"/>
      <c r="D34" s="171"/>
      <c r="E34" s="11"/>
      <c r="F34" s="307"/>
      <c r="G34" s="308"/>
      <c r="H34" s="171"/>
      <c r="I34" s="11"/>
      <c r="J34" s="236"/>
      <c r="K34" s="236"/>
      <c r="L34" s="373"/>
      <c r="M34" s="24"/>
    </row>
    <row r="35" spans="1:14" ht="15.75" x14ac:dyDescent="0.2">
      <c r="A35" s="13" t="s">
        <v>453</v>
      </c>
      <c r="B35" s="236"/>
      <c r="C35" s="308"/>
      <c r="D35" s="171"/>
      <c r="E35" s="11"/>
      <c r="F35" s="307"/>
      <c r="G35" s="308"/>
      <c r="H35" s="171"/>
      <c r="I35" s="11"/>
      <c r="J35" s="236"/>
      <c r="K35" s="236"/>
      <c r="L35" s="373"/>
      <c r="M35" s="24"/>
    </row>
    <row r="36" spans="1:14" ht="15.75" x14ac:dyDescent="0.2">
      <c r="A36" s="12" t="s">
        <v>287</v>
      </c>
      <c r="B36" s="236"/>
      <c r="C36" s="308"/>
      <c r="D36" s="171"/>
      <c r="E36" s="11"/>
      <c r="F36" s="318"/>
      <c r="G36" s="319"/>
      <c r="H36" s="171"/>
      <c r="I36" s="379"/>
      <c r="J36" s="236"/>
      <c r="K36" s="236"/>
      <c r="L36" s="373"/>
      <c r="M36" s="24"/>
    </row>
    <row r="37" spans="1:14" ht="15.75" x14ac:dyDescent="0.2">
      <c r="A37" s="12" t="s">
        <v>459</v>
      </c>
      <c r="B37" s="236"/>
      <c r="C37" s="308"/>
      <c r="D37" s="171"/>
      <c r="E37" s="11"/>
      <c r="F37" s="318"/>
      <c r="G37" s="320"/>
      <c r="H37" s="171"/>
      <c r="I37" s="379"/>
      <c r="J37" s="236"/>
      <c r="K37" s="236"/>
      <c r="L37" s="373"/>
      <c r="M37" s="24"/>
    </row>
    <row r="38" spans="1:14" ht="15.75" x14ac:dyDescent="0.2">
      <c r="A38" s="12" t="s">
        <v>460</v>
      </c>
      <c r="B38" s="236"/>
      <c r="C38" s="308"/>
      <c r="D38" s="377"/>
      <c r="E38" s="24"/>
      <c r="F38" s="318"/>
      <c r="G38" s="319"/>
      <c r="H38" s="171"/>
      <c r="I38" s="379"/>
      <c r="J38" s="236"/>
      <c r="K38" s="236"/>
      <c r="L38" s="373"/>
      <c r="M38" s="24"/>
    </row>
    <row r="39" spans="1:14" ht="15.75" x14ac:dyDescent="0.2">
      <c r="A39" s="18" t="s">
        <v>461</v>
      </c>
      <c r="B39" s="275"/>
      <c r="C39" s="314"/>
      <c r="D39" s="378"/>
      <c r="E39" s="36"/>
      <c r="F39" s="321"/>
      <c r="G39" s="322"/>
      <c r="H39" s="169"/>
      <c r="I39" s="36"/>
      <c r="J39" s="236"/>
      <c r="K39" s="236"/>
      <c r="L39" s="374"/>
      <c r="M39" s="36"/>
    </row>
    <row r="40" spans="1:14" ht="15.75" x14ac:dyDescent="0.25">
      <c r="A40" s="47"/>
      <c r="B40" s="253"/>
      <c r="C40" s="253"/>
      <c r="D40" s="976"/>
      <c r="E40" s="977"/>
      <c r="F40" s="976"/>
      <c r="G40" s="976"/>
      <c r="H40" s="976"/>
      <c r="I40" s="976"/>
      <c r="J40" s="976"/>
      <c r="K40" s="976"/>
      <c r="L40" s="976"/>
      <c r="M40" s="301"/>
    </row>
    <row r="41" spans="1:14" x14ac:dyDescent="0.2">
      <c r="A41" s="155"/>
    </row>
    <row r="42" spans="1:14" ht="15.75" x14ac:dyDescent="0.25">
      <c r="A42" s="147" t="s">
        <v>276</v>
      </c>
      <c r="B42" s="972"/>
      <c r="C42" s="972"/>
      <c r="D42" s="972"/>
      <c r="E42" s="298"/>
      <c r="F42" s="977"/>
      <c r="G42" s="977"/>
      <c r="H42" s="977"/>
      <c r="I42" s="301"/>
      <c r="J42" s="977"/>
      <c r="K42" s="977"/>
      <c r="L42" s="977"/>
      <c r="M42" s="301"/>
    </row>
    <row r="43" spans="1:14" ht="15.75" x14ac:dyDescent="0.25">
      <c r="A43" s="163"/>
      <c r="B43" s="302"/>
      <c r="C43" s="302"/>
      <c r="D43" s="302"/>
      <c r="E43" s="302"/>
      <c r="F43" s="301"/>
      <c r="G43" s="301"/>
      <c r="H43" s="301"/>
      <c r="I43" s="301"/>
      <c r="J43" s="301"/>
      <c r="K43" s="301"/>
      <c r="L43" s="301"/>
      <c r="M43" s="301"/>
    </row>
    <row r="44" spans="1:14" ht="15.75" x14ac:dyDescent="0.25">
      <c r="A44" s="247"/>
      <c r="B44" s="973" t="s">
        <v>0</v>
      </c>
      <c r="C44" s="974"/>
      <c r="D44" s="974"/>
      <c r="E44" s="243"/>
      <c r="F44" s="301"/>
      <c r="G44" s="301"/>
      <c r="H44" s="301"/>
      <c r="I44" s="301"/>
      <c r="J44" s="301"/>
      <c r="K44" s="301"/>
      <c r="L44" s="301"/>
      <c r="M44" s="301"/>
    </row>
    <row r="45" spans="1:14" s="3" customFormat="1" x14ac:dyDescent="0.2">
      <c r="A45" s="140"/>
      <c r="B45" s="152" t="s">
        <v>492</v>
      </c>
      <c r="C45" s="152" t="s">
        <v>493</v>
      </c>
      <c r="D45" s="162" t="s">
        <v>3</v>
      </c>
      <c r="E45" s="162" t="s">
        <v>29</v>
      </c>
      <c r="F45" s="174"/>
      <c r="G45" s="174"/>
      <c r="H45" s="173"/>
      <c r="I45" s="173"/>
      <c r="J45" s="174"/>
      <c r="K45" s="174"/>
      <c r="L45" s="173"/>
      <c r="M45" s="173"/>
      <c r="N45" s="148"/>
    </row>
    <row r="46" spans="1:14" s="3" customFormat="1" x14ac:dyDescent="0.2">
      <c r="A46" s="947"/>
      <c r="B46" s="244"/>
      <c r="C46" s="244"/>
      <c r="D46" s="245" t="s">
        <v>4</v>
      </c>
      <c r="E46" s="156" t="s">
        <v>30</v>
      </c>
      <c r="F46" s="173"/>
      <c r="G46" s="173"/>
      <c r="H46" s="173"/>
      <c r="I46" s="173"/>
      <c r="J46" s="173"/>
      <c r="K46" s="173"/>
      <c r="L46" s="173"/>
      <c r="M46" s="173"/>
      <c r="N46" s="148"/>
    </row>
    <row r="47" spans="1:14" s="3" customFormat="1" ht="15.75" x14ac:dyDescent="0.2">
      <c r="A47" s="14" t="s">
        <v>23</v>
      </c>
      <c r="B47" s="309">
        <v>525057.89627999999</v>
      </c>
      <c r="C47" s="310">
        <v>601419.67099999997</v>
      </c>
      <c r="D47" s="372">
        <f t="shared" ref="D47:D58" si="0">IF(B47=0, "    ---- ", IF(ABS(ROUND(100/B47*C47-100,1))&lt;999,ROUND(100/B47*C47-100,1),IF(ROUND(100/B47*C47-100,1)&gt;999,999,-999)))</f>
        <v>14.5</v>
      </c>
      <c r="E47" s="11">
        <f>IFERROR(100/'Skjema total MA'!C47*C47,0)</f>
        <v>13.895879451050972</v>
      </c>
      <c r="F47" s="145"/>
      <c r="G47" s="33"/>
      <c r="H47" s="159"/>
      <c r="I47" s="159"/>
      <c r="J47" s="37"/>
      <c r="K47" s="37"/>
      <c r="L47" s="159"/>
      <c r="M47" s="159"/>
      <c r="N47" s="148"/>
    </row>
    <row r="48" spans="1:14" s="3" customFormat="1" ht="15.75" x14ac:dyDescent="0.2">
      <c r="A48" s="38" t="s">
        <v>462</v>
      </c>
      <c r="B48" s="280">
        <v>234597.74183000001</v>
      </c>
      <c r="C48" s="281">
        <v>213960.06299999999</v>
      </c>
      <c r="D48" s="254">
        <f t="shared" si="0"/>
        <v>-8.8000000000000007</v>
      </c>
      <c r="E48" s="27">
        <f>IFERROR(100/'Skjema total MA'!C48*C48,0)</f>
        <v>8.9171037923044629</v>
      </c>
      <c r="F48" s="145"/>
      <c r="G48" s="33"/>
      <c r="H48" s="145"/>
      <c r="I48" s="145"/>
      <c r="J48" s="33"/>
      <c r="K48" s="33"/>
      <c r="L48" s="159"/>
      <c r="M48" s="159"/>
      <c r="N48" s="148"/>
    </row>
    <row r="49" spans="1:14" s="3" customFormat="1" ht="15.75" x14ac:dyDescent="0.2">
      <c r="A49" s="38" t="s">
        <v>463</v>
      </c>
      <c r="B49" s="44">
        <v>290460.15444999997</v>
      </c>
      <c r="C49" s="286">
        <v>387459.60800000001</v>
      </c>
      <c r="D49" s="254">
        <f>IF(B49=0, "    ---- ", IF(ABS(ROUND(100/B49*C49-100,1))&lt;999,ROUND(100/B49*C49-100,1),IF(ROUND(100/B49*C49-100,1)&gt;999,999,-999)))</f>
        <v>33.4</v>
      </c>
      <c r="E49" s="27">
        <f>IFERROR(100/'Skjema total MA'!C49*C49,0)</f>
        <v>20.090109322915481</v>
      </c>
      <c r="F49" s="145"/>
      <c r="G49" s="33"/>
      <c r="H49" s="145"/>
      <c r="I49" s="145"/>
      <c r="J49" s="37"/>
      <c r="K49" s="37"/>
      <c r="L49" s="159"/>
      <c r="M49" s="159"/>
      <c r="N49" s="148"/>
    </row>
    <row r="50" spans="1:14" s="3" customFormat="1" x14ac:dyDescent="0.2">
      <c r="A50" s="295" t="s">
        <v>6</v>
      </c>
      <c r="B50" s="289"/>
      <c r="C50" s="290"/>
      <c r="D50" s="254"/>
      <c r="E50" s="23"/>
      <c r="F50" s="145"/>
      <c r="G50" s="33"/>
      <c r="H50" s="145"/>
      <c r="I50" s="145"/>
      <c r="J50" s="33"/>
      <c r="K50" s="33"/>
      <c r="L50" s="159"/>
      <c r="M50" s="159"/>
      <c r="N50" s="148"/>
    </row>
    <row r="51" spans="1:14" s="3" customFormat="1" x14ac:dyDescent="0.2">
      <c r="A51" s="295" t="s">
        <v>7</v>
      </c>
      <c r="B51" s="289">
        <v>277598.59444999998</v>
      </c>
      <c r="C51" s="290">
        <v>374952.07</v>
      </c>
      <c r="D51" s="254">
        <f>IF(B51=0, "    ---- ", IF(ABS(ROUND(100/B51*C51-100,1))&lt;999,ROUND(100/B51*C51-100,1),IF(ROUND(100/B51*C51-100,1)&gt;999,999,-999)))</f>
        <v>35.1</v>
      </c>
      <c r="E51" s="27">
        <f>IFERROR(100/'Skjema total MA'!C51*C51,0)</f>
        <v>22.533334125951029</v>
      </c>
      <c r="F51" s="145"/>
      <c r="G51" s="33"/>
      <c r="H51" s="145"/>
      <c r="I51" s="145"/>
      <c r="J51" s="33"/>
      <c r="K51" s="33"/>
      <c r="L51" s="159"/>
      <c r="M51" s="159"/>
      <c r="N51" s="148"/>
    </row>
    <row r="52" spans="1:14" s="3" customFormat="1" x14ac:dyDescent="0.2">
      <c r="A52" s="295" t="s">
        <v>8</v>
      </c>
      <c r="B52" s="289">
        <v>12861.56</v>
      </c>
      <c r="C52" s="290">
        <v>12507.538</v>
      </c>
      <c r="D52" s="254">
        <f>IF(B52=0, "    ---- ", IF(ABS(ROUND(100/B52*C52-100,1))&lt;999,ROUND(100/B52*C52-100,1),IF(ROUND(100/B52*C52-100,1)&gt;999,999,-999)))</f>
        <v>-2.8</v>
      </c>
      <c r="E52" s="27">
        <f>IFERROR(100/'Skjema total MA'!C52*C52,0)</f>
        <v>4.7607109150100202</v>
      </c>
      <c r="F52" s="145"/>
      <c r="G52" s="33"/>
      <c r="H52" s="145"/>
      <c r="I52" s="145"/>
      <c r="J52" s="33"/>
      <c r="K52" s="33"/>
      <c r="L52" s="159"/>
      <c r="M52" s="159"/>
      <c r="N52" s="148"/>
    </row>
    <row r="53" spans="1:14" s="3" customFormat="1" ht="15.75" x14ac:dyDescent="0.2">
      <c r="A53" s="39" t="s">
        <v>464</v>
      </c>
      <c r="B53" s="309">
        <v>17578.150000000001</v>
      </c>
      <c r="C53" s="310">
        <v>100435.719</v>
      </c>
      <c r="D53" s="373">
        <f t="shared" si="0"/>
        <v>471.4</v>
      </c>
      <c r="E53" s="11">
        <f>IFERROR(100/'Skjema total MA'!C53*C53,0)</f>
        <v>43.042660849231382</v>
      </c>
      <c r="F53" s="145"/>
      <c r="G53" s="33"/>
      <c r="H53" s="145"/>
      <c r="I53" s="145"/>
      <c r="J53" s="33"/>
      <c r="K53" s="33"/>
      <c r="L53" s="159"/>
      <c r="M53" s="159"/>
      <c r="N53" s="148"/>
    </row>
    <row r="54" spans="1:14" s="3" customFormat="1" ht="15.75" x14ac:dyDescent="0.2">
      <c r="A54" s="38" t="s">
        <v>462</v>
      </c>
      <c r="B54" s="280">
        <v>17578.150000000001</v>
      </c>
      <c r="C54" s="281">
        <v>5875.232</v>
      </c>
      <c r="D54" s="254">
        <f t="shared" si="0"/>
        <v>-66.599999999999994</v>
      </c>
      <c r="E54" s="27">
        <f>IFERROR(100/'Skjema total MA'!C54*C54,0)</f>
        <v>4.2335027794064013</v>
      </c>
      <c r="F54" s="145"/>
      <c r="G54" s="33"/>
      <c r="H54" s="145"/>
      <c r="I54" s="145"/>
      <c r="J54" s="33"/>
      <c r="K54" s="33"/>
      <c r="L54" s="159"/>
      <c r="M54" s="159"/>
      <c r="N54" s="148"/>
    </row>
    <row r="55" spans="1:14" s="3" customFormat="1" ht="15.75" x14ac:dyDescent="0.2">
      <c r="A55" s="38" t="s">
        <v>463</v>
      </c>
      <c r="B55" s="280">
        <v>0</v>
      </c>
      <c r="C55" s="281">
        <v>94560.486999999994</v>
      </c>
      <c r="D55" s="254" t="str">
        <f t="shared" si="0"/>
        <v xml:space="preserve">    ---- </v>
      </c>
      <c r="E55" s="27">
        <f>IFERROR(100/'Skjema total MA'!C55*C55,0)</f>
        <v>100</v>
      </c>
      <c r="F55" s="145"/>
      <c r="G55" s="33"/>
      <c r="H55" s="145"/>
      <c r="I55" s="145"/>
      <c r="J55" s="33"/>
      <c r="K55" s="33"/>
      <c r="L55" s="159"/>
      <c r="M55" s="159"/>
      <c r="N55" s="148"/>
    </row>
    <row r="56" spans="1:14" s="3" customFormat="1" ht="15.75" x14ac:dyDescent="0.2">
      <c r="A56" s="39" t="s">
        <v>465</v>
      </c>
      <c r="B56" s="309">
        <v>33276.557999999997</v>
      </c>
      <c r="C56" s="310">
        <v>47481.269</v>
      </c>
      <c r="D56" s="373">
        <f t="shared" si="0"/>
        <v>42.7</v>
      </c>
      <c r="E56" s="11">
        <f>IFERROR(100/'Skjema total MA'!C56*C56,0)</f>
        <v>25.52853406278901</v>
      </c>
      <c r="F56" s="145"/>
      <c r="G56" s="33"/>
      <c r="H56" s="145"/>
      <c r="I56" s="145"/>
      <c r="J56" s="33"/>
      <c r="K56" s="33"/>
      <c r="L56" s="159"/>
      <c r="M56" s="159"/>
      <c r="N56" s="148"/>
    </row>
    <row r="57" spans="1:14" s="3" customFormat="1" ht="15.75" x14ac:dyDescent="0.2">
      <c r="A57" s="38" t="s">
        <v>462</v>
      </c>
      <c r="B57" s="280">
        <v>33276.557999999997</v>
      </c>
      <c r="C57" s="281">
        <v>47463.78</v>
      </c>
      <c r="D57" s="254">
        <f t="shared" si="0"/>
        <v>42.6</v>
      </c>
      <c r="E57" s="27">
        <f>IFERROR(100/'Skjema total MA'!C57*C57,0)</f>
        <v>39.755395636451539</v>
      </c>
      <c r="F57" s="145"/>
      <c r="G57" s="33"/>
      <c r="H57" s="145"/>
      <c r="I57" s="145"/>
      <c r="J57" s="33"/>
      <c r="K57" s="33"/>
      <c r="L57" s="159"/>
      <c r="M57" s="159"/>
      <c r="N57" s="148"/>
    </row>
    <row r="58" spans="1:14" s="3" customFormat="1" ht="15.75" x14ac:dyDescent="0.2">
      <c r="A58" s="46" t="s">
        <v>463</v>
      </c>
      <c r="B58" s="282">
        <v>0</v>
      </c>
      <c r="C58" s="283">
        <v>17.489000000000001</v>
      </c>
      <c r="D58" s="255" t="str">
        <f t="shared" si="0"/>
        <v xml:space="preserve">    ---- </v>
      </c>
      <c r="E58" s="22">
        <f>IFERROR(100/'Skjema total MA'!C58*C58,0)</f>
        <v>2.6258418451357787E-2</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975"/>
      <c r="C62" s="975"/>
      <c r="D62" s="975"/>
      <c r="E62" s="298"/>
      <c r="F62" s="975"/>
      <c r="G62" s="975"/>
      <c r="H62" s="975"/>
      <c r="I62" s="298"/>
      <c r="J62" s="975"/>
      <c r="K62" s="975"/>
      <c r="L62" s="975"/>
      <c r="M62" s="298"/>
    </row>
    <row r="63" spans="1:14" x14ac:dyDescent="0.2">
      <c r="A63" s="144"/>
      <c r="B63" s="973" t="s">
        <v>0</v>
      </c>
      <c r="C63" s="974"/>
      <c r="D63" s="978"/>
      <c r="E63" s="299"/>
      <c r="F63" s="974" t="s">
        <v>1</v>
      </c>
      <c r="G63" s="974"/>
      <c r="H63" s="974"/>
      <c r="I63" s="303"/>
      <c r="J63" s="973" t="s">
        <v>2</v>
      </c>
      <c r="K63" s="974"/>
      <c r="L63" s="974"/>
      <c r="M63" s="303"/>
    </row>
    <row r="64" spans="1:14" x14ac:dyDescent="0.2">
      <c r="A64" s="140"/>
      <c r="B64" s="152" t="s">
        <v>492</v>
      </c>
      <c r="C64" s="152" t="s">
        <v>493</v>
      </c>
      <c r="D64" s="245" t="s">
        <v>3</v>
      </c>
      <c r="E64" s="304" t="s">
        <v>29</v>
      </c>
      <c r="F64" s="152" t="s">
        <v>492</v>
      </c>
      <c r="G64" s="152" t="s">
        <v>493</v>
      </c>
      <c r="H64" s="245" t="s">
        <v>3</v>
      </c>
      <c r="I64" s="304" t="s">
        <v>29</v>
      </c>
      <c r="J64" s="152" t="s">
        <v>492</v>
      </c>
      <c r="K64" s="152" t="s">
        <v>493</v>
      </c>
      <c r="L64" s="245" t="s">
        <v>3</v>
      </c>
      <c r="M64" s="162" t="s">
        <v>29</v>
      </c>
    </row>
    <row r="65" spans="1:14" x14ac:dyDescent="0.2">
      <c r="A65" s="947"/>
      <c r="B65" s="156"/>
      <c r="C65" s="156"/>
      <c r="D65" s="246" t="s">
        <v>4</v>
      </c>
      <c r="E65" s="156" t="s">
        <v>30</v>
      </c>
      <c r="F65" s="161"/>
      <c r="G65" s="161"/>
      <c r="H65" s="245" t="s">
        <v>4</v>
      </c>
      <c r="I65" s="156" t="s">
        <v>30</v>
      </c>
      <c r="J65" s="161"/>
      <c r="K65" s="206"/>
      <c r="L65" s="156" t="s">
        <v>4</v>
      </c>
      <c r="M65" s="156" t="s">
        <v>30</v>
      </c>
    </row>
    <row r="66" spans="1:14" ht="15.75" x14ac:dyDescent="0.2">
      <c r="A66" s="14" t="s">
        <v>23</v>
      </c>
      <c r="B66" s="352"/>
      <c r="C66" s="352"/>
      <c r="D66" s="349"/>
      <c r="E66" s="11"/>
      <c r="F66" s="351"/>
      <c r="G66" s="351"/>
      <c r="H66" s="349"/>
      <c r="I66" s="11"/>
      <c r="J66" s="308"/>
      <c r="K66" s="315"/>
      <c r="L66" s="373"/>
      <c r="M66" s="11"/>
    </row>
    <row r="67" spans="1:14" x14ac:dyDescent="0.2">
      <c r="A67" s="367" t="s">
        <v>9</v>
      </c>
      <c r="B67" s="44"/>
      <c r="C67" s="145"/>
      <c r="D67" s="166"/>
      <c r="E67" s="27"/>
      <c r="F67" s="234"/>
      <c r="G67" s="145"/>
      <c r="H67" s="166"/>
      <c r="I67" s="27"/>
      <c r="J67" s="286"/>
      <c r="K67" s="44"/>
      <c r="L67" s="254"/>
      <c r="M67" s="27"/>
    </row>
    <row r="68" spans="1:14" x14ac:dyDescent="0.2">
      <c r="A68" s="21" t="s">
        <v>10</v>
      </c>
      <c r="B68" s="291"/>
      <c r="C68" s="292"/>
      <c r="D68" s="166"/>
      <c r="E68" s="27"/>
      <c r="F68" s="291"/>
      <c r="G68" s="292"/>
      <c r="H68" s="166"/>
      <c r="I68" s="27"/>
      <c r="J68" s="286"/>
      <c r="K68" s="44"/>
      <c r="L68" s="254"/>
      <c r="M68" s="27"/>
    </row>
    <row r="69" spans="1:14" ht="15.75" x14ac:dyDescent="0.2">
      <c r="A69" s="295" t="s">
        <v>466</v>
      </c>
      <c r="B69" s="280"/>
      <c r="C69" s="280"/>
      <c r="D69" s="166"/>
      <c r="E69" s="365"/>
      <c r="F69" s="280"/>
      <c r="G69" s="280"/>
      <c r="H69" s="166"/>
      <c r="I69" s="365"/>
      <c r="J69" s="289"/>
      <c r="K69" s="289"/>
      <c r="L69" s="166"/>
      <c r="M69" s="23"/>
    </row>
    <row r="70" spans="1:14" x14ac:dyDescent="0.2">
      <c r="A70" s="295" t="s">
        <v>12</v>
      </c>
      <c r="B70" s="293"/>
      <c r="C70" s="294"/>
      <c r="D70" s="166"/>
      <c r="E70" s="365"/>
      <c r="F70" s="280"/>
      <c r="G70" s="280"/>
      <c r="H70" s="166"/>
      <c r="I70" s="365"/>
      <c r="J70" s="289"/>
      <c r="K70" s="289"/>
      <c r="L70" s="166"/>
      <c r="M70" s="23"/>
    </row>
    <row r="71" spans="1:14" x14ac:dyDescent="0.2">
      <c r="A71" s="295" t="s">
        <v>13</v>
      </c>
      <c r="B71" s="235"/>
      <c r="C71" s="288"/>
      <c r="D71" s="166"/>
      <c r="E71" s="365"/>
      <c r="F71" s="280"/>
      <c r="G71" s="280"/>
      <c r="H71" s="166"/>
      <c r="I71" s="365"/>
      <c r="J71" s="289"/>
      <c r="K71" s="289"/>
      <c r="L71" s="166"/>
      <c r="M71" s="23"/>
    </row>
    <row r="72" spans="1:14" ht="15.75" x14ac:dyDescent="0.2">
      <c r="A72" s="295" t="s">
        <v>467</v>
      </c>
      <c r="B72" s="280"/>
      <c r="C72" s="280"/>
      <c r="D72" s="166"/>
      <c r="E72" s="365"/>
      <c r="F72" s="280"/>
      <c r="G72" s="280"/>
      <c r="H72" s="166"/>
      <c r="I72" s="365"/>
      <c r="J72" s="289"/>
      <c r="K72" s="289"/>
      <c r="L72" s="166"/>
      <c r="M72" s="23"/>
    </row>
    <row r="73" spans="1:14" x14ac:dyDescent="0.2">
      <c r="A73" s="295" t="s">
        <v>12</v>
      </c>
      <c r="B73" s="235"/>
      <c r="C73" s="288"/>
      <c r="D73" s="166"/>
      <c r="E73" s="365"/>
      <c r="F73" s="280"/>
      <c r="G73" s="280"/>
      <c r="H73" s="166"/>
      <c r="I73" s="365"/>
      <c r="J73" s="289"/>
      <c r="K73" s="289"/>
      <c r="L73" s="166"/>
      <c r="M73" s="23"/>
    </row>
    <row r="74" spans="1:14" s="3" customFormat="1" x14ac:dyDescent="0.2">
      <c r="A74" s="295" t="s">
        <v>13</v>
      </c>
      <c r="B74" s="235"/>
      <c r="C74" s="288"/>
      <c r="D74" s="166"/>
      <c r="E74" s="365"/>
      <c r="F74" s="280"/>
      <c r="G74" s="280"/>
      <c r="H74" s="166"/>
      <c r="I74" s="365"/>
      <c r="J74" s="289"/>
      <c r="K74" s="289"/>
      <c r="L74" s="166"/>
      <c r="M74" s="23"/>
      <c r="N74" s="148"/>
    </row>
    <row r="75" spans="1:14" s="3" customFormat="1" x14ac:dyDescent="0.2">
      <c r="A75" s="21" t="s">
        <v>353</v>
      </c>
      <c r="B75" s="234"/>
      <c r="C75" s="145"/>
      <c r="D75" s="166"/>
      <c r="E75" s="27"/>
      <c r="F75" s="234"/>
      <c r="G75" s="145"/>
      <c r="H75" s="166"/>
      <c r="I75" s="27"/>
      <c r="J75" s="286"/>
      <c r="K75" s="44"/>
      <c r="L75" s="254"/>
      <c r="M75" s="27"/>
      <c r="N75" s="148"/>
    </row>
    <row r="76" spans="1:14" s="3" customFormat="1" x14ac:dyDescent="0.2">
      <c r="A76" s="21" t="s">
        <v>352</v>
      </c>
      <c r="B76" s="234"/>
      <c r="C76" s="145"/>
      <c r="D76" s="166"/>
      <c r="E76" s="27"/>
      <c r="F76" s="234"/>
      <c r="G76" s="145"/>
      <c r="H76" s="166"/>
      <c r="I76" s="27"/>
      <c r="J76" s="286"/>
      <c r="K76" s="44"/>
      <c r="L76" s="254"/>
      <c r="M76" s="27"/>
      <c r="N76" s="148"/>
    </row>
    <row r="77" spans="1:14" ht="15.75" x14ac:dyDescent="0.2">
      <c r="A77" s="21" t="s">
        <v>468</v>
      </c>
      <c r="B77" s="234"/>
      <c r="C77" s="234"/>
      <c r="D77" s="166"/>
      <c r="E77" s="27"/>
      <c r="F77" s="234"/>
      <c r="G77" s="145"/>
      <c r="H77" s="166"/>
      <c r="I77" s="27"/>
      <c r="J77" s="286"/>
      <c r="K77" s="44"/>
      <c r="L77" s="254"/>
      <c r="M77" s="27"/>
    </row>
    <row r="78" spans="1:14" x14ac:dyDescent="0.2">
      <c r="A78" s="21" t="s">
        <v>9</v>
      </c>
      <c r="B78" s="234"/>
      <c r="C78" s="145"/>
      <c r="D78" s="166"/>
      <c r="E78" s="27"/>
      <c r="F78" s="234"/>
      <c r="G78" s="145"/>
      <c r="H78" s="166"/>
      <c r="I78" s="27"/>
      <c r="J78" s="286"/>
      <c r="K78" s="44"/>
      <c r="L78" s="254"/>
      <c r="M78" s="27"/>
    </row>
    <row r="79" spans="1:14" x14ac:dyDescent="0.2">
      <c r="A79" s="21" t="s">
        <v>10</v>
      </c>
      <c r="B79" s="291"/>
      <c r="C79" s="292"/>
      <c r="D79" s="166"/>
      <c r="E79" s="27"/>
      <c r="F79" s="291"/>
      <c r="G79" s="292"/>
      <c r="H79" s="166"/>
      <c r="I79" s="27"/>
      <c r="J79" s="286"/>
      <c r="K79" s="44"/>
      <c r="L79" s="254"/>
      <c r="M79" s="27"/>
    </row>
    <row r="80" spans="1:14" ht="15.75" x14ac:dyDescent="0.2">
      <c r="A80" s="295" t="s">
        <v>466</v>
      </c>
      <c r="B80" s="280"/>
      <c r="C80" s="280"/>
      <c r="D80" s="166"/>
      <c r="E80" s="365"/>
      <c r="F80" s="280"/>
      <c r="G80" s="280"/>
      <c r="H80" s="166"/>
      <c r="I80" s="365"/>
      <c r="J80" s="289"/>
      <c r="K80" s="289"/>
      <c r="L80" s="166"/>
      <c r="M80" s="23"/>
    </row>
    <row r="81" spans="1:13" x14ac:dyDescent="0.2">
      <c r="A81" s="295" t="s">
        <v>12</v>
      </c>
      <c r="B81" s="235"/>
      <c r="C81" s="288"/>
      <c r="D81" s="166"/>
      <c r="E81" s="365"/>
      <c r="F81" s="280"/>
      <c r="G81" s="280"/>
      <c r="H81" s="166"/>
      <c r="I81" s="365"/>
      <c r="J81" s="289"/>
      <c r="K81" s="289"/>
      <c r="L81" s="166"/>
      <c r="M81" s="23"/>
    </row>
    <row r="82" spans="1:13" x14ac:dyDescent="0.2">
      <c r="A82" s="295" t="s">
        <v>13</v>
      </c>
      <c r="B82" s="235"/>
      <c r="C82" s="288"/>
      <c r="D82" s="166"/>
      <c r="E82" s="365"/>
      <c r="F82" s="280"/>
      <c r="G82" s="280"/>
      <c r="H82" s="166"/>
      <c r="I82" s="365"/>
      <c r="J82" s="289"/>
      <c r="K82" s="289"/>
      <c r="L82" s="166"/>
      <c r="M82" s="23"/>
    </row>
    <row r="83" spans="1:13" ht="15.75" x14ac:dyDescent="0.2">
      <c r="A83" s="295" t="s">
        <v>467</v>
      </c>
      <c r="B83" s="280"/>
      <c r="C83" s="280"/>
      <c r="D83" s="166"/>
      <c r="E83" s="365"/>
      <c r="F83" s="280"/>
      <c r="G83" s="280"/>
      <c r="H83" s="166"/>
      <c r="I83" s="365"/>
      <c r="J83" s="289"/>
      <c r="K83" s="289"/>
      <c r="L83" s="166"/>
      <c r="M83" s="23"/>
    </row>
    <row r="84" spans="1:13" x14ac:dyDescent="0.2">
      <c r="A84" s="295" t="s">
        <v>12</v>
      </c>
      <c r="B84" s="235"/>
      <c r="C84" s="288"/>
      <c r="D84" s="166"/>
      <c r="E84" s="365"/>
      <c r="F84" s="280"/>
      <c r="G84" s="280"/>
      <c r="H84" s="166"/>
      <c r="I84" s="365"/>
      <c r="J84" s="289"/>
      <c r="K84" s="289"/>
      <c r="L84" s="166"/>
      <c r="M84" s="23"/>
    </row>
    <row r="85" spans="1:13" x14ac:dyDescent="0.2">
      <c r="A85" s="295" t="s">
        <v>13</v>
      </c>
      <c r="B85" s="235"/>
      <c r="C85" s="288"/>
      <c r="D85" s="166"/>
      <c r="E85" s="365"/>
      <c r="F85" s="280"/>
      <c r="G85" s="280"/>
      <c r="H85" s="166"/>
      <c r="I85" s="365"/>
      <c r="J85" s="289"/>
      <c r="K85" s="289"/>
      <c r="L85" s="166"/>
      <c r="M85" s="23"/>
    </row>
    <row r="86" spans="1:13" ht="15.75" x14ac:dyDescent="0.2">
      <c r="A86" s="21" t="s">
        <v>469</v>
      </c>
      <c r="B86" s="234"/>
      <c r="C86" s="145"/>
      <c r="D86" s="166"/>
      <c r="E86" s="27"/>
      <c r="F86" s="234"/>
      <c r="G86" s="145"/>
      <c r="H86" s="166"/>
      <c r="I86" s="27"/>
      <c r="J86" s="286"/>
      <c r="K86" s="44"/>
      <c r="L86" s="254"/>
      <c r="M86" s="27"/>
    </row>
    <row r="87" spans="1:13" ht="15.75" x14ac:dyDescent="0.2">
      <c r="A87" s="13" t="s">
        <v>451</v>
      </c>
      <c r="B87" s="352"/>
      <c r="C87" s="352"/>
      <c r="D87" s="171"/>
      <c r="E87" s="11"/>
      <c r="F87" s="351"/>
      <c r="G87" s="351"/>
      <c r="H87" s="171"/>
      <c r="I87" s="11"/>
      <c r="J87" s="308"/>
      <c r="K87" s="236"/>
      <c r="L87" s="373"/>
      <c r="M87" s="11"/>
    </row>
    <row r="88" spans="1:13" x14ac:dyDescent="0.2">
      <c r="A88" s="21" t="s">
        <v>9</v>
      </c>
      <c r="B88" s="234"/>
      <c r="C88" s="145"/>
      <c r="D88" s="166"/>
      <c r="E88" s="27"/>
      <c r="F88" s="234"/>
      <c r="G88" s="145"/>
      <c r="H88" s="166"/>
      <c r="I88" s="27"/>
      <c r="J88" s="286"/>
      <c r="K88" s="44"/>
      <c r="L88" s="254"/>
      <c r="M88" s="27"/>
    </row>
    <row r="89" spans="1:13" x14ac:dyDescent="0.2">
      <c r="A89" s="21" t="s">
        <v>10</v>
      </c>
      <c r="B89" s="234"/>
      <c r="C89" s="145"/>
      <c r="D89" s="166"/>
      <c r="E89" s="27"/>
      <c r="F89" s="234"/>
      <c r="G89" s="145"/>
      <c r="H89" s="166"/>
      <c r="I89" s="27"/>
      <c r="J89" s="286"/>
      <c r="K89" s="44"/>
      <c r="L89" s="254"/>
      <c r="M89" s="27"/>
    </row>
    <row r="90" spans="1:13" ht="15.75" x14ac:dyDescent="0.2">
      <c r="A90" s="295" t="s">
        <v>466</v>
      </c>
      <c r="B90" s="280"/>
      <c r="C90" s="280"/>
      <c r="D90" s="166"/>
      <c r="E90" s="365"/>
      <c r="F90" s="280"/>
      <c r="G90" s="280"/>
      <c r="H90" s="166"/>
      <c r="I90" s="365"/>
      <c r="J90" s="289"/>
      <c r="K90" s="289"/>
      <c r="L90" s="166"/>
      <c r="M90" s="23"/>
    </row>
    <row r="91" spans="1:13" x14ac:dyDescent="0.2">
      <c r="A91" s="295" t="s">
        <v>12</v>
      </c>
      <c r="B91" s="235"/>
      <c r="C91" s="288"/>
      <c r="D91" s="166"/>
      <c r="E91" s="365"/>
      <c r="F91" s="280"/>
      <c r="G91" s="280"/>
      <c r="H91" s="166"/>
      <c r="I91" s="365"/>
      <c r="J91" s="289"/>
      <c r="K91" s="289"/>
      <c r="L91" s="166"/>
      <c r="M91" s="23"/>
    </row>
    <row r="92" spans="1:13" x14ac:dyDescent="0.2">
      <c r="A92" s="295" t="s">
        <v>13</v>
      </c>
      <c r="B92" s="235"/>
      <c r="C92" s="288"/>
      <c r="D92" s="166"/>
      <c r="E92" s="365"/>
      <c r="F92" s="280"/>
      <c r="G92" s="280"/>
      <c r="H92" s="166"/>
      <c r="I92" s="365"/>
      <c r="J92" s="289"/>
      <c r="K92" s="289"/>
      <c r="L92" s="166"/>
      <c r="M92" s="23"/>
    </row>
    <row r="93" spans="1:13" ht="15.75" x14ac:dyDescent="0.2">
      <c r="A93" s="295" t="s">
        <v>467</v>
      </c>
      <c r="B93" s="280"/>
      <c r="C93" s="280"/>
      <c r="D93" s="166"/>
      <c r="E93" s="365"/>
      <c r="F93" s="280"/>
      <c r="G93" s="280"/>
      <c r="H93" s="166"/>
      <c r="I93" s="365"/>
      <c r="J93" s="289"/>
      <c r="K93" s="289"/>
      <c r="L93" s="166"/>
      <c r="M93" s="23"/>
    </row>
    <row r="94" spans="1:13" x14ac:dyDescent="0.2">
      <c r="A94" s="295" t="s">
        <v>12</v>
      </c>
      <c r="B94" s="235"/>
      <c r="C94" s="288"/>
      <c r="D94" s="166"/>
      <c r="E94" s="365"/>
      <c r="F94" s="280"/>
      <c r="G94" s="280"/>
      <c r="H94" s="166"/>
      <c r="I94" s="365"/>
      <c r="J94" s="289"/>
      <c r="K94" s="289"/>
      <c r="L94" s="166"/>
      <c r="M94" s="23"/>
    </row>
    <row r="95" spans="1:13" x14ac:dyDescent="0.2">
      <c r="A95" s="295" t="s">
        <v>13</v>
      </c>
      <c r="B95" s="235"/>
      <c r="C95" s="288"/>
      <c r="D95" s="166"/>
      <c r="E95" s="365"/>
      <c r="F95" s="280"/>
      <c r="G95" s="280"/>
      <c r="H95" s="166"/>
      <c r="I95" s="365"/>
      <c r="J95" s="289"/>
      <c r="K95" s="289"/>
      <c r="L95" s="166"/>
      <c r="M95" s="23"/>
    </row>
    <row r="96" spans="1:13" x14ac:dyDescent="0.2">
      <c r="A96" s="21" t="s">
        <v>351</v>
      </c>
      <c r="B96" s="234"/>
      <c r="C96" s="145"/>
      <c r="D96" s="166"/>
      <c r="E96" s="27"/>
      <c r="F96" s="234"/>
      <c r="G96" s="145"/>
      <c r="H96" s="166"/>
      <c r="I96" s="27"/>
      <c r="J96" s="286"/>
      <c r="K96" s="44"/>
      <c r="L96" s="254"/>
      <c r="M96" s="27"/>
    </row>
    <row r="97" spans="1:13" x14ac:dyDescent="0.2">
      <c r="A97" s="21" t="s">
        <v>350</v>
      </c>
      <c r="B97" s="234"/>
      <c r="C97" s="145"/>
      <c r="D97" s="166"/>
      <c r="E97" s="27"/>
      <c r="F97" s="234"/>
      <c r="G97" s="145"/>
      <c r="H97" s="166"/>
      <c r="I97" s="27"/>
      <c r="J97" s="286"/>
      <c r="K97" s="44"/>
      <c r="L97" s="254"/>
      <c r="M97" s="27"/>
    </row>
    <row r="98" spans="1:13" ht="15.75" x14ac:dyDescent="0.2">
      <c r="A98" s="21" t="s">
        <v>468</v>
      </c>
      <c r="B98" s="234"/>
      <c r="C98" s="234"/>
      <c r="D98" s="166"/>
      <c r="E98" s="27"/>
      <c r="F98" s="291"/>
      <c r="G98" s="291"/>
      <c r="H98" s="166"/>
      <c r="I98" s="27"/>
      <c r="J98" s="286"/>
      <c r="K98" s="44"/>
      <c r="L98" s="254"/>
      <c r="M98" s="27"/>
    </row>
    <row r="99" spans="1:13" x14ac:dyDescent="0.2">
      <c r="A99" s="21" t="s">
        <v>9</v>
      </c>
      <c r="B99" s="291"/>
      <c r="C99" s="292"/>
      <c r="D99" s="166"/>
      <c r="E99" s="27"/>
      <c r="F99" s="234"/>
      <c r="G99" s="145"/>
      <c r="H99" s="166"/>
      <c r="I99" s="27"/>
      <c r="J99" s="286"/>
      <c r="K99" s="44"/>
      <c r="L99" s="254"/>
      <c r="M99" s="27"/>
    </row>
    <row r="100" spans="1:13" x14ac:dyDescent="0.2">
      <c r="A100" s="21" t="s">
        <v>10</v>
      </c>
      <c r="B100" s="291"/>
      <c r="C100" s="292"/>
      <c r="D100" s="166"/>
      <c r="E100" s="27"/>
      <c r="F100" s="234"/>
      <c r="G100" s="234"/>
      <c r="H100" s="166"/>
      <c r="I100" s="27"/>
      <c r="J100" s="286"/>
      <c r="K100" s="44"/>
      <c r="L100" s="254"/>
      <c r="M100" s="27"/>
    </row>
    <row r="101" spans="1:13" ht="15.75" x14ac:dyDescent="0.2">
      <c r="A101" s="295" t="s">
        <v>466</v>
      </c>
      <c r="B101" s="280"/>
      <c r="C101" s="280"/>
      <c r="D101" s="166"/>
      <c r="E101" s="365"/>
      <c r="F101" s="280"/>
      <c r="G101" s="280"/>
      <c r="H101" s="166"/>
      <c r="I101" s="365"/>
      <c r="J101" s="289"/>
      <c r="K101" s="289"/>
      <c r="L101" s="166"/>
      <c r="M101" s="23"/>
    </row>
    <row r="102" spans="1:13" x14ac:dyDescent="0.2">
      <c r="A102" s="295" t="s">
        <v>12</v>
      </c>
      <c r="B102" s="235"/>
      <c r="C102" s="288"/>
      <c r="D102" s="166"/>
      <c r="E102" s="365"/>
      <c r="F102" s="280"/>
      <c r="G102" s="280"/>
      <c r="H102" s="166"/>
      <c r="I102" s="365"/>
      <c r="J102" s="289"/>
      <c r="K102" s="289"/>
      <c r="L102" s="166"/>
      <c r="M102" s="23"/>
    </row>
    <row r="103" spans="1:13" x14ac:dyDescent="0.2">
      <c r="A103" s="295" t="s">
        <v>13</v>
      </c>
      <c r="B103" s="235"/>
      <c r="C103" s="288"/>
      <c r="D103" s="166"/>
      <c r="E103" s="365"/>
      <c r="F103" s="280"/>
      <c r="G103" s="280"/>
      <c r="H103" s="166"/>
      <c r="I103" s="365"/>
      <c r="J103" s="289"/>
      <c r="K103" s="289"/>
      <c r="L103" s="166"/>
      <c r="M103" s="23"/>
    </row>
    <row r="104" spans="1:13" ht="15.75" x14ac:dyDescent="0.2">
      <c r="A104" s="295" t="s">
        <v>467</v>
      </c>
      <c r="B104" s="280"/>
      <c r="C104" s="280"/>
      <c r="D104" s="166"/>
      <c r="E104" s="365"/>
      <c r="F104" s="280"/>
      <c r="G104" s="280"/>
      <c r="H104" s="166"/>
      <c r="I104" s="365"/>
      <c r="J104" s="289"/>
      <c r="K104" s="289"/>
      <c r="L104" s="166"/>
      <c r="M104" s="23"/>
    </row>
    <row r="105" spans="1:13" x14ac:dyDescent="0.2">
      <c r="A105" s="295" t="s">
        <v>12</v>
      </c>
      <c r="B105" s="235"/>
      <c r="C105" s="288"/>
      <c r="D105" s="166"/>
      <c r="E105" s="365"/>
      <c r="F105" s="280"/>
      <c r="G105" s="280"/>
      <c r="H105" s="166"/>
      <c r="I105" s="365"/>
      <c r="J105" s="289"/>
      <c r="K105" s="289"/>
      <c r="L105" s="166"/>
      <c r="M105" s="23"/>
    </row>
    <row r="106" spans="1:13" x14ac:dyDescent="0.2">
      <c r="A106" s="295" t="s">
        <v>13</v>
      </c>
      <c r="B106" s="235"/>
      <c r="C106" s="288"/>
      <c r="D106" s="166"/>
      <c r="E106" s="365"/>
      <c r="F106" s="280"/>
      <c r="G106" s="280"/>
      <c r="H106" s="166"/>
      <c r="I106" s="365"/>
      <c r="J106" s="289"/>
      <c r="K106" s="289"/>
      <c r="L106" s="166"/>
      <c r="M106" s="23"/>
    </row>
    <row r="107" spans="1:13" ht="15.75" x14ac:dyDescent="0.2">
      <c r="A107" s="21" t="s">
        <v>469</v>
      </c>
      <c r="B107" s="234"/>
      <c r="C107" s="145"/>
      <c r="D107" s="166"/>
      <c r="E107" s="27"/>
      <c r="F107" s="234"/>
      <c r="G107" s="145"/>
      <c r="H107" s="166"/>
      <c r="I107" s="27"/>
      <c r="J107" s="286"/>
      <c r="K107" s="44"/>
      <c r="L107" s="254"/>
      <c r="M107" s="27"/>
    </row>
    <row r="108" spans="1:13" ht="15.75" x14ac:dyDescent="0.2">
      <c r="A108" s="21" t="s">
        <v>470</v>
      </c>
      <c r="B108" s="234"/>
      <c r="C108" s="234"/>
      <c r="D108" s="166"/>
      <c r="E108" s="27"/>
      <c r="F108" s="234"/>
      <c r="G108" s="234"/>
      <c r="H108" s="166"/>
      <c r="I108" s="27"/>
      <c r="J108" s="286"/>
      <c r="K108" s="44"/>
      <c r="L108" s="254"/>
      <c r="M108" s="27"/>
    </row>
    <row r="109" spans="1:13" ht="15.75" x14ac:dyDescent="0.2">
      <c r="A109" s="21" t="s">
        <v>471</v>
      </c>
      <c r="B109" s="234"/>
      <c r="C109" s="234"/>
      <c r="D109" s="166"/>
      <c r="E109" s="27"/>
      <c r="F109" s="234"/>
      <c r="G109" s="234"/>
      <c r="H109" s="166"/>
      <c r="I109" s="27"/>
      <c r="J109" s="286"/>
      <c r="K109" s="44"/>
      <c r="L109" s="254"/>
      <c r="M109" s="27"/>
    </row>
    <row r="110" spans="1:13" ht="15.75" x14ac:dyDescent="0.2">
      <c r="A110" s="21" t="s">
        <v>472</v>
      </c>
      <c r="B110" s="234"/>
      <c r="C110" s="234"/>
      <c r="D110" s="166"/>
      <c r="E110" s="27"/>
      <c r="F110" s="234"/>
      <c r="G110" s="234"/>
      <c r="H110" s="166"/>
      <c r="I110" s="27"/>
      <c r="J110" s="286"/>
      <c r="K110" s="44"/>
      <c r="L110" s="254"/>
      <c r="M110" s="27"/>
    </row>
    <row r="111" spans="1:13" ht="15.75" x14ac:dyDescent="0.2">
      <c r="A111" s="13" t="s">
        <v>452</v>
      </c>
      <c r="B111" s="307"/>
      <c r="C111" s="159"/>
      <c r="D111" s="171"/>
      <c r="E111" s="11"/>
      <c r="F111" s="307"/>
      <c r="G111" s="159"/>
      <c r="H111" s="171"/>
      <c r="I111" s="11"/>
      <c r="J111" s="308"/>
      <c r="K111" s="236"/>
      <c r="L111" s="373"/>
      <c r="M111" s="11"/>
    </row>
    <row r="112" spans="1:13" x14ac:dyDescent="0.2">
      <c r="A112" s="21" t="s">
        <v>9</v>
      </c>
      <c r="B112" s="234"/>
      <c r="C112" s="145"/>
      <c r="D112" s="166"/>
      <c r="E112" s="27"/>
      <c r="F112" s="234"/>
      <c r="G112" s="145"/>
      <c r="H112" s="166"/>
      <c r="I112" s="27"/>
      <c r="J112" s="286"/>
      <c r="K112" s="44"/>
      <c r="L112" s="254"/>
      <c r="M112" s="27"/>
    </row>
    <row r="113" spans="1:14" x14ac:dyDescent="0.2">
      <c r="A113" s="21" t="s">
        <v>10</v>
      </c>
      <c r="B113" s="234"/>
      <c r="C113" s="145"/>
      <c r="D113" s="166"/>
      <c r="E113" s="27"/>
      <c r="F113" s="234"/>
      <c r="G113" s="145"/>
      <c r="H113" s="166"/>
      <c r="I113" s="27"/>
      <c r="J113" s="286"/>
      <c r="K113" s="44"/>
      <c r="L113" s="254"/>
      <c r="M113" s="27"/>
    </row>
    <row r="114" spans="1:14" x14ac:dyDescent="0.2">
      <c r="A114" s="21" t="s">
        <v>26</v>
      </c>
      <c r="B114" s="234"/>
      <c r="C114" s="145"/>
      <c r="D114" s="166"/>
      <c r="E114" s="27"/>
      <c r="F114" s="234"/>
      <c r="G114" s="145"/>
      <c r="H114" s="166"/>
      <c r="I114" s="27"/>
      <c r="J114" s="286"/>
      <c r="K114" s="44"/>
      <c r="L114" s="254"/>
      <c r="M114" s="27"/>
    </row>
    <row r="115" spans="1:14" x14ac:dyDescent="0.2">
      <c r="A115" s="295" t="s">
        <v>15</v>
      </c>
      <c r="B115" s="280"/>
      <c r="C115" s="280"/>
      <c r="D115" s="166"/>
      <c r="E115" s="365"/>
      <c r="F115" s="280"/>
      <c r="G115" s="280"/>
      <c r="H115" s="166"/>
      <c r="I115" s="365"/>
      <c r="J115" s="289"/>
      <c r="K115" s="289"/>
      <c r="L115" s="166"/>
      <c r="M115" s="23"/>
    </row>
    <row r="116" spans="1:14" ht="15.75" x14ac:dyDescent="0.2">
      <c r="A116" s="21" t="s">
        <v>473</v>
      </c>
      <c r="B116" s="234"/>
      <c r="C116" s="234"/>
      <c r="D116" s="166"/>
      <c r="E116" s="27"/>
      <c r="F116" s="234"/>
      <c r="G116" s="234"/>
      <c r="H116" s="166"/>
      <c r="I116" s="27"/>
      <c r="J116" s="286"/>
      <c r="K116" s="44"/>
      <c r="L116" s="254"/>
      <c r="M116" s="27"/>
    </row>
    <row r="117" spans="1:14" ht="15.75" x14ac:dyDescent="0.2">
      <c r="A117" s="21" t="s">
        <v>474</v>
      </c>
      <c r="B117" s="234"/>
      <c r="C117" s="234"/>
      <c r="D117" s="166"/>
      <c r="E117" s="27"/>
      <c r="F117" s="234"/>
      <c r="G117" s="234"/>
      <c r="H117" s="166"/>
      <c r="I117" s="27"/>
      <c r="J117" s="286"/>
      <c r="K117" s="44"/>
      <c r="L117" s="254"/>
      <c r="M117" s="27"/>
    </row>
    <row r="118" spans="1:14" ht="15.75" x14ac:dyDescent="0.2">
      <c r="A118" s="21" t="s">
        <v>472</v>
      </c>
      <c r="B118" s="234"/>
      <c r="C118" s="234"/>
      <c r="D118" s="166"/>
      <c r="E118" s="27"/>
      <c r="F118" s="234"/>
      <c r="G118" s="234"/>
      <c r="H118" s="166"/>
      <c r="I118" s="27"/>
      <c r="J118" s="286"/>
      <c r="K118" s="44"/>
      <c r="L118" s="254"/>
      <c r="M118" s="27"/>
    </row>
    <row r="119" spans="1:14" ht="15.75" x14ac:dyDescent="0.2">
      <c r="A119" s="13" t="s">
        <v>453</v>
      </c>
      <c r="B119" s="307"/>
      <c r="C119" s="159"/>
      <c r="D119" s="171"/>
      <c r="E119" s="11"/>
      <c r="F119" s="307"/>
      <c r="G119" s="159"/>
      <c r="H119" s="171"/>
      <c r="I119" s="11"/>
      <c r="J119" s="308"/>
      <c r="K119" s="236"/>
      <c r="L119" s="373"/>
      <c r="M119" s="11"/>
    </row>
    <row r="120" spans="1:14" x14ac:dyDescent="0.2">
      <c r="A120" s="21" t="s">
        <v>9</v>
      </c>
      <c r="B120" s="234"/>
      <c r="C120" s="145"/>
      <c r="D120" s="166"/>
      <c r="E120" s="27"/>
      <c r="F120" s="234"/>
      <c r="G120" s="145"/>
      <c r="H120" s="166"/>
      <c r="I120" s="27"/>
      <c r="J120" s="286"/>
      <c r="K120" s="44"/>
      <c r="L120" s="254"/>
      <c r="M120" s="27"/>
    </row>
    <row r="121" spans="1:14" x14ac:dyDescent="0.2">
      <c r="A121" s="21" t="s">
        <v>10</v>
      </c>
      <c r="B121" s="234"/>
      <c r="C121" s="145"/>
      <c r="D121" s="166"/>
      <c r="E121" s="27"/>
      <c r="F121" s="234"/>
      <c r="G121" s="145"/>
      <c r="H121" s="166"/>
      <c r="I121" s="27"/>
      <c r="J121" s="286"/>
      <c r="K121" s="44"/>
      <c r="L121" s="254"/>
      <c r="M121" s="27"/>
    </row>
    <row r="122" spans="1:14" x14ac:dyDescent="0.2">
      <c r="A122" s="21" t="s">
        <v>26</v>
      </c>
      <c r="B122" s="234"/>
      <c r="C122" s="145"/>
      <c r="D122" s="166"/>
      <c r="E122" s="27"/>
      <c r="F122" s="234"/>
      <c r="G122" s="145"/>
      <c r="H122" s="166"/>
      <c r="I122" s="27"/>
      <c r="J122" s="286"/>
      <c r="K122" s="44"/>
      <c r="L122" s="254"/>
      <c r="M122" s="27"/>
    </row>
    <row r="123" spans="1:14" x14ac:dyDescent="0.2">
      <c r="A123" s="295" t="s">
        <v>14</v>
      </c>
      <c r="B123" s="280"/>
      <c r="C123" s="280"/>
      <c r="D123" s="166"/>
      <c r="E123" s="365"/>
      <c r="F123" s="280"/>
      <c r="G123" s="280"/>
      <c r="H123" s="166"/>
      <c r="I123" s="365"/>
      <c r="J123" s="289"/>
      <c r="K123" s="289"/>
      <c r="L123" s="166"/>
      <c r="M123" s="23"/>
    </row>
    <row r="124" spans="1:14" ht="15.75" x14ac:dyDescent="0.2">
      <c r="A124" s="21" t="s">
        <v>479</v>
      </c>
      <c r="B124" s="234"/>
      <c r="C124" s="234"/>
      <c r="D124" s="166"/>
      <c r="E124" s="27"/>
      <c r="F124" s="234"/>
      <c r="G124" s="234"/>
      <c r="H124" s="166"/>
      <c r="I124" s="27"/>
      <c r="J124" s="286"/>
      <c r="K124" s="44"/>
      <c r="L124" s="254"/>
      <c r="M124" s="27"/>
    </row>
    <row r="125" spans="1:14" ht="15.75" x14ac:dyDescent="0.2">
      <c r="A125" s="21" t="s">
        <v>471</v>
      </c>
      <c r="B125" s="234"/>
      <c r="C125" s="234"/>
      <c r="D125" s="166"/>
      <c r="E125" s="27"/>
      <c r="F125" s="234"/>
      <c r="G125" s="234"/>
      <c r="H125" s="166"/>
      <c r="I125" s="27"/>
      <c r="J125" s="286"/>
      <c r="K125" s="44"/>
      <c r="L125" s="254"/>
      <c r="M125" s="27"/>
    </row>
    <row r="126" spans="1:14" ht="15.75" x14ac:dyDescent="0.2">
      <c r="A126" s="10" t="s">
        <v>472</v>
      </c>
      <c r="B126" s="45"/>
      <c r="C126" s="45"/>
      <c r="D126" s="167"/>
      <c r="E126" s="366"/>
      <c r="F126" s="45"/>
      <c r="G126" s="45"/>
      <c r="H126" s="167"/>
      <c r="I126" s="22"/>
      <c r="J126" s="287"/>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975"/>
      <c r="C130" s="975"/>
      <c r="D130" s="975"/>
      <c r="E130" s="298"/>
      <c r="F130" s="975"/>
      <c r="G130" s="975"/>
      <c r="H130" s="975"/>
      <c r="I130" s="298"/>
      <c r="J130" s="975"/>
      <c r="K130" s="975"/>
      <c r="L130" s="975"/>
      <c r="M130" s="298"/>
    </row>
    <row r="131" spans="1:14" s="3" customFormat="1" x14ac:dyDescent="0.2">
      <c r="A131" s="144"/>
      <c r="B131" s="973" t="s">
        <v>0</v>
      </c>
      <c r="C131" s="974"/>
      <c r="D131" s="974"/>
      <c r="E131" s="300"/>
      <c r="F131" s="973" t="s">
        <v>1</v>
      </c>
      <c r="G131" s="974"/>
      <c r="H131" s="974"/>
      <c r="I131" s="303"/>
      <c r="J131" s="973" t="s">
        <v>2</v>
      </c>
      <c r="K131" s="974"/>
      <c r="L131" s="974"/>
      <c r="M131" s="303"/>
      <c r="N131" s="148"/>
    </row>
    <row r="132" spans="1:14" s="3" customFormat="1" x14ac:dyDescent="0.2">
      <c r="A132" s="140"/>
      <c r="B132" s="152" t="s">
        <v>492</v>
      </c>
      <c r="C132" s="152" t="s">
        <v>493</v>
      </c>
      <c r="D132" s="245" t="s">
        <v>3</v>
      </c>
      <c r="E132" s="304" t="s">
        <v>29</v>
      </c>
      <c r="F132" s="152" t="s">
        <v>492</v>
      </c>
      <c r="G132" s="152" t="s">
        <v>493</v>
      </c>
      <c r="H132" s="206" t="s">
        <v>3</v>
      </c>
      <c r="I132" s="162" t="s">
        <v>29</v>
      </c>
      <c r="J132" s="152" t="s">
        <v>492</v>
      </c>
      <c r="K132" s="152" t="s">
        <v>493</v>
      </c>
      <c r="L132" s="246" t="s">
        <v>3</v>
      </c>
      <c r="M132" s="162" t="s">
        <v>29</v>
      </c>
      <c r="N132" s="148"/>
    </row>
    <row r="133" spans="1:14" s="3" customFormat="1" x14ac:dyDescent="0.2">
      <c r="A133" s="947"/>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475</v>
      </c>
      <c r="B134" s="236"/>
      <c r="C134" s="308"/>
      <c r="D134" s="349"/>
      <c r="E134" s="11"/>
      <c r="F134" s="315"/>
      <c r="G134" s="316"/>
      <c r="H134" s="376"/>
      <c r="I134" s="24"/>
      <c r="J134" s="317"/>
      <c r="K134" s="317"/>
      <c r="L134" s="372"/>
      <c r="M134" s="11"/>
      <c r="N134" s="148"/>
    </row>
    <row r="135" spans="1:14" s="3" customFormat="1" ht="15.75" x14ac:dyDescent="0.2">
      <c r="A135" s="13" t="s">
        <v>480</v>
      </c>
      <c r="B135" s="236"/>
      <c r="C135" s="308"/>
      <c r="D135" s="171"/>
      <c r="E135" s="11"/>
      <c r="F135" s="236"/>
      <c r="G135" s="308"/>
      <c r="H135" s="377"/>
      <c r="I135" s="24"/>
      <c r="J135" s="307"/>
      <c r="K135" s="307"/>
      <c r="L135" s="373"/>
      <c r="M135" s="11"/>
      <c r="N135" s="148"/>
    </row>
    <row r="136" spans="1:14" s="3" customFormat="1" ht="15.75" x14ac:dyDescent="0.2">
      <c r="A136" s="13" t="s">
        <v>477</v>
      </c>
      <c r="B136" s="236"/>
      <c r="C136" s="308"/>
      <c r="D136" s="171"/>
      <c r="E136" s="11"/>
      <c r="F136" s="236"/>
      <c r="G136" s="308"/>
      <c r="H136" s="377"/>
      <c r="I136" s="24"/>
      <c r="J136" s="307"/>
      <c r="K136" s="307"/>
      <c r="L136" s="373"/>
      <c r="M136" s="11"/>
      <c r="N136" s="148"/>
    </row>
    <row r="137" spans="1:14" s="3" customFormat="1" ht="15.75" x14ac:dyDescent="0.2">
      <c r="A137" s="41" t="s">
        <v>478</v>
      </c>
      <c r="B137" s="275"/>
      <c r="C137" s="314"/>
      <c r="D137" s="169"/>
      <c r="E137" s="9"/>
      <c r="F137" s="275"/>
      <c r="G137" s="314"/>
      <c r="H137" s="378"/>
      <c r="I137" s="36"/>
      <c r="J137" s="313"/>
      <c r="K137" s="313"/>
      <c r="L137" s="374"/>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19" priority="117">
      <formula>kvartal &lt; 4</formula>
    </cfRule>
  </conditionalFormatting>
  <conditionalFormatting sqref="B69">
    <cfRule type="expression" dxfId="218" priority="85">
      <formula>kvartal &lt; 4</formula>
    </cfRule>
  </conditionalFormatting>
  <conditionalFormatting sqref="C69">
    <cfRule type="expression" dxfId="217" priority="84">
      <formula>kvartal &lt; 4</formula>
    </cfRule>
  </conditionalFormatting>
  <conditionalFormatting sqref="B72">
    <cfRule type="expression" dxfId="216" priority="83">
      <formula>kvartal &lt; 4</formula>
    </cfRule>
  </conditionalFormatting>
  <conditionalFormatting sqref="C72">
    <cfRule type="expression" dxfId="215" priority="82">
      <formula>kvartal &lt; 4</formula>
    </cfRule>
  </conditionalFormatting>
  <conditionalFormatting sqref="B80">
    <cfRule type="expression" dxfId="214" priority="81">
      <formula>kvartal &lt; 4</formula>
    </cfRule>
  </conditionalFormatting>
  <conditionalFormatting sqref="C80">
    <cfRule type="expression" dxfId="213" priority="80">
      <formula>kvartal &lt; 4</formula>
    </cfRule>
  </conditionalFormatting>
  <conditionalFormatting sqref="B83">
    <cfRule type="expression" dxfId="212" priority="79">
      <formula>kvartal &lt; 4</formula>
    </cfRule>
  </conditionalFormatting>
  <conditionalFormatting sqref="C83">
    <cfRule type="expression" dxfId="211" priority="78">
      <formula>kvartal &lt; 4</formula>
    </cfRule>
  </conditionalFormatting>
  <conditionalFormatting sqref="B90">
    <cfRule type="expression" dxfId="210" priority="69">
      <formula>kvartal &lt; 4</formula>
    </cfRule>
  </conditionalFormatting>
  <conditionalFormatting sqref="C90">
    <cfRule type="expression" dxfId="209" priority="68">
      <formula>kvartal &lt; 4</formula>
    </cfRule>
  </conditionalFormatting>
  <conditionalFormatting sqref="B93">
    <cfRule type="expression" dxfId="208" priority="67">
      <formula>kvartal &lt; 4</formula>
    </cfRule>
  </conditionalFormatting>
  <conditionalFormatting sqref="C93">
    <cfRule type="expression" dxfId="207" priority="66">
      <formula>kvartal &lt; 4</formula>
    </cfRule>
  </conditionalFormatting>
  <conditionalFormatting sqref="B101">
    <cfRule type="expression" dxfId="206" priority="65">
      <formula>kvartal &lt; 4</formula>
    </cfRule>
  </conditionalFormatting>
  <conditionalFormatting sqref="C101">
    <cfRule type="expression" dxfId="205" priority="64">
      <formula>kvartal &lt; 4</formula>
    </cfRule>
  </conditionalFormatting>
  <conditionalFormatting sqref="B104">
    <cfRule type="expression" dxfId="204" priority="63">
      <formula>kvartal &lt; 4</formula>
    </cfRule>
  </conditionalFormatting>
  <conditionalFormatting sqref="C104">
    <cfRule type="expression" dxfId="203" priority="62">
      <formula>kvartal &lt; 4</formula>
    </cfRule>
  </conditionalFormatting>
  <conditionalFormatting sqref="B115">
    <cfRule type="expression" dxfId="202" priority="61">
      <formula>kvartal &lt; 4</formula>
    </cfRule>
  </conditionalFormatting>
  <conditionalFormatting sqref="C115">
    <cfRule type="expression" dxfId="201" priority="60">
      <formula>kvartal &lt; 4</formula>
    </cfRule>
  </conditionalFormatting>
  <conditionalFormatting sqref="B123">
    <cfRule type="expression" dxfId="200" priority="59">
      <formula>kvartal &lt; 4</formula>
    </cfRule>
  </conditionalFormatting>
  <conditionalFormatting sqref="C123">
    <cfRule type="expression" dxfId="199" priority="58">
      <formula>kvartal &lt; 4</formula>
    </cfRule>
  </conditionalFormatting>
  <conditionalFormatting sqref="F70">
    <cfRule type="expression" dxfId="198" priority="57">
      <formula>kvartal &lt; 4</formula>
    </cfRule>
  </conditionalFormatting>
  <conditionalFormatting sqref="G70">
    <cfRule type="expression" dxfId="197" priority="56">
      <formula>kvartal &lt; 4</formula>
    </cfRule>
  </conditionalFormatting>
  <conditionalFormatting sqref="F71:G71">
    <cfRule type="expression" dxfId="196" priority="55">
      <formula>kvartal &lt; 4</formula>
    </cfRule>
  </conditionalFormatting>
  <conditionalFormatting sqref="F73:G74">
    <cfRule type="expression" dxfId="195" priority="54">
      <formula>kvartal &lt; 4</formula>
    </cfRule>
  </conditionalFormatting>
  <conditionalFormatting sqref="F81:G82">
    <cfRule type="expression" dxfId="194" priority="53">
      <formula>kvartal &lt; 4</formula>
    </cfRule>
  </conditionalFormatting>
  <conditionalFormatting sqref="F84:G85">
    <cfRule type="expression" dxfId="193" priority="52">
      <formula>kvartal &lt; 4</formula>
    </cfRule>
  </conditionalFormatting>
  <conditionalFormatting sqref="F91:G92">
    <cfRule type="expression" dxfId="192" priority="47">
      <formula>kvartal &lt; 4</formula>
    </cfRule>
  </conditionalFormatting>
  <conditionalFormatting sqref="F94:G95">
    <cfRule type="expression" dxfId="191" priority="46">
      <formula>kvartal &lt; 4</formula>
    </cfRule>
  </conditionalFormatting>
  <conditionalFormatting sqref="F102:G103">
    <cfRule type="expression" dxfId="190" priority="45">
      <formula>kvartal &lt; 4</formula>
    </cfRule>
  </conditionalFormatting>
  <conditionalFormatting sqref="F105:G106">
    <cfRule type="expression" dxfId="189" priority="44">
      <formula>kvartal &lt; 4</formula>
    </cfRule>
  </conditionalFormatting>
  <conditionalFormatting sqref="F115">
    <cfRule type="expression" dxfId="188" priority="43">
      <formula>kvartal &lt; 4</formula>
    </cfRule>
  </conditionalFormatting>
  <conditionalFormatting sqref="G115">
    <cfRule type="expression" dxfId="187" priority="42">
      <formula>kvartal &lt; 4</formula>
    </cfRule>
  </conditionalFormatting>
  <conditionalFormatting sqref="F123:G123">
    <cfRule type="expression" dxfId="186" priority="41">
      <formula>kvartal &lt; 4</formula>
    </cfRule>
  </conditionalFormatting>
  <conditionalFormatting sqref="F69:G69">
    <cfRule type="expression" dxfId="185" priority="40">
      <formula>kvartal &lt; 4</formula>
    </cfRule>
  </conditionalFormatting>
  <conditionalFormatting sqref="F72:G72">
    <cfRule type="expression" dxfId="184" priority="39">
      <formula>kvartal &lt; 4</formula>
    </cfRule>
  </conditionalFormatting>
  <conditionalFormatting sqref="F80:G80">
    <cfRule type="expression" dxfId="183" priority="38">
      <formula>kvartal &lt; 4</formula>
    </cfRule>
  </conditionalFormatting>
  <conditionalFormatting sqref="F83:G83">
    <cfRule type="expression" dxfId="182" priority="37">
      <formula>kvartal &lt; 4</formula>
    </cfRule>
  </conditionalFormatting>
  <conditionalFormatting sqref="F90:G90">
    <cfRule type="expression" dxfId="181" priority="31">
      <formula>kvartal &lt; 4</formula>
    </cfRule>
  </conditionalFormatting>
  <conditionalFormatting sqref="F93">
    <cfRule type="expression" dxfId="180" priority="30">
      <formula>kvartal &lt; 4</formula>
    </cfRule>
  </conditionalFormatting>
  <conditionalFormatting sqref="G93">
    <cfRule type="expression" dxfId="179" priority="29">
      <formula>kvartal &lt; 4</formula>
    </cfRule>
  </conditionalFormatting>
  <conditionalFormatting sqref="F101">
    <cfRule type="expression" dxfId="178" priority="28">
      <formula>kvartal &lt; 4</formula>
    </cfRule>
  </conditionalFormatting>
  <conditionalFormatting sqref="G101">
    <cfRule type="expression" dxfId="177" priority="27">
      <formula>kvartal &lt; 4</formula>
    </cfRule>
  </conditionalFormatting>
  <conditionalFormatting sqref="G104">
    <cfRule type="expression" dxfId="176" priority="26">
      <formula>kvartal &lt; 4</formula>
    </cfRule>
  </conditionalFormatting>
  <conditionalFormatting sqref="F104">
    <cfRule type="expression" dxfId="175" priority="25">
      <formula>kvartal &lt; 4</formula>
    </cfRule>
  </conditionalFormatting>
  <conditionalFormatting sqref="J69:K73">
    <cfRule type="expression" dxfId="174" priority="24">
      <formula>kvartal &lt; 4</formula>
    </cfRule>
  </conditionalFormatting>
  <conditionalFormatting sqref="J74:K74">
    <cfRule type="expression" dxfId="173" priority="23">
      <formula>kvartal &lt; 4</formula>
    </cfRule>
  </conditionalFormatting>
  <conditionalFormatting sqref="J80:K85">
    <cfRule type="expression" dxfId="172" priority="22">
      <formula>kvartal &lt; 4</formula>
    </cfRule>
  </conditionalFormatting>
  <conditionalFormatting sqref="J90:K95">
    <cfRule type="expression" dxfId="171" priority="19">
      <formula>kvartal &lt; 4</formula>
    </cfRule>
  </conditionalFormatting>
  <conditionalFormatting sqref="J101:K106">
    <cfRule type="expression" dxfId="170" priority="18">
      <formula>kvartal &lt; 4</formula>
    </cfRule>
  </conditionalFormatting>
  <conditionalFormatting sqref="J115:K115">
    <cfRule type="expression" dxfId="169" priority="17">
      <formula>kvartal &lt; 4</formula>
    </cfRule>
  </conditionalFormatting>
  <conditionalFormatting sqref="J123:K123">
    <cfRule type="expression" dxfId="168" priority="16">
      <formula>kvartal &lt; 4</formula>
    </cfRule>
  </conditionalFormatting>
  <conditionalFormatting sqref="A50:A52">
    <cfRule type="expression" dxfId="167" priority="12">
      <formula>kvartal &lt; 4</formula>
    </cfRule>
  </conditionalFormatting>
  <conditionalFormatting sqref="A69:A74">
    <cfRule type="expression" dxfId="166" priority="10">
      <formula>kvartal &lt; 4</formula>
    </cfRule>
  </conditionalFormatting>
  <conditionalFormatting sqref="A80:A85">
    <cfRule type="expression" dxfId="165" priority="9">
      <formula>kvartal &lt; 4</formula>
    </cfRule>
  </conditionalFormatting>
  <conditionalFormatting sqref="A90:A95">
    <cfRule type="expression" dxfId="164" priority="6">
      <formula>kvartal &lt; 4</formula>
    </cfRule>
  </conditionalFormatting>
  <conditionalFormatting sqref="A101:A106">
    <cfRule type="expression" dxfId="163" priority="5">
      <formula>kvartal &lt; 4</formula>
    </cfRule>
  </conditionalFormatting>
  <conditionalFormatting sqref="A115">
    <cfRule type="expression" dxfId="162" priority="4">
      <formula>kvartal &lt; 4</formula>
    </cfRule>
  </conditionalFormatting>
  <conditionalFormatting sqref="A123">
    <cfRule type="expression" dxfId="161" priority="3">
      <formula>kvartal &lt; 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176"/>
  <sheetViews>
    <sheetView showGridLines="0" showZeros="0" zoomScale="90" zoomScaleNormal="90" workbookViewId="0">
      <selection activeCell="K13" sqref="K13"/>
    </sheetView>
  </sheetViews>
  <sheetFormatPr baseColWidth="10" defaultColWidth="11.42578125" defaultRowHeight="18.75" x14ac:dyDescent="0.3"/>
  <cols>
    <col min="10" max="11" width="16.7109375" customWidth="1"/>
    <col min="12" max="12" width="20.7109375" style="74" customWidth="1"/>
    <col min="13" max="14" width="15.85546875" style="74" bestFit="1" customWidth="1"/>
    <col min="15" max="15" width="22.85546875" customWidth="1"/>
    <col min="16" max="16" width="13.42578125" customWidth="1"/>
    <col min="17" max="17" width="13.85546875" customWidth="1"/>
  </cols>
  <sheetData>
    <row r="1" spans="1:15" x14ac:dyDescent="0.3">
      <c r="A1" s="73" t="s">
        <v>52</v>
      </c>
    </row>
    <row r="2" spans="1:15" x14ac:dyDescent="0.3">
      <c r="A2" s="75"/>
      <c r="B2" s="74"/>
      <c r="C2" s="74"/>
      <c r="D2" s="74"/>
      <c r="E2" s="74"/>
      <c r="F2" s="74"/>
      <c r="G2" s="74"/>
      <c r="H2" s="74"/>
      <c r="I2" s="74"/>
      <c r="J2" s="74"/>
      <c r="K2" s="74"/>
      <c r="O2" s="74"/>
    </row>
    <row r="3" spans="1:15" x14ac:dyDescent="0.3">
      <c r="A3" s="75" t="s">
        <v>32</v>
      </c>
      <c r="B3" s="74"/>
      <c r="C3" s="74"/>
      <c r="D3" s="74"/>
      <c r="E3" s="74"/>
      <c r="F3" s="74"/>
      <c r="G3" s="74"/>
      <c r="H3" s="74"/>
      <c r="I3" s="74"/>
      <c r="J3" s="74"/>
      <c r="K3" s="74"/>
      <c r="O3" s="74"/>
    </row>
    <row r="4" spans="1:15" x14ac:dyDescent="0.3">
      <c r="A4" s="74"/>
      <c r="B4" s="74"/>
      <c r="C4" s="74"/>
      <c r="D4" s="74"/>
      <c r="E4" s="74"/>
      <c r="F4" s="74"/>
      <c r="G4" s="74"/>
      <c r="H4" s="74"/>
      <c r="I4" s="74"/>
      <c r="J4" s="74"/>
      <c r="K4" s="74"/>
      <c r="L4" s="76"/>
      <c r="O4" s="74"/>
    </row>
    <row r="5" spans="1:15" x14ac:dyDescent="0.3">
      <c r="A5" s="75" t="s">
        <v>365</v>
      </c>
      <c r="B5" s="74"/>
      <c r="C5" s="74"/>
      <c r="D5" s="74"/>
      <c r="E5" s="74"/>
      <c r="F5" s="74"/>
      <c r="G5" s="74"/>
      <c r="H5" s="74"/>
      <c r="I5" s="79"/>
      <c r="J5" s="74"/>
      <c r="K5" s="74"/>
      <c r="O5" s="74"/>
    </row>
    <row r="6" spans="1:15" x14ac:dyDescent="0.3">
      <c r="A6" s="74"/>
      <c r="B6" s="74"/>
      <c r="C6" s="74"/>
      <c r="D6" s="74"/>
      <c r="E6" s="74"/>
      <c r="F6" s="74"/>
      <c r="G6" s="74"/>
      <c r="H6" s="74"/>
      <c r="I6" s="74"/>
      <c r="J6" s="74"/>
      <c r="K6" s="74"/>
      <c r="L6" s="74" t="s">
        <v>53</v>
      </c>
      <c r="O6" s="74"/>
    </row>
    <row r="7" spans="1:15" x14ac:dyDescent="0.3">
      <c r="A7" s="74"/>
      <c r="B7" s="74"/>
      <c r="C7" s="74"/>
      <c r="D7" s="74"/>
      <c r="E7" s="74"/>
      <c r="F7" s="74"/>
      <c r="G7" s="74"/>
      <c r="H7" s="74"/>
      <c r="I7" s="74"/>
      <c r="J7" s="74"/>
      <c r="K7" s="74"/>
      <c r="L7" s="74" t="s">
        <v>0</v>
      </c>
      <c r="O7" s="74"/>
    </row>
    <row r="8" spans="1:15" x14ac:dyDescent="0.3">
      <c r="A8" s="74"/>
      <c r="B8" s="74"/>
      <c r="C8" s="74"/>
      <c r="D8" s="74"/>
      <c r="E8" s="74"/>
      <c r="F8" s="74"/>
      <c r="G8" s="74"/>
      <c r="H8" s="74"/>
      <c r="I8" s="74"/>
      <c r="J8" s="74"/>
      <c r="K8" s="74"/>
      <c r="M8" s="74">
        <v>2018</v>
      </c>
      <c r="N8" s="74">
        <v>2019</v>
      </c>
      <c r="O8" s="74"/>
    </row>
    <row r="9" spans="1:15" x14ac:dyDescent="0.3">
      <c r="A9" s="74"/>
      <c r="B9" s="74"/>
      <c r="C9" s="74"/>
      <c r="D9" s="74"/>
      <c r="E9" s="74"/>
      <c r="F9" s="74"/>
      <c r="G9" s="74"/>
      <c r="H9" s="74"/>
      <c r="I9" s="74"/>
      <c r="J9" s="74"/>
      <c r="K9" s="74"/>
      <c r="M9" s="77">
        <f>'Tabel 1.1'!B9</f>
        <v>0</v>
      </c>
      <c r="N9" s="77">
        <f>'Tabel 1.1'!C9</f>
        <v>0</v>
      </c>
      <c r="O9" s="74"/>
    </row>
    <row r="10" spans="1:15" x14ac:dyDescent="0.3">
      <c r="A10" s="74"/>
      <c r="B10" s="74"/>
      <c r="C10" s="74"/>
      <c r="D10" s="74"/>
      <c r="E10" s="74"/>
      <c r="F10" s="74"/>
      <c r="G10" s="74"/>
      <c r="H10" s="74"/>
      <c r="I10" s="74"/>
      <c r="J10" s="74"/>
      <c r="K10" s="74"/>
      <c r="L10" s="74" t="s">
        <v>54</v>
      </c>
      <c r="M10" s="77">
        <f>'Tabel 1.1'!B10</f>
        <v>415883.79300000001</v>
      </c>
      <c r="N10" s="77">
        <f>'Tabel 1.1'!C10</f>
        <v>421442.94600000005</v>
      </c>
      <c r="O10" s="74"/>
    </row>
    <row r="11" spans="1:15" x14ac:dyDescent="0.3">
      <c r="A11" s="74"/>
      <c r="B11" s="74"/>
      <c r="C11" s="74"/>
      <c r="D11" s="74"/>
      <c r="E11" s="74"/>
      <c r="F11" s="74"/>
      <c r="G11" s="74"/>
      <c r="H11" s="74"/>
      <c r="I11" s="74"/>
      <c r="J11" s="74"/>
      <c r="K11" s="74"/>
      <c r="L11" s="74" t="s">
        <v>55</v>
      </c>
      <c r="M11" s="77">
        <f>'Tabel 1.1'!B11</f>
        <v>4564526.0001369994</v>
      </c>
      <c r="N11" s="77">
        <f>'Tabel 1.1'!C11</f>
        <v>4578461</v>
      </c>
      <c r="O11" s="74"/>
    </row>
    <row r="12" spans="1:15" x14ac:dyDescent="0.3">
      <c r="A12" s="74"/>
      <c r="B12" s="74"/>
      <c r="C12" s="74"/>
      <c r="D12" s="74"/>
      <c r="E12" s="74"/>
      <c r="F12" s="74"/>
      <c r="G12" s="74"/>
      <c r="H12" s="74"/>
      <c r="I12" s="74"/>
      <c r="J12" s="74"/>
      <c r="K12" s="74"/>
      <c r="L12" s="74" t="s">
        <v>56</v>
      </c>
      <c r="M12" s="77">
        <f>'Tabel 1.1'!B12</f>
        <v>293648</v>
      </c>
      <c r="N12" s="77">
        <f>'Tabel 1.1'!C12</f>
        <v>323640</v>
      </c>
      <c r="O12" s="74"/>
    </row>
    <row r="13" spans="1:15" x14ac:dyDescent="0.3">
      <c r="A13" s="74"/>
      <c r="B13" s="74"/>
      <c r="C13" s="74"/>
      <c r="D13" s="74"/>
      <c r="E13" s="74"/>
      <c r="F13" s="74"/>
      <c r="G13" s="74"/>
      <c r="H13" s="74"/>
      <c r="I13" s="74"/>
      <c r="J13" s="74"/>
      <c r="K13" s="74"/>
      <c r="L13" s="74" t="s">
        <v>57</v>
      </c>
      <c r="M13" s="77">
        <f>'Tabel 1.1'!B13</f>
        <v>461568</v>
      </c>
      <c r="N13" s="77">
        <f>'Tabel 1.1'!C13</f>
        <v>490047</v>
      </c>
      <c r="O13" s="74"/>
    </row>
    <row r="14" spans="1:15" x14ac:dyDescent="0.3">
      <c r="A14" s="74"/>
      <c r="B14" s="74"/>
      <c r="C14" s="74"/>
      <c r="D14" s="74"/>
      <c r="E14" s="74"/>
      <c r="F14" s="74"/>
      <c r="G14" s="74"/>
      <c r="H14" s="74"/>
      <c r="I14" s="74"/>
      <c r="J14" s="74"/>
      <c r="K14" s="74"/>
      <c r="L14" s="74" t="s">
        <v>58</v>
      </c>
      <c r="M14" s="77">
        <f>'Tabel 1.1'!B14</f>
        <v>7955</v>
      </c>
      <c r="N14" s="77">
        <f>'Tabel 1.1'!C14</f>
        <v>8197</v>
      </c>
      <c r="O14" s="74"/>
    </row>
    <row r="15" spans="1:15" x14ac:dyDescent="0.3">
      <c r="A15" s="74"/>
      <c r="B15" s="74"/>
      <c r="C15" s="74"/>
      <c r="D15" s="74"/>
      <c r="E15" s="74"/>
      <c r="F15" s="74"/>
      <c r="G15" s="74"/>
      <c r="H15" s="74"/>
      <c r="I15" s="74"/>
      <c r="J15" s="74"/>
      <c r="K15" s="74"/>
      <c r="L15" s="74" t="s">
        <v>59</v>
      </c>
      <c r="M15" s="77">
        <f>'Tabel 1.1'!B15</f>
        <v>1560358</v>
      </c>
      <c r="N15" s="77">
        <f>'Tabel 1.1'!C15</f>
        <v>1559670</v>
      </c>
      <c r="O15" s="74"/>
    </row>
    <row r="16" spans="1:15" x14ac:dyDescent="0.3">
      <c r="A16" s="74"/>
      <c r="B16" s="74"/>
      <c r="C16" s="74"/>
      <c r="D16" s="74"/>
      <c r="E16" s="74"/>
      <c r="F16" s="74"/>
      <c r="G16" s="74"/>
      <c r="H16" s="74"/>
      <c r="I16" s="74"/>
      <c r="J16" s="74"/>
      <c r="K16" s="74"/>
      <c r="L16" s="74" t="s">
        <v>60</v>
      </c>
      <c r="M16" s="77">
        <f>'Tabel 1.1'!B16</f>
        <v>591422</v>
      </c>
      <c r="N16" s="77">
        <f>'Tabel 1.1'!C16</f>
        <v>648034</v>
      </c>
      <c r="O16" s="74"/>
    </row>
    <row r="17" spans="1:15" x14ac:dyDescent="0.3">
      <c r="A17" s="74"/>
      <c r="B17" s="74"/>
      <c r="C17" s="74"/>
      <c r="D17" s="74"/>
      <c r="E17" s="74"/>
      <c r="F17" s="74"/>
      <c r="G17" s="74"/>
      <c r="H17" s="74"/>
      <c r="I17" s="74"/>
      <c r="J17" s="74"/>
      <c r="K17" s="74"/>
      <c r="L17" s="74" t="s">
        <v>61</v>
      </c>
      <c r="M17" s="77">
        <f>'Tabel 1.1'!B17</f>
        <v>35563</v>
      </c>
      <c r="N17" s="77">
        <f>'Tabel 1.1'!C17</f>
        <v>35020.773110000002</v>
      </c>
      <c r="O17" s="74"/>
    </row>
    <row r="18" spans="1:15" x14ac:dyDescent="0.3">
      <c r="A18" s="74"/>
      <c r="B18" s="74"/>
      <c r="C18" s="74"/>
      <c r="D18" s="74"/>
      <c r="E18" s="74"/>
      <c r="F18" s="74"/>
      <c r="G18" s="74"/>
      <c r="H18" s="74"/>
      <c r="I18" s="74"/>
      <c r="J18" s="74"/>
      <c r="K18" s="74"/>
      <c r="L18" s="74" t="s">
        <v>62</v>
      </c>
      <c r="M18" s="77">
        <f>'Tabel 1.1'!B18</f>
        <v>447566</v>
      </c>
      <c r="N18" s="77">
        <f>'Tabel 1.1'!C18</f>
        <v>472830.55865999998</v>
      </c>
      <c r="O18" s="74"/>
    </row>
    <row r="19" spans="1:15" x14ac:dyDescent="0.3">
      <c r="A19" s="74"/>
      <c r="B19" s="74"/>
      <c r="C19" s="74"/>
      <c r="D19" s="74"/>
      <c r="E19" s="74"/>
      <c r="F19" s="74"/>
      <c r="G19" s="74"/>
      <c r="H19" s="74"/>
      <c r="I19" s="74"/>
      <c r="J19" s="74"/>
      <c r="K19" s="74"/>
      <c r="L19" s="74" t="s">
        <v>63</v>
      </c>
      <c r="M19" s="77">
        <f>'Tabel 1.1'!B19</f>
        <v>38575507.412819996</v>
      </c>
      <c r="N19" s="77">
        <f>'Tabel 1.1'!C19</f>
        <v>40071235.120510004</v>
      </c>
      <c r="O19" s="74"/>
    </row>
    <row r="20" spans="1:15" x14ac:dyDescent="0.3">
      <c r="A20" s="74"/>
      <c r="B20" s="74"/>
      <c r="C20" s="74"/>
      <c r="D20" s="74"/>
      <c r="E20" s="74"/>
      <c r="F20" s="74"/>
      <c r="G20" s="74"/>
      <c r="H20" s="74"/>
      <c r="I20" s="74"/>
      <c r="J20" s="74"/>
      <c r="K20" s="74"/>
      <c r="L20" s="74" t="s">
        <v>64</v>
      </c>
      <c r="M20" s="77">
        <f>'Tabel 1.1'!B20</f>
        <v>89195</v>
      </c>
      <c r="N20" s="77">
        <f>'Tabel 1.1'!C20</f>
        <v>96824</v>
      </c>
      <c r="O20" s="74"/>
    </row>
    <row r="21" spans="1:15" x14ac:dyDescent="0.3">
      <c r="A21" s="74"/>
      <c r="B21" s="74"/>
      <c r="C21" s="74"/>
      <c r="D21" s="74"/>
      <c r="E21" s="74"/>
      <c r="F21" s="74"/>
      <c r="G21" s="74"/>
      <c r="H21" s="74"/>
      <c r="I21" s="74"/>
      <c r="J21" s="74"/>
      <c r="K21" s="74"/>
      <c r="L21" s="74" t="s">
        <v>65</v>
      </c>
      <c r="M21" s="77">
        <f>'Tabel 1.1'!B21</f>
        <v>134230.552</v>
      </c>
      <c r="N21" s="77">
        <f>'Tabel 1.1'!C21</f>
        <v>175357</v>
      </c>
      <c r="O21" s="74"/>
    </row>
    <row r="22" spans="1:15" x14ac:dyDescent="0.3">
      <c r="A22" s="74"/>
      <c r="B22" s="74"/>
      <c r="C22" s="74"/>
      <c r="D22" s="74"/>
      <c r="E22" s="74"/>
      <c r="F22" s="74"/>
      <c r="G22" s="74"/>
      <c r="H22" s="74"/>
      <c r="I22" s="74"/>
      <c r="J22" s="74"/>
      <c r="K22" s="74"/>
      <c r="L22" s="74" t="s">
        <v>66</v>
      </c>
      <c r="M22" s="77">
        <f>'Tabel 1.1'!B22</f>
        <v>75514</v>
      </c>
      <c r="N22" s="77">
        <f>'Tabel 1.1'!C22</f>
        <v>83630</v>
      </c>
      <c r="O22" s="74"/>
    </row>
    <row r="23" spans="1:15" x14ac:dyDescent="0.3">
      <c r="A23" s="74"/>
      <c r="B23" s="74"/>
      <c r="C23" s="74"/>
      <c r="D23" s="74"/>
      <c r="E23" s="74"/>
      <c r="F23" s="74"/>
      <c r="G23" s="74"/>
      <c r="H23" s="74"/>
      <c r="I23" s="74"/>
      <c r="J23" s="74"/>
      <c r="K23" s="74"/>
      <c r="L23" s="74" t="s">
        <v>67</v>
      </c>
      <c r="M23" s="77">
        <f>'Tabel 1.1'!B23</f>
        <v>1788</v>
      </c>
      <c r="N23" s="77">
        <f>'Tabel 1.1'!C23</f>
        <v>17501.08816890161</v>
      </c>
      <c r="O23" s="74"/>
    </row>
    <row r="24" spans="1:15" x14ac:dyDescent="0.3">
      <c r="A24" s="74"/>
      <c r="B24" s="74"/>
      <c r="C24" s="74"/>
      <c r="D24" s="74"/>
      <c r="E24" s="74"/>
      <c r="F24" s="74"/>
      <c r="G24" s="74"/>
      <c r="H24" s="74"/>
      <c r="I24" s="74"/>
      <c r="J24" s="74"/>
      <c r="K24" s="74"/>
      <c r="L24" s="74" t="s">
        <v>68</v>
      </c>
      <c r="M24" s="77">
        <f>'Tabel 1.1'!B24</f>
        <v>1546969.242586259</v>
      </c>
      <c r="N24" s="77">
        <f>'Tabel 1.1'!C24</f>
        <v>1547946.082636805</v>
      </c>
      <c r="O24" s="74"/>
    </row>
    <row r="25" spans="1:15" x14ac:dyDescent="0.3">
      <c r="A25" s="74"/>
      <c r="B25" s="74"/>
      <c r="C25" s="74"/>
      <c r="D25" s="74"/>
      <c r="E25" s="74"/>
      <c r="F25" s="74"/>
      <c r="G25" s="74"/>
      <c r="H25" s="74"/>
      <c r="I25" s="74"/>
      <c r="J25" s="74"/>
      <c r="K25" s="74"/>
      <c r="L25" s="74" t="s">
        <v>69</v>
      </c>
      <c r="M25" s="77">
        <f>'Tabel 1.1'!B25</f>
        <v>4832000</v>
      </c>
      <c r="N25" s="77">
        <f>'Tabel 1.1'!C25</f>
        <v>5181000</v>
      </c>
      <c r="O25" s="74"/>
    </row>
    <row r="26" spans="1:15" s="141" customFormat="1" x14ac:dyDescent="0.3">
      <c r="A26" s="74"/>
      <c r="B26" s="74"/>
      <c r="C26" s="74"/>
      <c r="D26" s="74"/>
      <c r="E26" s="74"/>
      <c r="F26" s="74"/>
      <c r="G26" s="74"/>
      <c r="H26" s="74"/>
      <c r="I26" s="74"/>
      <c r="J26" s="74"/>
      <c r="K26" s="74"/>
      <c r="L26" s="74" t="s">
        <v>482</v>
      </c>
      <c r="M26" s="77">
        <f>'Tabel 1.1'!B26</f>
        <v>322909.72977305338</v>
      </c>
      <c r="N26" s="77">
        <f>'Tabel 1.1'!C26</f>
        <v>312787.17492590938</v>
      </c>
      <c r="O26" s="74"/>
    </row>
    <row r="27" spans="1:15" x14ac:dyDescent="0.3">
      <c r="A27" s="74"/>
      <c r="B27" s="74"/>
      <c r="C27" s="74"/>
      <c r="D27" s="74"/>
      <c r="E27" s="74"/>
      <c r="F27" s="74"/>
      <c r="G27" s="74"/>
      <c r="H27" s="74"/>
      <c r="I27" s="74"/>
      <c r="J27" s="74"/>
      <c r="K27" s="74"/>
      <c r="L27" s="74" t="s">
        <v>70</v>
      </c>
      <c r="M27" s="77">
        <f>'Tabel 1.1'!B27</f>
        <v>2769109.2606799998</v>
      </c>
      <c r="N27" s="77">
        <f>'Tabel 1.1'!C27</f>
        <v>2988164.1674600001</v>
      </c>
      <c r="O27" s="74"/>
    </row>
    <row r="28" spans="1:15" x14ac:dyDescent="0.3">
      <c r="A28" s="74"/>
      <c r="B28" s="74"/>
      <c r="C28" s="74"/>
      <c r="D28" s="74"/>
      <c r="E28" s="74"/>
      <c r="F28" s="74"/>
      <c r="G28" s="74"/>
      <c r="H28" s="74"/>
      <c r="I28" s="74"/>
      <c r="J28" s="74"/>
      <c r="K28" s="74"/>
      <c r="L28" s="74" t="s">
        <v>71</v>
      </c>
      <c r="M28" s="77">
        <f>'Tabel 1.1'!B28</f>
        <v>5505079.2280000001</v>
      </c>
      <c r="N28" s="77">
        <f>'Tabel 1.1'!C28</f>
        <v>5485806.5</v>
      </c>
    </row>
    <row r="29" spans="1:15" x14ac:dyDescent="0.3">
      <c r="A29" s="74"/>
      <c r="B29" s="74"/>
      <c r="C29" s="74"/>
      <c r="D29" s="74"/>
      <c r="E29" s="74"/>
      <c r="F29" s="74"/>
      <c r="G29" s="74"/>
      <c r="H29" s="74"/>
      <c r="I29" s="74"/>
      <c r="J29" s="74"/>
      <c r="K29" s="74"/>
      <c r="L29" s="74" t="s">
        <v>72</v>
      </c>
      <c r="M29" s="77">
        <f>'Tabel 1.1'!B29</f>
        <v>22616</v>
      </c>
      <c r="N29" s="77">
        <f>'Tabel 1.1'!C29</f>
        <v>1989</v>
      </c>
    </row>
    <row r="30" spans="1:15" x14ac:dyDescent="0.3">
      <c r="A30" s="74"/>
      <c r="B30" s="74"/>
      <c r="C30" s="74"/>
      <c r="D30" s="74"/>
      <c r="E30" s="74"/>
      <c r="F30" s="74"/>
      <c r="G30" s="74"/>
      <c r="H30" s="74"/>
      <c r="I30" s="74"/>
      <c r="J30" s="74"/>
      <c r="K30" s="74"/>
      <c r="L30" s="74" t="s">
        <v>73</v>
      </c>
      <c r="M30" s="77">
        <f>'Tabel 1.1'!B30</f>
        <v>525057.89627999999</v>
      </c>
      <c r="N30" s="77">
        <f>'Tabel 1.1'!C30</f>
        <v>601419.67099999997</v>
      </c>
    </row>
    <row r="31" spans="1:15" x14ac:dyDescent="0.3">
      <c r="A31" s="75" t="s">
        <v>366</v>
      </c>
      <c r="B31" s="74"/>
      <c r="C31" s="74"/>
      <c r="D31" s="74"/>
      <c r="E31" s="74"/>
      <c r="F31" s="74"/>
      <c r="G31" s="74"/>
      <c r="H31" s="74"/>
      <c r="I31" s="79"/>
      <c r="J31" s="74"/>
      <c r="K31" s="74"/>
    </row>
    <row r="32" spans="1:15" x14ac:dyDescent="0.3">
      <c r="B32" s="74"/>
      <c r="C32" s="74"/>
      <c r="D32" s="74"/>
      <c r="E32" s="74"/>
      <c r="F32" s="74"/>
      <c r="G32" s="74"/>
      <c r="H32" s="74"/>
      <c r="I32" s="74"/>
      <c r="J32" s="74"/>
      <c r="K32" s="74"/>
    </row>
    <row r="33" spans="1:15" x14ac:dyDescent="0.3">
      <c r="B33" s="74"/>
      <c r="C33" s="74"/>
      <c r="D33" s="74"/>
      <c r="E33" s="74"/>
      <c r="F33" s="74"/>
      <c r="G33" s="74"/>
      <c r="H33" s="74"/>
      <c r="I33" s="74"/>
      <c r="J33" s="74"/>
      <c r="K33" s="74"/>
    </row>
    <row r="34" spans="1:15" x14ac:dyDescent="0.3">
      <c r="A34" s="74"/>
      <c r="B34" s="74"/>
      <c r="C34" s="74"/>
      <c r="D34" s="74"/>
      <c r="E34" s="74"/>
      <c r="F34" s="74"/>
      <c r="G34" s="74"/>
      <c r="H34" s="74"/>
      <c r="I34" s="74"/>
      <c r="J34" s="74"/>
      <c r="K34" s="74"/>
      <c r="L34" s="74" t="s">
        <v>53</v>
      </c>
    </row>
    <row r="35" spans="1:15" x14ac:dyDescent="0.3">
      <c r="A35" s="74"/>
      <c r="B35" s="74"/>
      <c r="C35" s="74"/>
      <c r="D35" s="74"/>
      <c r="E35" s="74"/>
      <c r="F35" s="74"/>
      <c r="G35" s="74"/>
      <c r="H35" s="74"/>
      <c r="I35" s="74"/>
      <c r="J35" s="74"/>
      <c r="K35" s="74"/>
      <c r="L35" s="74" t="s">
        <v>1</v>
      </c>
    </row>
    <row r="36" spans="1:15" x14ac:dyDescent="0.3">
      <c r="A36" s="74"/>
      <c r="B36" s="74"/>
      <c r="C36" s="74"/>
      <c r="D36" s="74"/>
      <c r="E36" s="74"/>
      <c r="F36" s="74"/>
      <c r="G36" s="74"/>
      <c r="H36" s="74"/>
      <c r="I36" s="74"/>
      <c r="J36" s="74"/>
      <c r="K36" s="74"/>
      <c r="M36" s="74">
        <v>2018</v>
      </c>
      <c r="N36" s="74">
        <v>2019</v>
      </c>
    </row>
    <row r="37" spans="1:15" x14ac:dyDescent="0.3">
      <c r="A37" s="74"/>
      <c r="B37" s="74"/>
      <c r="C37" s="74"/>
      <c r="D37" s="74"/>
      <c r="E37" s="74"/>
      <c r="F37" s="74"/>
      <c r="G37" s="74"/>
      <c r="H37" s="74"/>
      <c r="I37" s="74"/>
      <c r="J37" s="74"/>
      <c r="K37" s="74"/>
      <c r="L37" s="79" t="s">
        <v>54</v>
      </c>
      <c r="M37" s="78">
        <f>'Tabel 1.1'!B34</f>
        <v>1858117.182</v>
      </c>
      <c r="N37" s="78">
        <f>'Tabel 1.1'!C34</f>
        <v>1996554.923</v>
      </c>
    </row>
    <row r="38" spans="1:15" x14ac:dyDescent="0.3">
      <c r="A38" s="74"/>
      <c r="B38" s="74"/>
      <c r="C38" s="74"/>
      <c r="D38" s="74"/>
      <c r="E38" s="74"/>
      <c r="F38" s="74"/>
      <c r="G38" s="74"/>
      <c r="H38" s="74"/>
      <c r="I38" s="74"/>
      <c r="J38" s="74"/>
      <c r="K38" s="74"/>
      <c r="L38" s="74" t="s">
        <v>55</v>
      </c>
      <c r="M38" s="78">
        <f>'Tabel 1.1'!B35</f>
        <v>8751380.8939999994</v>
      </c>
      <c r="N38" s="78">
        <f>'Tabel 1.1'!C35</f>
        <v>9947581.5</v>
      </c>
    </row>
    <row r="39" spans="1:15" x14ac:dyDescent="0.3">
      <c r="A39" s="74"/>
      <c r="B39" s="74"/>
      <c r="C39" s="74"/>
      <c r="D39" s="74"/>
      <c r="E39" s="74"/>
      <c r="F39" s="74"/>
      <c r="G39" s="74"/>
      <c r="H39" s="74"/>
      <c r="I39" s="74"/>
      <c r="J39" s="74"/>
      <c r="K39" s="74"/>
      <c r="L39" s="74" t="s">
        <v>57</v>
      </c>
      <c r="M39" s="78">
        <f>'Tabel 1.1'!B36</f>
        <v>383502.5</v>
      </c>
      <c r="N39" s="78">
        <f>'Tabel 1.1'!C36</f>
        <v>423019</v>
      </c>
    </row>
    <row r="40" spans="1:15" x14ac:dyDescent="0.3">
      <c r="A40" s="74"/>
      <c r="B40" s="74"/>
      <c r="C40" s="74"/>
      <c r="D40" s="74"/>
      <c r="E40" s="74"/>
      <c r="F40" s="74"/>
      <c r="G40" s="74"/>
      <c r="H40" s="74"/>
      <c r="I40" s="74"/>
      <c r="J40" s="74"/>
      <c r="K40" s="74"/>
      <c r="L40" s="79" t="s">
        <v>60</v>
      </c>
      <c r="M40" s="78">
        <f>'Tabel 1.1'!B37</f>
        <v>2849928</v>
      </c>
      <c r="N40" s="78">
        <f>'Tabel 1.1'!C37</f>
        <v>3290851</v>
      </c>
    </row>
    <row r="41" spans="1:15" x14ac:dyDescent="0.3">
      <c r="A41" s="74"/>
      <c r="B41" s="74"/>
      <c r="C41" s="74"/>
      <c r="D41" s="74"/>
      <c r="E41" s="74"/>
      <c r="F41" s="74"/>
      <c r="G41" s="74"/>
      <c r="H41" s="74"/>
      <c r="I41" s="74"/>
      <c r="J41" s="74"/>
      <c r="K41" s="74"/>
      <c r="L41" s="74" t="s">
        <v>63</v>
      </c>
      <c r="M41" s="78">
        <f>'Tabel 1.1'!B38</f>
        <v>148957.79199999999</v>
      </c>
      <c r="N41" s="78">
        <f>'Tabel 1.1'!C38</f>
        <v>152808.77100000001</v>
      </c>
      <c r="O41" s="74"/>
    </row>
    <row r="42" spans="1:15" x14ac:dyDescent="0.3">
      <c r="A42" s="74"/>
      <c r="B42" s="74"/>
      <c r="C42" s="74"/>
      <c r="D42" s="74"/>
      <c r="E42" s="74"/>
      <c r="F42" s="74"/>
      <c r="G42" s="74"/>
      <c r="H42" s="74"/>
      <c r="I42" s="74"/>
      <c r="J42" s="74"/>
      <c r="K42" s="74"/>
      <c r="L42" s="79" t="s">
        <v>64</v>
      </c>
      <c r="M42" s="78">
        <f>'Tabel 1.1'!B39</f>
        <v>432767</v>
      </c>
      <c r="N42" s="78">
        <f>'Tabel 1.1'!C39</f>
        <v>542528</v>
      </c>
      <c r="O42" s="74"/>
    </row>
    <row r="43" spans="1:15" x14ac:dyDescent="0.3">
      <c r="A43" s="74"/>
      <c r="B43" s="74"/>
      <c r="C43" s="74"/>
      <c r="D43" s="74"/>
      <c r="E43" s="74"/>
      <c r="F43" s="74"/>
      <c r="G43" s="74"/>
      <c r="H43" s="74"/>
      <c r="I43" s="74"/>
      <c r="J43" s="74"/>
      <c r="K43" s="74"/>
      <c r="L43" s="79" t="s">
        <v>68</v>
      </c>
      <c r="M43" s="78">
        <f>'Tabel 1.1'!B40</f>
        <v>8182157.7377977194</v>
      </c>
      <c r="N43" s="78">
        <f>'Tabel 1.1'!C40</f>
        <v>12142064.528580001</v>
      </c>
      <c r="O43" s="74"/>
    </row>
    <row r="44" spans="1:15" x14ac:dyDescent="0.3">
      <c r="A44" s="74"/>
      <c r="B44" s="74"/>
      <c r="C44" s="74"/>
      <c r="D44" s="74"/>
      <c r="E44" s="74"/>
      <c r="F44" s="74"/>
      <c r="G44" s="74"/>
      <c r="H44" s="74"/>
      <c r="I44" s="74"/>
      <c r="J44" s="74"/>
      <c r="K44" s="74"/>
      <c r="L44" s="79" t="s">
        <v>74</v>
      </c>
      <c r="M44" s="78">
        <f>'Tabel 1.1'!B41</f>
        <v>153887</v>
      </c>
      <c r="N44" s="78">
        <f>'Tabel 1.1'!C41</f>
        <v>145834.70800000001</v>
      </c>
      <c r="O44" s="74"/>
    </row>
    <row r="45" spans="1:15" x14ac:dyDescent="0.3">
      <c r="A45" s="74"/>
      <c r="B45" s="74"/>
      <c r="C45" s="74"/>
      <c r="D45" s="74"/>
      <c r="E45" s="74"/>
      <c r="F45" s="74"/>
      <c r="G45" s="74"/>
      <c r="H45" s="74"/>
      <c r="I45" s="74"/>
      <c r="J45" s="74"/>
      <c r="K45" s="74"/>
      <c r="L45" s="79" t="s">
        <v>70</v>
      </c>
      <c r="M45" s="78">
        <f>'Tabel 1.1'!B42</f>
        <v>3902966.4111699997</v>
      </c>
      <c r="N45" s="78">
        <f>'Tabel 1.1'!C42</f>
        <v>4457595.7985100001</v>
      </c>
      <c r="O45" s="74"/>
    </row>
    <row r="46" spans="1:15" x14ac:dyDescent="0.3">
      <c r="A46" s="74"/>
      <c r="B46" s="74"/>
      <c r="C46" s="74"/>
      <c r="D46" s="74"/>
      <c r="E46" s="74"/>
      <c r="F46" s="74"/>
      <c r="G46" s="74"/>
      <c r="H46" s="74"/>
      <c r="I46" s="74"/>
      <c r="J46" s="74"/>
      <c r="K46" s="74"/>
      <c r="L46" s="79" t="s">
        <v>75</v>
      </c>
      <c r="M46" s="78">
        <f>'Tabel 1.1'!B43</f>
        <v>10907068.207210001</v>
      </c>
      <c r="N46" s="78">
        <f>'Tabel 1.1'!C43</f>
        <v>11112376.757999998</v>
      </c>
      <c r="O46" s="74"/>
    </row>
    <row r="47" spans="1:15" x14ac:dyDescent="0.3">
      <c r="A47" s="74"/>
      <c r="B47" s="74"/>
      <c r="C47" s="74"/>
      <c r="D47" s="74"/>
      <c r="E47" s="74"/>
      <c r="F47" s="74"/>
      <c r="G47" s="74"/>
      <c r="H47" s="74"/>
      <c r="I47" s="74"/>
      <c r="J47" s="74"/>
      <c r="K47" s="74"/>
      <c r="L47" s="79"/>
      <c r="M47" s="78"/>
      <c r="N47" s="78"/>
      <c r="O47" s="74"/>
    </row>
    <row r="48" spans="1:15" x14ac:dyDescent="0.3">
      <c r="A48" s="74"/>
      <c r="B48" s="74"/>
      <c r="C48" s="74"/>
      <c r="D48" s="74"/>
      <c r="E48" s="74"/>
      <c r="F48" s="74"/>
      <c r="G48" s="74"/>
      <c r="H48" s="74"/>
      <c r="I48" s="74"/>
      <c r="J48" s="74"/>
      <c r="K48" s="74"/>
      <c r="M48" s="77"/>
      <c r="N48" s="77"/>
      <c r="O48" s="74"/>
    </row>
    <row r="49" spans="1:15" x14ac:dyDescent="0.3">
      <c r="A49" s="74"/>
      <c r="B49" s="74"/>
      <c r="C49" s="74"/>
      <c r="D49" s="74"/>
      <c r="E49" s="74"/>
      <c r="F49" s="74"/>
      <c r="G49" s="74"/>
      <c r="H49" s="74"/>
      <c r="I49" s="74"/>
      <c r="J49" s="74"/>
      <c r="K49" s="74"/>
      <c r="M49" s="77"/>
      <c r="N49" s="77"/>
      <c r="O49" s="74"/>
    </row>
    <row r="50" spans="1:15" x14ac:dyDescent="0.3">
      <c r="A50" s="74"/>
      <c r="B50" s="74"/>
      <c r="C50" s="74"/>
      <c r="D50" s="74"/>
      <c r="E50" s="74"/>
      <c r="F50" s="74"/>
      <c r="G50" s="74"/>
      <c r="H50" s="74"/>
      <c r="I50" s="74"/>
      <c r="J50" s="74"/>
      <c r="K50" s="74"/>
      <c r="M50" s="77"/>
      <c r="N50" s="77"/>
      <c r="O50" s="74"/>
    </row>
    <row r="51" spans="1:15" x14ac:dyDescent="0.3">
      <c r="A51" s="74"/>
      <c r="B51" s="74"/>
      <c r="C51" s="74"/>
      <c r="D51" s="74"/>
      <c r="E51" s="74"/>
      <c r="F51" s="74"/>
      <c r="G51" s="74"/>
      <c r="H51" s="74"/>
      <c r="I51" s="74"/>
      <c r="J51" s="74"/>
      <c r="K51" s="74"/>
      <c r="M51" s="77"/>
      <c r="N51" s="77"/>
      <c r="O51" s="74"/>
    </row>
    <row r="52" spans="1:15" x14ac:dyDescent="0.3">
      <c r="A52" s="74"/>
      <c r="B52" s="74"/>
      <c r="C52" s="74"/>
      <c r="D52" s="74"/>
      <c r="E52" s="74"/>
      <c r="F52" s="74"/>
      <c r="G52" s="74"/>
      <c r="H52" s="74"/>
      <c r="I52" s="74"/>
      <c r="J52" s="74"/>
      <c r="K52" s="74"/>
      <c r="O52" s="74"/>
    </row>
    <row r="53" spans="1:15" x14ac:dyDescent="0.3">
      <c r="A53" s="74"/>
      <c r="B53" s="74"/>
      <c r="C53" s="74"/>
      <c r="D53" s="74"/>
      <c r="E53" s="74"/>
      <c r="F53" s="74"/>
      <c r="G53" s="74"/>
      <c r="H53" s="74"/>
      <c r="I53" s="74"/>
      <c r="J53" s="74"/>
      <c r="K53" s="74"/>
      <c r="O53" s="74"/>
    </row>
    <row r="54" spans="1:15" x14ac:dyDescent="0.3">
      <c r="A54" s="74"/>
      <c r="B54" s="74"/>
      <c r="C54" s="74"/>
      <c r="D54" s="74"/>
      <c r="E54" s="74"/>
      <c r="F54" s="74"/>
      <c r="G54" s="74"/>
      <c r="H54" s="74"/>
      <c r="I54" s="74"/>
      <c r="J54" s="74"/>
      <c r="K54" s="74"/>
      <c r="O54" s="74"/>
    </row>
    <row r="55" spans="1:15" x14ac:dyDescent="0.3">
      <c r="A55" s="74"/>
      <c r="B55" s="74"/>
      <c r="C55" s="74"/>
      <c r="D55" s="74"/>
      <c r="E55" s="74"/>
      <c r="F55" s="74"/>
      <c r="G55" s="74"/>
      <c r="H55" s="74"/>
      <c r="I55" s="74"/>
      <c r="J55" s="74"/>
      <c r="K55" s="74"/>
      <c r="O55" s="74"/>
    </row>
    <row r="56" spans="1:15" x14ac:dyDescent="0.3">
      <c r="A56" s="75" t="s">
        <v>483</v>
      </c>
      <c r="B56" s="74"/>
      <c r="C56" s="74"/>
      <c r="D56" s="74"/>
      <c r="E56" s="74"/>
      <c r="F56" s="74"/>
      <c r="G56" s="74"/>
      <c r="H56" s="74"/>
      <c r="I56" s="79"/>
      <c r="J56" s="74"/>
      <c r="K56" s="74"/>
      <c r="O56" s="74"/>
    </row>
    <row r="57" spans="1:15" x14ac:dyDescent="0.3">
      <c r="A57" s="74"/>
      <c r="B57" s="74"/>
      <c r="C57" s="74"/>
      <c r="D57" s="74"/>
      <c r="E57" s="74"/>
      <c r="F57" s="74"/>
      <c r="G57" s="74"/>
      <c r="H57" s="74"/>
      <c r="I57" s="74"/>
      <c r="J57" s="74"/>
      <c r="K57" s="74"/>
      <c r="L57" s="74" t="s">
        <v>76</v>
      </c>
      <c r="O57" s="74"/>
    </row>
    <row r="58" spans="1:15" x14ac:dyDescent="0.3">
      <c r="A58" s="74"/>
      <c r="B58" s="74"/>
      <c r="C58" s="74"/>
      <c r="D58" s="74"/>
      <c r="E58" s="74"/>
      <c r="F58" s="74"/>
      <c r="G58" s="74"/>
      <c r="H58" s="74"/>
      <c r="I58" s="74"/>
      <c r="J58" s="74"/>
      <c r="K58" s="74"/>
      <c r="L58" s="74" t="s">
        <v>0</v>
      </c>
      <c r="O58" s="74"/>
    </row>
    <row r="59" spans="1:15" x14ac:dyDescent="0.3">
      <c r="A59" s="74"/>
      <c r="B59" s="74"/>
      <c r="C59" s="74"/>
      <c r="D59" s="74"/>
      <c r="E59" s="74"/>
      <c r="F59" s="74"/>
      <c r="G59" s="74"/>
      <c r="H59" s="74"/>
      <c r="I59" s="74"/>
      <c r="J59" s="74"/>
      <c r="K59" s="74"/>
      <c r="M59" s="74">
        <v>2018</v>
      </c>
      <c r="N59" s="74">
        <v>2019</v>
      </c>
      <c r="O59" s="74"/>
    </row>
    <row r="60" spans="1:15" x14ac:dyDescent="0.3">
      <c r="A60" s="74"/>
      <c r="B60" s="74"/>
      <c r="C60" s="74"/>
      <c r="D60" s="74"/>
      <c r="E60" s="74"/>
      <c r="F60" s="74"/>
      <c r="G60" s="74"/>
      <c r="H60" s="74"/>
      <c r="I60" s="74"/>
      <c r="J60" s="74"/>
      <c r="K60" s="74"/>
      <c r="L60" s="74" t="s">
        <v>54</v>
      </c>
      <c r="M60" s="77">
        <f>'Tabel 1.1'!G10</f>
        <v>1144794.7290000001</v>
      </c>
      <c r="N60" s="77">
        <f>'Tabel 1.1'!H10</f>
        <v>1179127.2880000002</v>
      </c>
      <c r="O60" s="74"/>
    </row>
    <row r="61" spans="1:15" x14ac:dyDescent="0.3">
      <c r="A61" s="74"/>
      <c r="B61" s="74"/>
      <c r="C61" s="74"/>
      <c r="D61" s="74"/>
      <c r="E61" s="74"/>
      <c r="F61" s="74"/>
      <c r="G61" s="74"/>
      <c r="H61" s="74"/>
      <c r="I61" s="74"/>
      <c r="J61" s="74"/>
      <c r="K61" s="74"/>
      <c r="L61" s="74" t="s">
        <v>55</v>
      </c>
      <c r="M61" s="77">
        <f>'Tabel 1.1'!G11</f>
        <v>200300987.28</v>
      </c>
      <c r="N61" s="77">
        <f>'Tabel 1.1'!H11</f>
        <v>198525277</v>
      </c>
      <c r="O61" s="74"/>
    </row>
    <row r="62" spans="1:15" x14ac:dyDescent="0.3">
      <c r="A62" s="74"/>
      <c r="B62" s="74"/>
      <c r="C62" s="74"/>
      <c r="D62" s="74"/>
      <c r="E62" s="74"/>
      <c r="F62" s="74"/>
      <c r="G62" s="74"/>
      <c r="H62" s="74"/>
      <c r="I62" s="74"/>
      <c r="J62" s="74"/>
      <c r="K62" s="74"/>
      <c r="L62" s="74" t="s">
        <v>56</v>
      </c>
      <c r="M62" s="77">
        <f>'Tabel 1.1'!G12</f>
        <v>459894</v>
      </c>
      <c r="N62" s="77">
        <f>'Tabel 1.1'!H12</f>
        <v>503320</v>
      </c>
      <c r="O62" s="74"/>
    </row>
    <row r="63" spans="1:15" x14ac:dyDescent="0.3">
      <c r="A63" s="74"/>
      <c r="B63" s="74"/>
      <c r="C63" s="74"/>
      <c r="D63" s="74"/>
      <c r="E63" s="74"/>
      <c r="F63" s="74"/>
      <c r="G63" s="74"/>
      <c r="H63" s="74"/>
      <c r="I63" s="74"/>
      <c r="J63" s="74"/>
      <c r="K63" s="74"/>
      <c r="L63" s="74" t="s">
        <v>57</v>
      </c>
      <c r="M63" s="77">
        <f>'Tabel 1.1'!G13</f>
        <v>771394</v>
      </c>
      <c r="N63" s="77">
        <f>'Tabel 1.1'!H13</f>
        <v>848727</v>
      </c>
      <c r="O63" s="74"/>
    </row>
    <row r="64" spans="1:15" x14ac:dyDescent="0.3">
      <c r="A64" s="74"/>
      <c r="B64" s="74"/>
      <c r="C64" s="74"/>
      <c r="D64" s="74"/>
      <c r="E64" s="74"/>
      <c r="F64" s="74"/>
      <c r="G64" s="74"/>
      <c r="H64" s="74"/>
      <c r="I64" s="74"/>
      <c r="J64" s="74"/>
      <c r="K64" s="74"/>
      <c r="L64" s="74" t="s">
        <v>59</v>
      </c>
      <c r="M64" s="77">
        <f>'Tabel 1.1'!G14</f>
        <v>0</v>
      </c>
      <c r="N64" s="77">
        <f>'Tabel 1.1'!H14</f>
        <v>0</v>
      </c>
      <c r="O64" s="74"/>
    </row>
    <row r="65" spans="1:15" x14ac:dyDescent="0.3">
      <c r="A65" s="74"/>
      <c r="B65" s="74"/>
      <c r="C65" s="74"/>
      <c r="D65" s="74"/>
      <c r="E65" s="74"/>
      <c r="F65" s="74"/>
      <c r="G65" s="74"/>
      <c r="H65" s="74"/>
      <c r="I65" s="74"/>
      <c r="J65" s="74"/>
      <c r="K65" s="74"/>
      <c r="L65" s="74" t="s">
        <v>60</v>
      </c>
      <c r="M65" s="77">
        <f>'Tabel 1.1'!G16</f>
        <v>6586379</v>
      </c>
      <c r="N65" s="77">
        <f>'Tabel 1.1'!H16</f>
        <v>7183029</v>
      </c>
      <c r="O65" s="74"/>
    </row>
    <row r="66" spans="1:15" x14ac:dyDescent="0.3">
      <c r="A66" s="74"/>
      <c r="B66" s="74"/>
      <c r="C66" s="74"/>
      <c r="D66" s="74"/>
      <c r="E66" s="74"/>
      <c r="F66" s="74"/>
      <c r="G66" s="74"/>
      <c r="H66" s="74"/>
      <c r="I66" s="74"/>
      <c r="J66" s="74"/>
      <c r="K66" s="74"/>
      <c r="L66" s="74" t="s">
        <v>61</v>
      </c>
      <c r="M66" s="77">
        <f>'Tabel 1.1'!G17</f>
        <v>23055</v>
      </c>
      <c r="N66" s="77">
        <f>'Tabel 1.1'!H17</f>
        <v>27038.08164</v>
      </c>
      <c r="O66" s="74"/>
    </row>
    <row r="67" spans="1:15" x14ac:dyDescent="0.3">
      <c r="A67" s="74"/>
      <c r="B67" s="74"/>
      <c r="C67" s="74"/>
      <c r="D67" s="74"/>
      <c r="E67" s="74"/>
      <c r="F67" s="74"/>
      <c r="G67" s="74"/>
      <c r="H67" s="74"/>
      <c r="I67" s="74"/>
      <c r="J67" s="74"/>
      <c r="K67" s="74"/>
      <c r="L67" s="74" t="s">
        <v>62</v>
      </c>
      <c r="M67" s="77">
        <f>'Tabel 1.1'!G18</f>
        <v>453992</v>
      </c>
      <c r="N67" s="77">
        <f>'Tabel 1.1'!H18</f>
        <v>512717.34090000001</v>
      </c>
      <c r="O67" s="74"/>
    </row>
    <row r="68" spans="1:15" x14ac:dyDescent="0.3">
      <c r="A68" s="74"/>
      <c r="B68" s="74"/>
      <c r="C68" s="74"/>
      <c r="D68" s="74"/>
      <c r="E68" s="74"/>
      <c r="F68" s="74"/>
      <c r="G68" s="74"/>
      <c r="H68" s="74"/>
      <c r="I68" s="74"/>
      <c r="J68" s="74"/>
      <c r="K68" s="74"/>
      <c r="L68" s="74" t="s">
        <v>63</v>
      </c>
      <c r="M68" s="77">
        <f>'Tabel 1.1'!G19</f>
        <v>471726467.24905998</v>
      </c>
      <c r="N68" s="77">
        <f>'Tabel 1.1'!H19</f>
        <v>507748922.5025</v>
      </c>
      <c r="O68" s="74"/>
    </row>
    <row r="69" spans="1:15" x14ac:dyDescent="0.3">
      <c r="A69" s="74"/>
      <c r="B69" s="74"/>
      <c r="C69" s="74"/>
      <c r="D69" s="74"/>
      <c r="E69" s="74"/>
      <c r="F69" s="74"/>
      <c r="G69" s="74"/>
      <c r="H69" s="74"/>
      <c r="I69" s="74"/>
      <c r="J69" s="74"/>
      <c r="K69" s="74"/>
      <c r="L69" s="74" t="s">
        <v>64</v>
      </c>
      <c r="M69" s="77">
        <f>'Tabel 1.1'!G20</f>
        <v>1675894</v>
      </c>
      <c r="N69" s="77">
        <f>'Tabel 1.1'!H20</f>
        <v>1723587</v>
      </c>
      <c r="O69" s="74"/>
    </row>
    <row r="70" spans="1:15" x14ac:dyDescent="0.3">
      <c r="A70" s="74"/>
      <c r="B70" s="74"/>
      <c r="C70" s="74"/>
      <c r="D70" s="74"/>
      <c r="E70" s="74"/>
      <c r="F70" s="74"/>
      <c r="G70" s="74"/>
      <c r="H70" s="74"/>
      <c r="I70" s="74"/>
      <c r="J70" s="74"/>
      <c r="K70" s="74"/>
      <c r="L70" s="74" t="s">
        <v>65</v>
      </c>
      <c r="M70" s="77">
        <f>'Tabel 1.1'!G21</f>
        <v>22247</v>
      </c>
      <c r="N70" s="77">
        <f>'Tabel 1.1'!H21</f>
        <v>40612</v>
      </c>
      <c r="O70" s="74"/>
    </row>
    <row r="71" spans="1:15" x14ac:dyDescent="0.3">
      <c r="A71" s="74"/>
      <c r="B71" s="74"/>
      <c r="C71" s="74"/>
      <c r="D71" s="74"/>
      <c r="E71" s="74"/>
      <c r="F71" s="74"/>
      <c r="G71" s="74"/>
      <c r="H71" s="74"/>
      <c r="I71" s="74"/>
      <c r="J71" s="74"/>
      <c r="K71" s="74"/>
      <c r="L71" s="74" t="s">
        <v>68</v>
      </c>
      <c r="M71" s="77">
        <f>'Tabel 1.1'!G24</f>
        <v>50050246.091799468</v>
      </c>
      <c r="N71" s="77">
        <f>'Tabel 1.1'!H24</f>
        <v>51672210.116469145</v>
      </c>
      <c r="O71" s="74"/>
    </row>
    <row r="72" spans="1:15" x14ac:dyDescent="0.3">
      <c r="A72" s="74"/>
      <c r="B72" s="74"/>
      <c r="C72" s="74"/>
      <c r="D72" s="74"/>
      <c r="E72" s="74"/>
      <c r="F72" s="74"/>
      <c r="G72" s="74"/>
      <c r="H72" s="74"/>
      <c r="I72" s="74"/>
      <c r="J72" s="74"/>
      <c r="K72" s="74"/>
      <c r="L72" s="74" t="s">
        <v>69</v>
      </c>
      <c r="M72" s="77">
        <f>'Tabel 1.1'!G25</f>
        <v>74694000</v>
      </c>
      <c r="N72" s="77">
        <f>'Tabel 1.1'!H25</f>
        <v>76067254.04129</v>
      </c>
      <c r="O72" s="74"/>
    </row>
    <row r="73" spans="1:15" x14ac:dyDescent="0.3">
      <c r="A73" s="74"/>
      <c r="B73" s="74"/>
      <c r="C73" s="74"/>
      <c r="D73" s="74"/>
      <c r="E73" s="74"/>
      <c r="F73" s="74"/>
      <c r="G73" s="74"/>
      <c r="H73" s="74"/>
      <c r="I73" s="74"/>
      <c r="J73" s="74"/>
      <c r="K73" s="74"/>
      <c r="L73" s="74" t="s">
        <v>70</v>
      </c>
      <c r="M73" s="77">
        <f>'Tabel 1.1'!G27</f>
        <v>19767915.11112</v>
      </c>
      <c r="N73" s="77">
        <f>'Tabel 1.1'!H27</f>
        <v>21982930.468389999</v>
      </c>
      <c r="O73" s="74"/>
    </row>
    <row r="74" spans="1:15" x14ac:dyDescent="0.3">
      <c r="A74" s="74"/>
      <c r="B74" s="74"/>
      <c r="C74" s="74"/>
      <c r="D74" s="74"/>
      <c r="E74" s="74"/>
      <c r="F74" s="74"/>
      <c r="G74" s="74"/>
      <c r="H74" s="74"/>
      <c r="I74" s="74"/>
      <c r="J74" s="74"/>
      <c r="K74" s="74"/>
      <c r="L74" s="74" t="s">
        <v>71</v>
      </c>
      <c r="M74" s="77">
        <f>'Tabel 1.1'!G28</f>
        <v>180788161.222</v>
      </c>
      <c r="N74" s="77">
        <f>'Tabel 1.1'!H28</f>
        <v>181279490.90799999</v>
      </c>
      <c r="O74" s="74"/>
    </row>
    <row r="75" spans="1:15" x14ac:dyDescent="0.3">
      <c r="A75" s="74"/>
      <c r="B75" s="74"/>
      <c r="C75" s="74"/>
      <c r="D75" s="74"/>
      <c r="E75" s="74"/>
      <c r="F75" s="74"/>
      <c r="G75" s="74"/>
      <c r="H75" s="74"/>
      <c r="I75" s="74"/>
      <c r="J75" s="74"/>
      <c r="K75" s="74"/>
      <c r="O75" s="74"/>
    </row>
    <row r="76" spans="1:15" x14ac:dyDescent="0.3">
      <c r="A76" s="74"/>
      <c r="B76" s="74"/>
      <c r="C76" s="74"/>
      <c r="D76" s="74"/>
      <c r="E76" s="74"/>
      <c r="F76" s="74"/>
      <c r="G76" s="74"/>
      <c r="H76" s="74"/>
      <c r="I76" s="74"/>
      <c r="J76" s="74"/>
      <c r="K76" s="74"/>
      <c r="O76" s="74"/>
    </row>
    <row r="77" spans="1:15" x14ac:dyDescent="0.3">
      <c r="A77" s="74"/>
      <c r="B77" s="74"/>
      <c r="C77" s="74"/>
      <c r="D77" s="74"/>
      <c r="E77" s="74"/>
      <c r="F77" s="74"/>
      <c r="G77" s="74"/>
      <c r="H77" s="74"/>
      <c r="I77" s="74"/>
      <c r="J77" s="74"/>
      <c r="K77" s="74"/>
      <c r="O77" s="74"/>
    </row>
    <row r="78" spans="1:15" x14ac:dyDescent="0.3">
      <c r="A78" s="74"/>
      <c r="B78" s="74"/>
      <c r="C78" s="74"/>
      <c r="D78" s="74"/>
      <c r="E78" s="74"/>
      <c r="F78" s="74"/>
      <c r="G78" s="74"/>
      <c r="H78" s="74"/>
      <c r="I78" s="74"/>
      <c r="J78" s="74"/>
      <c r="K78" s="74"/>
      <c r="O78" s="74"/>
    </row>
    <row r="79" spans="1:15" x14ac:dyDescent="0.3">
      <c r="A79" s="74"/>
      <c r="B79" s="74"/>
      <c r="C79" s="74"/>
      <c r="D79" s="74"/>
      <c r="E79" s="74"/>
      <c r="F79" s="74"/>
      <c r="G79" s="74"/>
      <c r="H79" s="74"/>
      <c r="I79" s="74"/>
      <c r="J79" s="74"/>
      <c r="K79" s="74"/>
      <c r="O79" s="74"/>
    </row>
    <row r="80" spans="1:15" x14ac:dyDescent="0.3">
      <c r="A80" s="75" t="s">
        <v>484</v>
      </c>
      <c r="B80" s="74"/>
      <c r="C80" s="74"/>
      <c r="D80" s="74"/>
      <c r="E80" s="74"/>
      <c r="F80" s="74"/>
      <c r="G80" s="74"/>
      <c r="H80" s="74"/>
      <c r="I80" s="79"/>
      <c r="J80" s="74"/>
      <c r="K80" s="74"/>
      <c r="O80" s="74"/>
    </row>
    <row r="81" spans="1:15" x14ac:dyDescent="0.3">
      <c r="B81" s="74"/>
      <c r="C81" s="74"/>
      <c r="D81" s="74"/>
      <c r="E81" s="74"/>
      <c r="F81" s="74"/>
      <c r="G81" s="74"/>
      <c r="H81" s="74"/>
      <c r="I81" s="74"/>
      <c r="J81" s="74"/>
      <c r="K81" s="74"/>
      <c r="O81" s="74"/>
    </row>
    <row r="82" spans="1:15" x14ac:dyDescent="0.3">
      <c r="A82" s="74"/>
      <c r="B82" s="74"/>
      <c r="C82" s="74"/>
      <c r="D82" s="74"/>
      <c r="E82" s="74"/>
      <c r="F82" s="74"/>
      <c r="G82" s="74"/>
      <c r="H82" s="74"/>
      <c r="I82" s="74"/>
      <c r="J82" s="74"/>
      <c r="K82" s="74"/>
      <c r="L82" s="74" t="s">
        <v>76</v>
      </c>
      <c r="O82" s="74"/>
    </row>
    <row r="83" spans="1:15" x14ac:dyDescent="0.3">
      <c r="A83" s="74"/>
      <c r="B83" s="74"/>
      <c r="C83" s="74"/>
      <c r="D83" s="74"/>
      <c r="E83" s="74"/>
      <c r="F83" s="74"/>
      <c r="G83" s="74"/>
      <c r="H83" s="74"/>
      <c r="I83" s="74"/>
      <c r="J83" s="74"/>
      <c r="K83" s="74"/>
      <c r="L83" s="74" t="s">
        <v>1</v>
      </c>
      <c r="O83" s="74"/>
    </row>
    <row r="84" spans="1:15" x14ac:dyDescent="0.3">
      <c r="A84" s="74"/>
      <c r="B84" s="74"/>
      <c r="C84" s="74"/>
      <c r="D84" s="74"/>
      <c r="E84" s="74"/>
      <c r="F84" s="74"/>
      <c r="G84" s="74"/>
      <c r="H84" s="74"/>
      <c r="I84" s="74"/>
      <c r="J84" s="74"/>
      <c r="K84" s="74"/>
      <c r="M84" s="74">
        <v>2018</v>
      </c>
      <c r="N84" s="74">
        <v>2019</v>
      </c>
      <c r="O84" s="74"/>
    </row>
    <row r="85" spans="1:15" x14ac:dyDescent="0.3">
      <c r="B85" s="74"/>
      <c r="C85" s="74"/>
      <c r="D85" s="74"/>
      <c r="E85" s="74"/>
      <c r="F85" s="74"/>
      <c r="G85" s="74"/>
      <c r="H85" s="74"/>
      <c r="I85" s="74"/>
      <c r="J85" s="74"/>
      <c r="K85" s="74"/>
      <c r="L85" s="74" t="s">
        <v>54</v>
      </c>
      <c r="M85" s="77">
        <f>'Tabel 1.1'!G34</f>
        <v>16857045.754999999</v>
      </c>
      <c r="N85" s="77">
        <f>'Tabel 1.1'!H34</f>
        <v>20732864.511</v>
      </c>
      <c r="O85" s="74"/>
    </row>
    <row r="86" spans="1:15" x14ac:dyDescent="0.3">
      <c r="B86" s="74"/>
      <c r="C86" s="74"/>
      <c r="D86" s="74"/>
      <c r="E86" s="74"/>
      <c r="F86" s="74"/>
      <c r="G86" s="74"/>
      <c r="H86" s="74"/>
      <c r="I86" s="74"/>
      <c r="J86" s="74"/>
      <c r="K86" s="74"/>
      <c r="L86" s="74" t="s">
        <v>55</v>
      </c>
      <c r="M86" s="77">
        <f>'Tabel 1.1'!G35</f>
        <v>77241342.397</v>
      </c>
      <c r="N86" s="77">
        <f>'Tabel 1.1'!H35</f>
        <v>98943003.869000003</v>
      </c>
      <c r="O86" s="74"/>
    </row>
    <row r="87" spans="1:15" x14ac:dyDescent="0.3">
      <c r="B87" s="74"/>
      <c r="C87" s="74"/>
      <c r="D87" s="74"/>
      <c r="E87" s="74"/>
      <c r="F87" s="74"/>
      <c r="G87" s="74"/>
      <c r="H87" s="74"/>
      <c r="I87" s="74"/>
      <c r="J87" s="74"/>
      <c r="K87" s="74"/>
      <c r="L87" s="74" t="s">
        <v>57</v>
      </c>
      <c r="M87" s="77">
        <f>'Tabel 1.1'!G36</f>
        <v>3327175.3450000002</v>
      </c>
      <c r="N87" s="77">
        <f>'Tabel 1.1'!H36</f>
        <v>4266127</v>
      </c>
      <c r="O87" s="74"/>
    </row>
    <row r="88" spans="1:15" x14ac:dyDescent="0.3">
      <c r="B88" s="74"/>
      <c r="C88" s="74"/>
      <c r="D88" s="74"/>
      <c r="E88" s="74"/>
      <c r="F88" s="74"/>
      <c r="G88" s="74"/>
      <c r="H88" s="74"/>
      <c r="I88" s="74"/>
      <c r="J88" s="74"/>
      <c r="K88" s="74"/>
      <c r="L88" s="79" t="s">
        <v>60</v>
      </c>
      <c r="M88" s="77">
        <f>'Tabel 1.1'!G37</f>
        <v>24101780</v>
      </c>
      <c r="N88" s="77">
        <f>'Tabel 1.1'!H37</f>
        <v>30130866</v>
      </c>
      <c r="O88" s="74"/>
    </row>
    <row r="89" spans="1:15" x14ac:dyDescent="0.3">
      <c r="B89" s="74"/>
      <c r="C89" s="74"/>
      <c r="D89" s="74"/>
      <c r="E89" s="74"/>
      <c r="F89" s="74"/>
      <c r="G89" s="74"/>
      <c r="H89" s="74"/>
      <c r="I89" s="74"/>
      <c r="J89" s="74"/>
      <c r="K89" s="74"/>
      <c r="L89" s="74" t="s">
        <v>63</v>
      </c>
      <c r="M89" s="77">
        <f>'Tabel 1.1'!G38</f>
        <v>2418695.24015</v>
      </c>
      <c r="N89" s="77">
        <f>'Tabel 1.1'!H38</f>
        <v>2703759.0266499999</v>
      </c>
      <c r="O89" s="74"/>
    </row>
    <row r="90" spans="1:15" x14ac:dyDescent="0.3">
      <c r="B90" s="74"/>
      <c r="C90" s="74"/>
      <c r="D90" s="74"/>
      <c r="E90" s="74"/>
      <c r="F90" s="74"/>
      <c r="G90" s="74"/>
      <c r="H90" s="74"/>
      <c r="I90" s="74"/>
      <c r="J90" s="74"/>
      <c r="K90" s="74"/>
      <c r="L90" s="74" t="s">
        <v>64</v>
      </c>
      <c r="M90" s="77">
        <f>'Tabel 1.1'!G39</f>
        <v>3376787</v>
      </c>
      <c r="N90" s="77">
        <f>'Tabel 1.1'!H39</f>
        <v>4891857</v>
      </c>
      <c r="O90" s="74"/>
    </row>
    <row r="91" spans="1:15" x14ac:dyDescent="0.3">
      <c r="A91" s="74"/>
      <c r="B91" s="74"/>
      <c r="C91" s="74"/>
      <c r="D91" s="74"/>
      <c r="E91" s="74"/>
      <c r="F91" s="74"/>
      <c r="G91" s="74"/>
      <c r="H91" s="74"/>
      <c r="I91" s="74"/>
      <c r="J91" s="74"/>
      <c r="K91" s="74"/>
      <c r="L91" s="74" t="s">
        <v>68</v>
      </c>
      <c r="M91" s="77">
        <f>'Tabel 1.1'!G40</f>
        <v>59037750.000000045</v>
      </c>
      <c r="N91" s="77">
        <f>'Tabel 1.1'!H40</f>
        <v>77977130</v>
      </c>
      <c r="O91" s="74"/>
    </row>
    <row r="92" spans="1:15" ht="18.75" customHeight="1" x14ac:dyDescent="0.3">
      <c r="A92" s="74"/>
      <c r="B92" s="74"/>
      <c r="C92" s="74"/>
      <c r="D92" s="74"/>
      <c r="E92" s="74"/>
      <c r="F92" s="74"/>
      <c r="G92" s="74"/>
      <c r="H92" s="74"/>
      <c r="I92" s="74"/>
      <c r="J92" s="74"/>
      <c r="K92" s="74"/>
      <c r="L92" s="74" t="s">
        <v>74</v>
      </c>
      <c r="M92" s="77">
        <f>'Tabel 1.1'!G41</f>
        <v>2076510</v>
      </c>
      <c r="N92" s="77">
        <f>'Tabel 1.1'!H41</f>
        <v>2541186</v>
      </c>
      <c r="O92" s="74"/>
    </row>
    <row r="93" spans="1:15" ht="18.75" customHeight="1" x14ac:dyDescent="0.3">
      <c r="A93" s="74"/>
      <c r="B93" s="74"/>
      <c r="C93" s="74"/>
      <c r="D93" s="74"/>
      <c r="E93" s="74"/>
      <c r="F93" s="74"/>
      <c r="G93" s="74"/>
      <c r="H93" s="74"/>
      <c r="I93" s="74"/>
      <c r="J93" s="74"/>
      <c r="K93" s="74"/>
      <c r="L93" s="74" t="s">
        <v>70</v>
      </c>
      <c r="M93" s="77">
        <f>'Tabel 1.1'!G42</f>
        <v>27670397.0995</v>
      </c>
      <c r="N93" s="77">
        <f>'Tabel 1.1'!H42</f>
        <v>35920709.854330003</v>
      </c>
      <c r="O93" s="74"/>
    </row>
    <row r="94" spans="1:15" ht="18.75" customHeight="1" x14ac:dyDescent="0.3">
      <c r="A94" s="74"/>
      <c r="B94" s="74"/>
      <c r="C94" s="74"/>
      <c r="D94" s="74"/>
      <c r="E94" s="74"/>
      <c r="F94" s="74"/>
      <c r="G94" s="74"/>
      <c r="H94" s="74"/>
      <c r="I94" s="74"/>
      <c r="J94" s="74"/>
      <c r="K94" s="74"/>
      <c r="L94" s="74" t="s">
        <v>75</v>
      </c>
      <c r="M94" s="77">
        <f>'Tabel 1.1'!G43</f>
        <v>93401620.811000004</v>
      </c>
      <c r="N94" s="77">
        <f>'Tabel 1.1'!H43</f>
        <v>114501651.811</v>
      </c>
      <c r="O94" s="74"/>
    </row>
    <row r="95" spans="1:15" ht="18.75" customHeight="1" x14ac:dyDescent="0.3">
      <c r="A95" s="74"/>
      <c r="B95" s="74"/>
      <c r="C95" s="74"/>
      <c r="D95" s="74"/>
      <c r="E95" s="74"/>
      <c r="F95" s="74"/>
      <c r="G95" s="74"/>
      <c r="H95" s="74"/>
      <c r="I95" s="74"/>
      <c r="J95" s="74"/>
      <c r="K95" s="74"/>
      <c r="M95" s="77"/>
      <c r="O95" s="74"/>
    </row>
    <row r="96" spans="1:15" ht="18.75" customHeight="1" x14ac:dyDescent="0.3">
      <c r="A96" s="74"/>
      <c r="B96" s="74"/>
      <c r="C96" s="74"/>
      <c r="D96" s="74"/>
      <c r="E96" s="74"/>
      <c r="F96" s="74"/>
      <c r="G96" s="74"/>
      <c r="H96" s="74"/>
      <c r="I96" s="74"/>
      <c r="J96" s="74"/>
      <c r="K96" s="74"/>
      <c r="O96" s="74"/>
    </row>
    <row r="97" spans="1:17" ht="18.75" customHeight="1" x14ac:dyDescent="0.3">
      <c r="A97" s="74"/>
      <c r="B97" s="74"/>
      <c r="C97" s="74"/>
      <c r="D97" s="74"/>
      <c r="E97" s="74"/>
      <c r="F97" s="74"/>
      <c r="G97" s="74"/>
      <c r="H97" s="74"/>
      <c r="I97" s="74"/>
      <c r="J97" s="74"/>
      <c r="K97" s="74"/>
      <c r="O97" s="74"/>
      <c r="Q97" s="74"/>
    </row>
    <row r="98" spans="1:17" ht="18.75" customHeight="1" x14ac:dyDescent="0.3">
      <c r="A98" s="74"/>
      <c r="B98" s="74"/>
      <c r="C98" s="74"/>
      <c r="D98" s="74"/>
      <c r="E98" s="74"/>
      <c r="F98" s="74"/>
      <c r="G98" s="74"/>
      <c r="H98" s="74"/>
      <c r="I98" s="74"/>
      <c r="J98" s="74"/>
      <c r="K98" s="74"/>
      <c r="O98" s="74"/>
      <c r="Q98" s="74"/>
    </row>
    <row r="99" spans="1:17" ht="18.75" customHeight="1" x14ac:dyDescent="0.3">
      <c r="A99" s="74"/>
      <c r="B99" s="74"/>
      <c r="C99" s="74"/>
      <c r="D99" s="74"/>
      <c r="E99" s="74"/>
      <c r="F99" s="74"/>
      <c r="G99" s="74"/>
      <c r="H99" s="74"/>
      <c r="I99" s="74"/>
      <c r="J99" s="74"/>
      <c r="K99" s="74"/>
      <c r="O99" s="74"/>
      <c r="Q99" s="74"/>
    </row>
    <row r="100" spans="1:17" ht="18.75" customHeight="1" x14ac:dyDescent="0.3">
      <c r="A100" s="74"/>
      <c r="B100" s="74"/>
      <c r="C100" s="74"/>
      <c r="D100" s="74"/>
      <c r="E100" s="74"/>
      <c r="F100" s="74"/>
      <c r="G100" s="74"/>
      <c r="H100" s="74"/>
      <c r="I100" s="74"/>
      <c r="J100" s="74"/>
      <c r="K100" s="74"/>
      <c r="O100" s="74"/>
      <c r="Q100" s="74"/>
    </row>
    <row r="101" spans="1:17" ht="18.75" customHeight="1" x14ac:dyDescent="0.3">
      <c r="A101" s="74"/>
      <c r="B101" s="74"/>
      <c r="C101" s="74"/>
      <c r="D101" s="74"/>
      <c r="E101" s="74"/>
      <c r="F101" s="74"/>
      <c r="G101" s="74"/>
      <c r="H101" s="74"/>
      <c r="I101" s="74"/>
      <c r="J101" s="74"/>
      <c r="K101" s="74"/>
      <c r="O101" s="74"/>
      <c r="Q101" s="74"/>
    </row>
    <row r="102" spans="1:17" ht="18.75" customHeight="1" x14ac:dyDescent="0.3">
      <c r="A102" s="74"/>
      <c r="B102" s="74"/>
      <c r="C102" s="74"/>
      <c r="D102" s="74"/>
      <c r="E102" s="74"/>
      <c r="F102" s="74"/>
      <c r="G102" s="74"/>
      <c r="H102" s="74"/>
      <c r="I102" s="74"/>
      <c r="J102" s="74"/>
      <c r="K102" s="74"/>
      <c r="O102" s="74"/>
      <c r="Q102" s="74"/>
    </row>
    <row r="103" spans="1:17" ht="18.75" customHeight="1" x14ac:dyDescent="0.3">
      <c r="A103" s="74"/>
      <c r="B103" s="74"/>
      <c r="C103" s="74"/>
      <c r="D103" s="74"/>
      <c r="E103" s="74"/>
      <c r="F103" s="74"/>
      <c r="G103" s="74"/>
      <c r="H103" s="74"/>
      <c r="I103" s="74"/>
      <c r="J103" s="74"/>
      <c r="K103" s="74"/>
      <c r="O103" s="74"/>
      <c r="Q103" s="74"/>
    </row>
    <row r="104" spans="1:17" ht="18.75" customHeight="1" x14ac:dyDescent="0.3">
      <c r="A104" s="74"/>
      <c r="B104" s="74"/>
      <c r="C104" s="74"/>
      <c r="D104" s="74"/>
      <c r="E104" s="74"/>
      <c r="F104" s="74"/>
      <c r="G104" s="74"/>
      <c r="H104" s="74"/>
      <c r="I104" s="74"/>
      <c r="J104" s="74"/>
      <c r="K104" s="74"/>
      <c r="O104" s="74"/>
      <c r="Q104" s="74"/>
    </row>
    <row r="105" spans="1:17" ht="18.75" customHeight="1" x14ac:dyDescent="0.3">
      <c r="A105" s="74"/>
      <c r="B105" s="74"/>
      <c r="C105" s="74"/>
      <c r="D105" s="74"/>
      <c r="E105" s="74"/>
      <c r="F105" s="74"/>
      <c r="G105" s="74"/>
      <c r="H105" s="74"/>
      <c r="I105" s="74"/>
      <c r="J105" s="74"/>
      <c r="K105" s="74"/>
      <c r="O105" s="74"/>
      <c r="Q105" s="74"/>
    </row>
    <row r="106" spans="1:17" ht="18.75" customHeight="1" x14ac:dyDescent="0.3">
      <c r="A106" s="75" t="s">
        <v>485</v>
      </c>
      <c r="B106" s="74"/>
      <c r="C106" s="74"/>
      <c r="D106" s="74"/>
      <c r="E106" s="74"/>
      <c r="F106" s="74"/>
      <c r="G106" s="74"/>
      <c r="H106" s="79"/>
      <c r="I106" s="74"/>
      <c r="J106" s="74"/>
      <c r="K106" s="74"/>
      <c r="O106" s="74"/>
      <c r="Q106" s="74"/>
    </row>
    <row r="107" spans="1:17" ht="18.75" customHeight="1" x14ac:dyDescent="0.3">
      <c r="A107" s="74"/>
      <c r="B107" s="74"/>
      <c r="C107" s="74"/>
      <c r="D107" s="74"/>
      <c r="E107" s="74"/>
      <c r="F107" s="74"/>
      <c r="G107" s="74"/>
      <c r="H107" s="74"/>
      <c r="I107" s="74"/>
      <c r="J107" s="74"/>
      <c r="K107" s="74"/>
      <c r="O107" s="74"/>
      <c r="Q107" s="74"/>
    </row>
    <row r="108" spans="1:17" ht="18.75" customHeight="1" x14ac:dyDescent="0.3">
      <c r="A108" s="74"/>
      <c r="B108" s="74"/>
      <c r="C108" s="74"/>
      <c r="D108" s="74"/>
      <c r="E108" s="74"/>
      <c r="F108" s="74"/>
      <c r="G108" s="74"/>
      <c r="H108" s="74"/>
      <c r="I108" s="74"/>
      <c r="J108" s="74"/>
      <c r="K108" s="74"/>
      <c r="L108" s="74" t="s">
        <v>77</v>
      </c>
      <c r="O108" s="74"/>
      <c r="Q108" s="74"/>
    </row>
    <row r="109" spans="1:17" ht="18.75" customHeight="1" x14ac:dyDescent="0.3">
      <c r="A109" s="74"/>
      <c r="B109" s="74"/>
      <c r="C109" s="74"/>
      <c r="D109" s="74"/>
      <c r="E109" s="74"/>
      <c r="F109" s="74"/>
      <c r="G109" s="74"/>
      <c r="H109" s="74"/>
      <c r="I109" s="74"/>
      <c r="J109" s="74"/>
      <c r="K109" s="74"/>
      <c r="L109" s="74" t="s">
        <v>0</v>
      </c>
      <c r="O109" s="74"/>
      <c r="Q109" s="74"/>
    </row>
    <row r="110" spans="1:17" ht="18.75" customHeight="1" x14ac:dyDescent="0.3">
      <c r="A110" s="74"/>
      <c r="B110" s="74"/>
      <c r="C110" s="74"/>
      <c r="D110" s="74"/>
      <c r="E110" s="74"/>
      <c r="F110" s="74"/>
      <c r="G110" s="74"/>
      <c r="H110" s="74"/>
      <c r="I110" s="74"/>
      <c r="J110" s="74"/>
      <c r="K110" s="74"/>
      <c r="M110" s="74">
        <v>2018</v>
      </c>
      <c r="N110" s="74">
        <v>2019</v>
      </c>
      <c r="O110" s="74"/>
      <c r="Q110" s="74"/>
    </row>
    <row r="111" spans="1:17" ht="18.75" customHeight="1" x14ac:dyDescent="0.3">
      <c r="A111" s="74"/>
      <c r="B111" s="74"/>
      <c r="C111" s="74"/>
      <c r="D111" s="74"/>
      <c r="E111" s="74"/>
      <c r="F111" s="74"/>
      <c r="G111" s="74"/>
      <c r="H111" s="74"/>
      <c r="I111" s="74"/>
      <c r="J111" s="74"/>
      <c r="K111" s="74"/>
      <c r="L111" s="74" t="s">
        <v>54</v>
      </c>
      <c r="M111" s="77">
        <f>'Danica Pensjonsforsikring'!B11-'Danica Pensjonsforsikring'!B12+'Danica Pensjonsforsikring'!B34-'Danica Pensjonsforsikring'!B35+'Danica Pensjonsforsikring'!B38-'Danica Pensjonsforsikring'!B39+'Danica Pensjonsforsikring'!B111-'Danica Pensjonsforsikring'!B119+'Danica Pensjonsforsikring'!B136-'Danica Pensjonsforsikring'!B137</f>
        <v>7172.3330000000024</v>
      </c>
      <c r="N111" s="77">
        <f>'Danica Pensjonsforsikring'!C11-'Danica Pensjonsforsikring'!C12+'Danica Pensjonsforsikring'!C34-'Danica Pensjonsforsikring'!C35+'Danica Pensjonsforsikring'!C38-'Danica Pensjonsforsikring'!C39+'Danica Pensjonsforsikring'!C111-'Danica Pensjonsforsikring'!C119+'Danica Pensjonsforsikring'!C136-'Danica Pensjonsforsikring'!C137</f>
        <v>12101.764999999998</v>
      </c>
      <c r="O111" s="74"/>
      <c r="Q111" s="74"/>
    </row>
    <row r="112" spans="1:17" ht="18.75" customHeight="1" x14ac:dyDescent="0.3">
      <c r="A112" s="74"/>
      <c r="B112" s="74"/>
      <c r="C112" s="74"/>
      <c r="D112" s="74"/>
      <c r="E112" s="74"/>
      <c r="F112" s="74"/>
      <c r="G112" s="74"/>
      <c r="H112" s="74"/>
      <c r="I112" s="74"/>
      <c r="J112" s="74"/>
      <c r="K112" s="74"/>
      <c r="L112" s="74" t="s">
        <v>55</v>
      </c>
      <c r="M112" s="77">
        <f>'DNB Livsforsikring'!B11-'DNB Livsforsikring'!B12+'DNB Livsforsikring'!B34-'DNB Livsforsikring'!B35+'DNB Livsforsikring'!B38-'DNB Livsforsikring'!B39+'DNB Livsforsikring'!B111-'DNB Livsforsikring'!B119+'DNB Livsforsikring'!B136-'DNB Livsforsikring'!B137</f>
        <v>163223</v>
      </c>
      <c r="N112" s="77">
        <f>'DNB Livsforsikring'!C11-'DNB Livsforsikring'!C12+'DNB Livsforsikring'!C34-'DNB Livsforsikring'!C35+'DNB Livsforsikring'!C38-'DNB Livsforsikring'!C39+'DNB Livsforsikring'!C111-'DNB Livsforsikring'!C119+'DNB Livsforsikring'!C136-'DNB Livsforsikring'!C137</f>
        <v>177031</v>
      </c>
      <c r="O112" s="74"/>
      <c r="Q112" s="74"/>
    </row>
    <row r="113" spans="1:17" ht="18.75" customHeight="1" x14ac:dyDescent="0.3">
      <c r="A113" s="74"/>
      <c r="B113" s="74"/>
      <c r="C113" s="74"/>
      <c r="D113" s="74"/>
      <c r="E113" s="74"/>
      <c r="F113" s="74"/>
      <c r="G113" s="74"/>
      <c r="H113" s="74"/>
      <c r="I113" s="74"/>
      <c r="J113" s="74"/>
      <c r="K113" s="74"/>
      <c r="L113" s="79" t="s">
        <v>60</v>
      </c>
      <c r="M113" s="77">
        <f>'Gjensidige Pensjon'!B11-'Gjensidige Pensjon'!B12+'Gjensidige Pensjon'!B34-'Gjensidige Pensjon'!B35+'Gjensidige Pensjon'!B38-'Gjensidige Pensjon'!B39+'Gjensidige Pensjon'!B111-'Gjensidige Pensjon'!B119+'Gjensidige Pensjon'!B136-'Gjensidige Pensjon'!B137</f>
        <v>55886</v>
      </c>
      <c r="N113" s="77">
        <f>'Gjensidige Pensjon'!C11-'Gjensidige Pensjon'!C12+'Gjensidige Pensjon'!C34-'Gjensidige Pensjon'!C35+'Gjensidige Pensjon'!C38-'Gjensidige Pensjon'!C39+'Gjensidige Pensjon'!C111-'Gjensidige Pensjon'!C119+'Gjensidige Pensjon'!C136-'Gjensidige Pensjon'!C137</f>
        <v>40284</v>
      </c>
      <c r="O113" s="74"/>
      <c r="Q113" s="74"/>
    </row>
    <row r="114" spans="1:17" ht="18.75" customHeight="1" x14ac:dyDescent="0.3">
      <c r="A114" s="74"/>
      <c r="B114" s="74"/>
      <c r="C114" s="74"/>
      <c r="D114" s="74"/>
      <c r="E114" s="74"/>
      <c r="F114" s="74"/>
      <c r="G114" s="74"/>
      <c r="H114" s="74"/>
      <c r="I114" s="74"/>
      <c r="J114" s="74"/>
      <c r="K114" s="74"/>
      <c r="L114" s="79" t="s">
        <v>63</v>
      </c>
      <c r="M114" s="77">
        <f>KLP!B11-KLP!B12+KLP!B34-KLP!B35+KLP!B38-KLP!B39+KLP!B111-KLP!B119+KLP!B136-KLP!B137</f>
        <v>-492216.58499999996</v>
      </c>
      <c r="N114" s="77">
        <f>KLP!C11-KLP!C12+KLP!C34-KLP!C35+KLP!C38-KLP!C39+KLP!C111-KLP!C119+KLP!C136-KLP!C137</f>
        <v>-311467.57200000004</v>
      </c>
      <c r="O114" s="74"/>
      <c r="Q114" s="74"/>
    </row>
    <row r="115" spans="1:17" ht="18.75" customHeight="1" x14ac:dyDescent="0.3">
      <c r="A115" s="74"/>
      <c r="B115" s="74"/>
      <c r="C115" s="74"/>
      <c r="D115" s="74"/>
      <c r="E115" s="74"/>
      <c r="F115" s="74"/>
      <c r="G115" s="74"/>
      <c r="H115" s="74"/>
      <c r="I115" s="74"/>
      <c r="J115" s="74"/>
      <c r="K115" s="74"/>
      <c r="L115" s="79" t="s">
        <v>64</v>
      </c>
      <c r="M115" s="77">
        <f>'KLP Bedriftspensjon AS'!B11-'KLP Bedriftspensjon AS'!B12+'KLP Bedriftspensjon AS'!B34-'KLP Bedriftspensjon AS'!B35+'KLP Bedriftspensjon AS'!B38-'KLP Bedriftspensjon AS'!B39+'KLP Bedriftspensjon AS'!B111-'KLP Bedriftspensjon AS'!B119+'KLP Bedriftspensjon AS'!B136-'KLP Bedriftspensjon AS'!B137</f>
        <v>3095</v>
      </c>
      <c r="N115" s="77">
        <f>'KLP Bedriftspensjon AS'!C11-'KLP Bedriftspensjon AS'!C12+'KLP Bedriftspensjon AS'!C34-'KLP Bedriftspensjon AS'!C35+'KLP Bedriftspensjon AS'!C38-'KLP Bedriftspensjon AS'!C39+'KLP Bedriftspensjon AS'!C111-'KLP Bedriftspensjon AS'!C119+'KLP Bedriftspensjon AS'!C136-'KLP Bedriftspensjon AS'!C137</f>
        <v>517</v>
      </c>
      <c r="O115" s="74"/>
      <c r="Q115" s="74"/>
    </row>
    <row r="116" spans="1:17" ht="18.75" customHeight="1" x14ac:dyDescent="0.3">
      <c r="A116" s="74"/>
      <c r="B116" s="74"/>
      <c r="C116" s="74"/>
      <c r="D116" s="74"/>
      <c r="E116" s="74"/>
      <c r="F116" s="74"/>
      <c r="G116" s="74"/>
      <c r="H116" s="74"/>
      <c r="I116" s="74"/>
      <c r="J116" s="74"/>
      <c r="K116" s="74"/>
      <c r="L116" s="74" t="s">
        <v>68</v>
      </c>
      <c r="M116" s="77">
        <f>'Nordea Liv '!B11-'Nordea Liv '!B12+'Nordea Liv '!B34-'Nordea Liv '!B35+'Nordea Liv '!B38-'Nordea Liv '!B39+'Nordea Liv '!B111-'Nordea Liv '!B119+'Nordea Liv '!B136-'Nordea Liv '!B137</f>
        <v>-138834.61565999998</v>
      </c>
      <c r="N116" s="77">
        <f>'Nordea Liv '!C11-'Nordea Liv '!C12+'Nordea Liv '!C34-'Nordea Liv '!C35+'Nordea Liv '!C38-'Nordea Liv '!C39+'Nordea Liv '!C111-'Nordea Liv '!C119+'Nordea Liv '!C136-'Nordea Liv '!C137</f>
        <v>-21770</v>
      </c>
      <c r="O116" s="74"/>
      <c r="Q116" s="74"/>
    </row>
    <row r="117" spans="1:17" ht="18.75" customHeight="1" x14ac:dyDescent="0.3">
      <c r="A117" s="74"/>
      <c r="B117" s="74"/>
      <c r="C117" s="74"/>
      <c r="D117" s="74"/>
      <c r="E117" s="74"/>
      <c r="F117" s="74"/>
      <c r="G117" s="74"/>
      <c r="H117" s="74"/>
      <c r="I117" s="74"/>
      <c r="J117" s="74"/>
      <c r="K117" s="74"/>
      <c r="L117" s="74" t="s">
        <v>70</v>
      </c>
      <c r="M117" s="77">
        <f>'Sparebank 1'!B11-'Sparebank 1'!B12+'Sparebank 1'!B34-'Sparebank 1'!B35+'Sparebank 1'!B38-'Sparebank 1'!B39+'Sparebank 1'!B111-'Sparebank 1'!B119+'Sparebank 1'!B136-'Sparebank 1'!B137</f>
        <v>-40094.755590000008</v>
      </c>
      <c r="N117" s="77">
        <f>'Sparebank 1'!C11-'Sparebank 1'!C12+'Sparebank 1'!C34-'Sparebank 1'!C35+'Sparebank 1'!C38-'Sparebank 1'!C39+'Sparebank 1'!C111-'Sparebank 1'!C119+'Sparebank 1'!C136-'Sparebank 1'!C137</f>
        <v>-26898.822909999995</v>
      </c>
      <c r="O117" s="74"/>
    </row>
    <row r="118" spans="1:17" ht="18.75" customHeight="1" x14ac:dyDescent="0.3">
      <c r="A118" s="74"/>
      <c r="B118" s="74"/>
      <c r="C118" s="74"/>
      <c r="D118" s="74"/>
      <c r="E118" s="74"/>
      <c r="F118" s="74"/>
      <c r="G118" s="74"/>
      <c r="H118" s="74"/>
      <c r="I118" s="74"/>
      <c r="J118" s="74"/>
      <c r="K118" s="74"/>
      <c r="L118" s="74" t="s">
        <v>71</v>
      </c>
      <c r="M118" s="77">
        <f>'Storebrand Livsforsikring'!B11-'Storebrand Livsforsikring'!B12+'Storebrand Livsforsikring'!B34-'Storebrand Livsforsikring'!B35+'Storebrand Livsforsikring'!B38-'Storebrand Livsforsikring'!B39+'Storebrand Livsforsikring'!B111-'Storebrand Livsforsikring'!B119+'Storebrand Livsforsikring'!B136-'Storebrand Livsforsikring'!B137</f>
        <v>-27854.512999999992</v>
      </c>
      <c r="N118" s="77">
        <f>'Storebrand Livsforsikring'!C11-'Storebrand Livsforsikring'!C12+'Storebrand Livsforsikring'!C34-'Storebrand Livsforsikring'!C35+'Storebrand Livsforsikring'!C38-'Storebrand Livsforsikring'!C39+'Storebrand Livsforsikring'!C111-'Storebrand Livsforsikring'!C119+'Storebrand Livsforsikring'!C136-'Storebrand Livsforsikring'!C137</f>
        <v>-92858.755000000005</v>
      </c>
      <c r="O118" s="74"/>
    </row>
    <row r="119" spans="1:17" ht="18.75" customHeight="1" x14ac:dyDescent="0.3">
      <c r="A119" s="74"/>
      <c r="B119" s="74"/>
      <c r="C119" s="74"/>
      <c r="D119" s="74"/>
      <c r="E119" s="74"/>
      <c r="F119" s="74"/>
      <c r="G119" s="74"/>
      <c r="H119" s="74"/>
      <c r="I119" s="74"/>
      <c r="J119" s="74"/>
      <c r="K119" s="74"/>
      <c r="M119" s="77"/>
      <c r="N119" s="77"/>
      <c r="O119" s="74"/>
    </row>
    <row r="120" spans="1:17" ht="18.75" customHeight="1" x14ac:dyDescent="0.3">
      <c r="A120" s="74"/>
      <c r="B120" s="74"/>
      <c r="C120" s="74"/>
      <c r="D120" s="74"/>
      <c r="E120" s="74"/>
      <c r="F120" s="74"/>
      <c r="G120" s="74"/>
      <c r="H120" s="74"/>
      <c r="I120" s="74"/>
      <c r="J120" s="74"/>
      <c r="K120" s="74"/>
      <c r="M120" s="77"/>
      <c r="N120" s="77"/>
      <c r="O120" s="74"/>
    </row>
    <row r="121" spans="1:17" ht="18.75" customHeight="1" x14ac:dyDescent="0.3">
      <c r="A121" s="74"/>
      <c r="B121" s="74"/>
      <c r="C121" s="74"/>
      <c r="D121" s="74"/>
      <c r="E121" s="74"/>
      <c r="F121" s="74"/>
      <c r="G121" s="74"/>
      <c r="H121" s="74"/>
      <c r="I121" s="74"/>
      <c r="J121" s="74"/>
      <c r="K121" s="74"/>
      <c r="M121" s="77"/>
      <c r="N121" s="77"/>
      <c r="O121" s="74"/>
    </row>
    <row r="122" spans="1:17" ht="18.75" customHeight="1" x14ac:dyDescent="0.3">
      <c r="A122" s="74"/>
      <c r="B122" s="74"/>
      <c r="C122" s="74"/>
      <c r="D122" s="74"/>
      <c r="E122" s="74"/>
      <c r="F122" s="74"/>
      <c r="G122" s="74"/>
      <c r="H122" s="74"/>
      <c r="I122" s="74"/>
      <c r="J122" s="74"/>
      <c r="K122" s="74"/>
      <c r="M122" s="77"/>
      <c r="N122" s="77"/>
      <c r="O122" s="74"/>
    </row>
    <row r="123" spans="1:17" x14ac:dyDescent="0.3">
      <c r="A123" s="74"/>
      <c r="B123" s="74"/>
      <c r="C123" s="74"/>
      <c r="D123" s="74"/>
      <c r="E123" s="74"/>
      <c r="F123" s="74"/>
      <c r="G123" s="74"/>
      <c r="H123" s="74"/>
      <c r="I123" s="74"/>
      <c r="J123" s="74"/>
      <c r="K123" s="74"/>
      <c r="M123" s="77"/>
      <c r="N123" s="77"/>
      <c r="O123" s="74"/>
    </row>
    <row r="124" spans="1:17" x14ac:dyDescent="0.3">
      <c r="A124" s="74"/>
      <c r="B124" s="74"/>
      <c r="C124" s="74"/>
      <c r="D124" s="74"/>
      <c r="E124" s="74"/>
      <c r="F124" s="74"/>
      <c r="G124" s="74"/>
      <c r="H124" s="74"/>
      <c r="I124" s="74"/>
      <c r="J124" s="74"/>
      <c r="K124" s="74"/>
      <c r="M124" s="77"/>
      <c r="N124" s="77"/>
      <c r="O124" s="74"/>
    </row>
    <row r="125" spans="1:17" x14ac:dyDescent="0.3">
      <c r="A125" s="74"/>
      <c r="B125" s="74"/>
      <c r="C125" s="74"/>
      <c r="D125" s="74"/>
      <c r="E125" s="74"/>
      <c r="F125" s="74"/>
      <c r="G125" s="74"/>
      <c r="H125" s="74"/>
      <c r="I125" s="74"/>
      <c r="J125" s="74"/>
      <c r="K125" s="74"/>
      <c r="M125" s="77"/>
      <c r="N125" s="77"/>
      <c r="O125" s="74"/>
    </row>
    <row r="126" spans="1:17" x14ac:dyDescent="0.3">
      <c r="A126" s="74"/>
      <c r="B126" s="74"/>
      <c r="C126" s="74"/>
      <c r="D126" s="74"/>
      <c r="E126" s="74"/>
      <c r="F126" s="74"/>
      <c r="G126" s="74"/>
      <c r="H126" s="74"/>
      <c r="I126" s="74"/>
      <c r="J126" s="74"/>
      <c r="K126" s="74"/>
      <c r="M126" s="77"/>
      <c r="N126" s="77"/>
      <c r="O126" s="74"/>
    </row>
    <row r="127" spans="1:17" x14ac:dyDescent="0.3">
      <c r="A127" s="74"/>
      <c r="B127" s="74"/>
      <c r="C127" s="74"/>
      <c r="D127" s="74"/>
      <c r="E127" s="74"/>
      <c r="F127" s="74"/>
      <c r="G127" s="74"/>
      <c r="H127" s="74"/>
      <c r="I127" s="74"/>
      <c r="J127" s="74"/>
      <c r="K127" s="74"/>
      <c r="O127" s="74"/>
    </row>
    <row r="128" spans="1:17" x14ac:dyDescent="0.3">
      <c r="A128" s="74"/>
      <c r="B128" s="74"/>
      <c r="C128" s="74"/>
      <c r="D128" s="74"/>
      <c r="E128" s="74"/>
      <c r="F128" s="74"/>
      <c r="G128" s="74"/>
      <c r="H128" s="74"/>
      <c r="I128" s="74"/>
      <c r="J128" s="74"/>
      <c r="K128" s="74"/>
      <c r="O128" s="74"/>
    </row>
    <row r="129" spans="1:15" x14ac:dyDescent="0.3">
      <c r="A129" s="74"/>
      <c r="B129" s="74"/>
      <c r="C129" s="74"/>
      <c r="D129" s="74"/>
      <c r="E129" s="74"/>
      <c r="F129" s="74"/>
      <c r="G129" s="74"/>
      <c r="H129" s="74"/>
      <c r="I129" s="74"/>
      <c r="J129" s="74"/>
      <c r="K129" s="74"/>
      <c r="O129" s="74"/>
    </row>
    <row r="130" spans="1:15" x14ac:dyDescent="0.3">
      <c r="A130" s="75" t="s">
        <v>486</v>
      </c>
      <c r="B130" s="74"/>
      <c r="C130" s="74"/>
      <c r="D130" s="74"/>
      <c r="E130" s="74"/>
      <c r="F130" s="74"/>
      <c r="G130" s="74"/>
      <c r="H130" s="79"/>
      <c r="I130" s="74"/>
      <c r="J130" s="74"/>
      <c r="K130" s="74"/>
      <c r="O130" s="74"/>
    </row>
    <row r="131" spans="1:15" x14ac:dyDescent="0.3">
      <c r="B131" s="74"/>
      <c r="C131" s="74"/>
      <c r="D131" s="74"/>
      <c r="E131" s="74"/>
      <c r="F131" s="74"/>
      <c r="G131" s="74"/>
      <c r="H131" s="74"/>
      <c r="I131" s="74"/>
      <c r="J131" s="74"/>
      <c r="K131" s="74"/>
      <c r="O131" s="74"/>
    </row>
    <row r="132" spans="1:15" x14ac:dyDescent="0.3">
      <c r="A132" s="74"/>
      <c r="B132" s="74"/>
      <c r="C132" s="74"/>
      <c r="D132" s="74"/>
      <c r="E132" s="74"/>
      <c r="F132" s="74"/>
      <c r="G132" s="74"/>
      <c r="H132" s="74"/>
      <c r="I132" s="74"/>
      <c r="J132" s="74"/>
      <c r="K132" s="74"/>
      <c r="O132" s="74"/>
    </row>
    <row r="133" spans="1:15" x14ac:dyDescent="0.3">
      <c r="A133" s="74"/>
      <c r="B133" s="74"/>
      <c r="C133" s="74"/>
      <c r="D133" s="74"/>
      <c r="E133" s="74"/>
      <c r="F133" s="74"/>
      <c r="G133" s="74"/>
      <c r="H133" s="74"/>
      <c r="I133" s="74"/>
      <c r="J133" s="74"/>
      <c r="K133" s="74"/>
      <c r="L133" s="74" t="s">
        <v>78</v>
      </c>
      <c r="O133" s="74"/>
    </row>
    <row r="134" spans="1:15" x14ac:dyDescent="0.3">
      <c r="A134" s="74"/>
      <c r="B134" s="74"/>
      <c r="C134" s="74"/>
      <c r="D134" s="74"/>
      <c r="E134" s="74"/>
      <c r="F134" s="74"/>
      <c r="G134" s="74"/>
      <c r="H134" s="74"/>
      <c r="I134" s="74"/>
      <c r="J134" s="74"/>
      <c r="K134" s="74"/>
      <c r="L134" s="74" t="s">
        <v>1</v>
      </c>
      <c r="O134" s="74"/>
    </row>
    <row r="135" spans="1:15" x14ac:dyDescent="0.3">
      <c r="A135" s="74"/>
      <c r="B135" s="74"/>
      <c r="C135" s="74"/>
      <c r="D135" s="74"/>
      <c r="E135" s="74"/>
      <c r="F135" s="74"/>
      <c r="G135" s="74"/>
      <c r="H135" s="74"/>
      <c r="I135" s="74"/>
      <c r="J135" s="74"/>
      <c r="K135" s="74"/>
      <c r="M135" s="74">
        <v>2018</v>
      </c>
      <c r="N135" s="74">
        <v>2019</v>
      </c>
      <c r="O135" s="74"/>
    </row>
    <row r="136" spans="1:15" x14ac:dyDescent="0.3">
      <c r="A136" s="74"/>
      <c r="B136" s="74"/>
      <c r="C136" s="74"/>
      <c r="D136" s="74"/>
      <c r="E136" s="74"/>
      <c r="F136" s="74"/>
      <c r="G136" s="74"/>
      <c r="H136" s="74"/>
      <c r="I136" s="74"/>
      <c r="J136" s="74"/>
      <c r="K136" s="74"/>
      <c r="L136" s="74" t="s">
        <v>54</v>
      </c>
      <c r="M136" s="77">
        <f>'Danica Pensjonsforsikring'!F11-'Danica Pensjonsforsikring'!F12+'Danica Pensjonsforsikring'!F34-'Danica Pensjonsforsikring'!F35+'Danica Pensjonsforsikring'!F38-'Danica Pensjonsforsikring'!F39+'Danica Pensjonsforsikring'!F111-'Danica Pensjonsforsikring'!F119+'Danica Pensjonsforsikring'!F136-'Danica Pensjonsforsikring'!F137</f>
        <v>-210577.09800000011</v>
      </c>
      <c r="N136" s="77">
        <f>'Danica Pensjonsforsikring'!G11-'Danica Pensjonsforsikring'!G12+'Danica Pensjonsforsikring'!G34-'Danica Pensjonsforsikring'!G35+'Danica Pensjonsforsikring'!G38-'Danica Pensjonsforsikring'!G39+'Danica Pensjonsforsikring'!G111-'Danica Pensjonsforsikring'!G119+'Danica Pensjonsforsikring'!G136-'Danica Pensjonsforsikring'!G137</f>
        <v>252935.32400000002</v>
      </c>
      <c r="O136" s="74"/>
    </row>
    <row r="137" spans="1:15" x14ac:dyDescent="0.3">
      <c r="A137" s="74"/>
      <c r="B137" s="74"/>
      <c r="C137" s="74"/>
      <c r="D137" s="74"/>
      <c r="E137" s="74"/>
      <c r="F137" s="74"/>
      <c r="G137" s="74"/>
      <c r="H137" s="74"/>
      <c r="I137" s="74"/>
      <c r="J137" s="74"/>
      <c r="K137" s="74"/>
      <c r="L137" s="74" t="s">
        <v>55</v>
      </c>
      <c r="M137" s="77">
        <f>'DNB Livsforsikring'!F11-'DNB Livsforsikring'!F12+'DNB Livsforsikring'!F34-'DNB Livsforsikring'!F35+'DNB Livsforsikring'!F38-'DNB Livsforsikring'!F39+'DNB Livsforsikring'!F111-'DNB Livsforsikring'!F119+'DNB Livsforsikring'!F136-'DNB Livsforsikring'!F137</f>
        <v>-481067</v>
      </c>
      <c r="N137" s="77">
        <f>'DNB Livsforsikring'!G11-'DNB Livsforsikring'!G12+'DNB Livsforsikring'!G34-'DNB Livsforsikring'!G35+'DNB Livsforsikring'!G38-'DNB Livsforsikring'!G39+'DNB Livsforsikring'!G111-'DNB Livsforsikring'!G119+'DNB Livsforsikring'!G136-'DNB Livsforsikring'!G137</f>
        <v>-747449</v>
      </c>
      <c r="O137" s="74"/>
    </row>
    <row r="138" spans="1:15" x14ac:dyDescent="0.3">
      <c r="A138" s="74"/>
      <c r="B138" s="74"/>
      <c r="C138" s="74"/>
      <c r="D138" s="74"/>
      <c r="E138" s="74"/>
      <c r="F138" s="74"/>
      <c r="G138" s="74"/>
      <c r="H138" s="74"/>
      <c r="I138" s="74"/>
      <c r="J138" s="74"/>
      <c r="K138" s="74"/>
      <c r="L138" s="74" t="s">
        <v>57</v>
      </c>
      <c r="M138" s="77">
        <f>'Frende Livsforsikring'!F11-'Frende Livsforsikring'!F12+'Frende Livsforsikring'!F34-'Frende Livsforsikring'!F35+'Frende Livsforsikring'!F38-'Frende Livsforsikring'!F39+'Frende Livsforsikring'!F111-'Frende Livsforsikring'!F119+'Frende Livsforsikring'!F136-'Frende Livsforsikring'!F137</f>
        <v>-66404</v>
      </c>
      <c r="N138" s="77">
        <f>'Frende Livsforsikring'!G11-'Frende Livsforsikring'!G12+'Frende Livsforsikring'!G34-'Frende Livsforsikring'!G35+'Frende Livsforsikring'!G38-'Frende Livsforsikring'!G39+'Frende Livsforsikring'!G111-'Frende Livsforsikring'!G119+'Frende Livsforsikring'!G136-'Frende Livsforsikring'!G137</f>
        <v>52602</v>
      </c>
      <c r="O138" s="74"/>
    </row>
    <row r="139" spans="1:15" x14ac:dyDescent="0.3">
      <c r="A139" s="74"/>
      <c r="B139" s="74"/>
      <c r="C139" s="74"/>
      <c r="D139" s="74"/>
      <c r="E139" s="74"/>
      <c r="F139" s="74"/>
      <c r="G139" s="74"/>
      <c r="H139" s="74"/>
      <c r="I139" s="74"/>
      <c r="J139" s="74"/>
      <c r="K139" s="74"/>
      <c r="L139" s="79" t="s">
        <v>60</v>
      </c>
      <c r="M139" s="77">
        <f>'Gjensidige Pensjon'!F11-'Gjensidige Pensjon'!F12+'Gjensidige Pensjon'!F34-'Gjensidige Pensjon'!F35+'Gjensidige Pensjon'!F38-'Gjensidige Pensjon'!F39+'Gjensidige Pensjon'!F111-'Gjensidige Pensjon'!F119+'Gjensidige Pensjon'!F136-'Gjensidige Pensjon'!F137</f>
        <v>280691</v>
      </c>
      <c r="N139" s="77">
        <f>'Gjensidige Pensjon'!G11-'Gjensidige Pensjon'!G12+'Gjensidige Pensjon'!G34-'Gjensidige Pensjon'!G35+'Gjensidige Pensjon'!G38-'Gjensidige Pensjon'!G39+'Gjensidige Pensjon'!G111-'Gjensidige Pensjon'!G119+'Gjensidige Pensjon'!G136-'Gjensidige Pensjon'!G137</f>
        <v>-475395</v>
      </c>
      <c r="O139" s="74"/>
    </row>
    <row r="140" spans="1:15" x14ac:dyDescent="0.3">
      <c r="A140" s="74"/>
      <c r="B140" s="74"/>
      <c r="C140" s="74"/>
      <c r="D140" s="74"/>
      <c r="E140" s="74"/>
      <c r="F140" s="74"/>
      <c r="G140" s="74"/>
      <c r="H140" s="74"/>
      <c r="I140" s="74"/>
      <c r="J140" s="74"/>
      <c r="K140" s="74"/>
      <c r="L140" s="74" t="s">
        <v>64</v>
      </c>
      <c r="M140" s="77">
        <f>'KLP Bedriftspensjon AS'!F11-'KLP Bedriftspensjon AS'!F12+'KLP Bedriftspensjon AS'!F34-'KLP Bedriftspensjon AS'!F35+'KLP Bedriftspensjon AS'!F38-'KLP Bedriftspensjon AS'!F39+'KLP Bedriftspensjon AS'!F111-'KLP Bedriftspensjon AS'!F119+'KLP Bedriftspensjon AS'!F136-'KLP Bedriftspensjon AS'!F137</f>
        <v>444032</v>
      </c>
      <c r="N140" s="77">
        <f>'KLP Bedriftspensjon AS'!G11-'KLP Bedriftspensjon AS'!G12+'KLP Bedriftspensjon AS'!G34-'KLP Bedriftspensjon AS'!G35+'KLP Bedriftspensjon AS'!G38-'KLP Bedriftspensjon AS'!G39+'KLP Bedriftspensjon AS'!G111-'KLP Bedriftspensjon AS'!G119+'KLP Bedriftspensjon AS'!G136-'KLP Bedriftspensjon AS'!G137</f>
        <v>385283</v>
      </c>
      <c r="O140" s="74"/>
    </row>
    <row r="141" spans="1:15" x14ac:dyDescent="0.3">
      <c r="A141" s="74"/>
      <c r="B141" s="74"/>
      <c r="C141" s="74"/>
      <c r="D141" s="74"/>
      <c r="E141" s="74"/>
      <c r="F141" s="74"/>
      <c r="G141" s="74"/>
      <c r="H141" s="74"/>
      <c r="I141" s="74"/>
      <c r="J141" s="74"/>
      <c r="K141" s="74"/>
      <c r="L141" s="74" t="s">
        <v>68</v>
      </c>
      <c r="M141" s="77">
        <f>'Nordea Liv '!F11-'Nordea Liv '!F12+'Nordea Liv '!F34-'Nordea Liv '!F35+'Nordea Liv '!F38-'Nordea Liv '!F39+'Nordea Liv '!F111-'Nordea Liv '!F119+'Nordea Liv '!F136-'Nordea Liv '!F137</f>
        <v>-1061165.3843399999</v>
      </c>
      <c r="N141" s="77">
        <f>'Nordea Liv '!G11-'Nordea Liv '!G12+'Nordea Liv '!G34-'Nordea Liv '!G35+'Nordea Liv '!G38-'Nordea Liv '!G39+'Nordea Liv '!G111-'Nordea Liv '!G119+'Nordea Liv '!G136-'Nordea Liv '!G137</f>
        <v>1232764.5948499998</v>
      </c>
      <c r="O141" s="74"/>
    </row>
    <row r="142" spans="1:15" x14ac:dyDescent="0.3">
      <c r="A142" s="74"/>
      <c r="B142" s="74"/>
      <c r="C142" s="74"/>
      <c r="D142" s="74"/>
      <c r="E142" s="74"/>
      <c r="F142" s="74"/>
      <c r="G142" s="74"/>
      <c r="H142" s="74"/>
      <c r="I142" s="74"/>
      <c r="J142" s="74"/>
      <c r="K142" s="74"/>
      <c r="L142" s="74" t="s">
        <v>74</v>
      </c>
      <c r="M142" s="77">
        <f>'SHB Liv'!F11-'SHB Liv'!F12+'SHB Liv'!F34-'SHB Liv'!F35+'SHB Liv'!F38-'SHB Liv'!F39+'SHB Liv'!F111-'SHB Liv'!F119+'SHB Liv'!F136-'SHB Liv'!F137</f>
        <v>156380</v>
      </c>
      <c r="N142" s="77">
        <f>'SHB Liv'!G11-'SHB Liv'!G12+'SHB Liv'!G34-'SHB Liv'!G35+'SHB Liv'!G38-'SHB Liv'!G39+'SHB Liv'!G111-'SHB Liv'!G119+'SHB Liv'!G136-'SHB Liv'!G137</f>
        <v>108424.59321000001</v>
      </c>
      <c r="O142" s="74"/>
    </row>
    <row r="143" spans="1:15" x14ac:dyDescent="0.3">
      <c r="A143" s="74"/>
      <c r="B143" s="74"/>
      <c r="C143" s="74"/>
      <c r="D143" s="74"/>
      <c r="E143" s="74"/>
      <c r="F143" s="74"/>
      <c r="G143" s="74"/>
      <c r="H143" s="74"/>
      <c r="I143" s="74"/>
      <c r="J143" s="74"/>
      <c r="K143" s="74"/>
      <c r="L143" s="74" t="s">
        <v>70</v>
      </c>
      <c r="M143" s="77">
        <f>'Sparebank 1'!F11-'Sparebank 1'!F12+'Sparebank 1'!F34-'Sparebank 1'!F35+'Sparebank 1'!F38-'Sparebank 1'!F39+'Sparebank 1'!F111-'Sparebank 1'!F119+'Sparebank 1'!F136-'Sparebank 1'!F137</f>
        <v>1474548.0512999999</v>
      </c>
      <c r="N143" s="77">
        <f>'Sparebank 1'!G11-'Sparebank 1'!G12+'Sparebank 1'!G34-'Sparebank 1'!G35+'Sparebank 1'!G38-'Sparebank 1'!G39+'Sparebank 1'!G111-'Sparebank 1'!G119+'Sparebank 1'!G136-'Sparebank 1'!G137</f>
        <v>143228.91882000002</v>
      </c>
      <c r="O143" s="74"/>
    </row>
    <row r="144" spans="1:15" x14ac:dyDescent="0.3">
      <c r="A144" s="74"/>
      <c r="B144" s="74"/>
      <c r="C144" s="74"/>
      <c r="D144" s="74"/>
      <c r="E144" s="74"/>
      <c r="F144" s="74"/>
      <c r="G144" s="74"/>
      <c r="H144" s="74"/>
      <c r="I144" s="74"/>
      <c r="J144" s="74"/>
      <c r="K144" s="74"/>
      <c r="L144" s="74" t="s">
        <v>75</v>
      </c>
      <c r="M144" s="77">
        <f>'Storebrand Livsforsikring'!F11-'Storebrand Livsforsikring'!F12+'Storebrand Livsforsikring'!F34-'Storebrand Livsforsikring'!F35+'Storebrand Livsforsikring'!F38-'Storebrand Livsforsikring'!F39+'Storebrand Livsforsikring'!F111-'Storebrand Livsforsikring'!F119+'Storebrand Livsforsikring'!F136-'Storebrand Livsforsikring'!F137</f>
        <v>-788494.15700000012</v>
      </c>
      <c r="N144" s="77">
        <f>'Storebrand Livsforsikring'!G11-'Storebrand Livsforsikring'!G12+'Storebrand Livsforsikring'!G34-'Storebrand Livsforsikring'!G35+'Storebrand Livsforsikring'!G38-'Storebrand Livsforsikring'!G39+'Storebrand Livsforsikring'!G111-'Storebrand Livsforsikring'!G119+'Storebrand Livsforsikring'!G136-'Storebrand Livsforsikring'!G137</f>
        <v>-1250440.1450000005</v>
      </c>
      <c r="O144" s="74"/>
    </row>
    <row r="145" spans="1:15" x14ac:dyDescent="0.3">
      <c r="A145" s="74"/>
      <c r="B145" s="74"/>
      <c r="C145" s="74"/>
      <c r="D145" s="74"/>
      <c r="E145" s="74"/>
      <c r="F145" s="74"/>
      <c r="G145" s="74"/>
      <c r="H145" s="74"/>
      <c r="I145" s="74"/>
      <c r="J145" s="74"/>
      <c r="K145" s="74"/>
      <c r="O145" s="74"/>
    </row>
    <row r="146" spans="1:15" x14ac:dyDescent="0.3">
      <c r="A146" s="74"/>
      <c r="B146" s="74"/>
      <c r="C146" s="74"/>
      <c r="D146" s="74"/>
      <c r="E146" s="74"/>
      <c r="F146" s="74"/>
      <c r="G146" s="74"/>
      <c r="H146" s="74"/>
      <c r="I146" s="74"/>
      <c r="J146" s="74"/>
      <c r="K146" s="74"/>
      <c r="O146" s="74"/>
    </row>
    <row r="147" spans="1:15" x14ac:dyDescent="0.3">
      <c r="A147" s="74"/>
      <c r="B147" s="74"/>
      <c r="C147" s="74"/>
      <c r="D147" s="74"/>
      <c r="E147" s="74"/>
      <c r="F147" s="74"/>
      <c r="G147" s="74"/>
      <c r="H147" s="74"/>
      <c r="I147" s="74"/>
      <c r="J147" s="74"/>
      <c r="K147" s="74"/>
      <c r="O147" s="74"/>
    </row>
    <row r="148" spans="1:15" x14ac:dyDescent="0.3">
      <c r="A148" s="74"/>
      <c r="B148" s="74"/>
      <c r="C148" s="74"/>
      <c r="D148" s="74"/>
      <c r="E148" s="74"/>
      <c r="F148" s="74"/>
      <c r="G148" s="74"/>
      <c r="H148" s="74"/>
      <c r="I148" s="74"/>
      <c r="J148" s="74"/>
      <c r="K148" s="74"/>
      <c r="O148" s="74"/>
    </row>
    <row r="149" spans="1:15" x14ac:dyDescent="0.3">
      <c r="A149" s="74"/>
      <c r="B149" s="74"/>
      <c r="C149" s="74"/>
      <c r="D149" s="74"/>
      <c r="E149" s="74"/>
      <c r="F149" s="74"/>
      <c r="G149" s="74"/>
      <c r="H149" s="74"/>
      <c r="I149" s="74"/>
      <c r="J149" s="74"/>
      <c r="K149" s="74"/>
      <c r="O149" s="74"/>
    </row>
    <row r="150" spans="1:15" x14ac:dyDescent="0.3">
      <c r="A150" s="74"/>
      <c r="B150" s="74"/>
      <c r="C150" s="74"/>
      <c r="D150" s="74"/>
      <c r="E150" s="74"/>
      <c r="F150" s="74"/>
      <c r="G150" s="74"/>
      <c r="H150" s="74"/>
      <c r="I150" s="74"/>
      <c r="J150" s="74"/>
      <c r="K150" s="74"/>
      <c r="O150" s="74"/>
    </row>
    <row r="151" spans="1:15" x14ac:dyDescent="0.3">
      <c r="A151" s="74"/>
      <c r="B151" s="74"/>
      <c r="C151" s="74"/>
      <c r="D151" s="74"/>
      <c r="E151" s="74"/>
      <c r="F151" s="74"/>
      <c r="G151" s="74"/>
      <c r="H151" s="74"/>
      <c r="I151" s="74"/>
      <c r="J151" s="74"/>
      <c r="K151" s="74"/>
      <c r="O151" s="74"/>
    </row>
    <row r="152" spans="1:15" x14ac:dyDescent="0.3">
      <c r="A152" s="74"/>
      <c r="B152" s="74"/>
      <c r="C152" s="74"/>
      <c r="D152" s="74"/>
      <c r="E152" s="74"/>
      <c r="F152" s="74"/>
      <c r="G152" s="74"/>
      <c r="H152" s="74"/>
      <c r="I152" s="74"/>
      <c r="J152" s="74"/>
      <c r="K152" s="74"/>
      <c r="O152" s="74"/>
    </row>
    <row r="153" spans="1:15" x14ac:dyDescent="0.3">
      <c r="A153" s="74"/>
      <c r="B153" s="74"/>
      <c r="C153" s="74"/>
      <c r="D153" s="74"/>
      <c r="E153" s="74"/>
      <c r="F153" s="74"/>
      <c r="G153" s="74"/>
      <c r="H153" s="74"/>
      <c r="I153" s="74"/>
      <c r="J153" s="74"/>
      <c r="K153" s="74"/>
      <c r="O153" s="74"/>
    </row>
    <row r="154" spans="1:15" x14ac:dyDescent="0.3">
      <c r="O154" s="74"/>
    </row>
    <row r="155" spans="1:15" x14ac:dyDescent="0.3">
      <c r="O155" s="74"/>
    </row>
    <row r="156" spans="1:15" x14ac:dyDescent="0.3">
      <c r="O156" s="74"/>
    </row>
    <row r="157" spans="1:15" x14ac:dyDescent="0.3">
      <c r="O157" s="74"/>
    </row>
    <row r="158" spans="1:15" x14ac:dyDescent="0.3">
      <c r="O158" s="74"/>
    </row>
    <row r="159" spans="1:15" x14ac:dyDescent="0.3">
      <c r="O159" s="74"/>
    </row>
    <row r="160" spans="1:15" x14ac:dyDescent="0.3">
      <c r="O160" s="74"/>
    </row>
    <row r="161" spans="1:15" x14ac:dyDescent="0.3">
      <c r="O161" s="74"/>
    </row>
    <row r="162" spans="1:15" x14ac:dyDescent="0.3">
      <c r="O162" s="74"/>
    </row>
    <row r="163" spans="1:15" x14ac:dyDescent="0.3">
      <c r="O163" s="74"/>
    </row>
    <row r="164" spans="1:15" x14ac:dyDescent="0.3">
      <c r="O164" s="74"/>
    </row>
    <row r="165" spans="1:15" x14ac:dyDescent="0.3">
      <c r="O165" s="74"/>
    </row>
    <row r="166" spans="1:15" x14ac:dyDescent="0.3">
      <c r="O166" s="74"/>
    </row>
    <row r="167" spans="1:15" x14ac:dyDescent="0.3">
      <c r="O167" s="74"/>
    </row>
    <row r="168" spans="1:15" x14ac:dyDescent="0.3">
      <c r="O168" s="74"/>
    </row>
    <row r="169" spans="1:15" x14ac:dyDescent="0.3">
      <c r="O169" s="74"/>
    </row>
    <row r="170" spans="1:15" x14ac:dyDescent="0.3">
      <c r="A170" s="74"/>
      <c r="B170" s="74"/>
      <c r="C170" s="74"/>
      <c r="D170" s="74"/>
      <c r="E170" s="74"/>
      <c r="F170" s="74"/>
      <c r="G170" s="74"/>
      <c r="H170" s="74"/>
      <c r="I170" s="74"/>
      <c r="J170" s="74"/>
      <c r="K170" s="74"/>
      <c r="O170" s="74"/>
    </row>
    <row r="171" spans="1:15" x14ac:dyDescent="0.3">
      <c r="A171" s="74"/>
      <c r="B171" s="74"/>
      <c r="C171" s="74"/>
      <c r="D171" s="74"/>
      <c r="E171" s="74"/>
      <c r="F171" s="74"/>
      <c r="G171" s="74"/>
      <c r="H171" s="74"/>
      <c r="I171" s="74"/>
      <c r="J171" s="74"/>
      <c r="K171" s="74"/>
      <c r="O171" s="74"/>
    </row>
    <row r="172" spans="1:15" x14ac:dyDescent="0.3">
      <c r="A172" s="74"/>
      <c r="B172" s="74"/>
      <c r="C172" s="74"/>
      <c r="D172" s="74"/>
      <c r="E172" s="74"/>
      <c r="F172" s="74"/>
      <c r="G172" s="74"/>
      <c r="H172" s="74"/>
      <c r="I172" s="74"/>
      <c r="J172" s="74"/>
      <c r="K172" s="74"/>
      <c r="O172" s="74"/>
    </row>
    <row r="173" spans="1:15" x14ac:dyDescent="0.3">
      <c r="A173" s="74"/>
      <c r="B173" s="74"/>
      <c r="C173" s="74"/>
      <c r="D173" s="74"/>
      <c r="E173" s="74"/>
      <c r="F173" s="74"/>
      <c r="G173" s="74"/>
      <c r="H173" s="74"/>
      <c r="I173" s="74"/>
      <c r="J173" s="74"/>
      <c r="K173" s="74"/>
      <c r="O173" s="74"/>
    </row>
    <row r="174" spans="1:15" x14ac:dyDescent="0.3">
      <c r="A174" s="74"/>
      <c r="B174" s="74"/>
      <c r="C174" s="74"/>
      <c r="D174" s="74"/>
      <c r="E174" s="74"/>
      <c r="F174" s="74"/>
      <c r="G174" s="74"/>
      <c r="H174" s="74"/>
      <c r="I174" s="74"/>
      <c r="J174" s="74"/>
      <c r="K174" s="74"/>
      <c r="O174" s="74"/>
    </row>
    <row r="175" spans="1:15" x14ac:dyDescent="0.3">
      <c r="A175" s="74"/>
      <c r="B175" s="74"/>
      <c r="C175" s="74"/>
      <c r="D175" s="74"/>
      <c r="E175" s="74"/>
      <c r="F175" s="74"/>
      <c r="G175" s="74"/>
      <c r="H175" s="74"/>
      <c r="I175" s="74"/>
      <c r="J175" s="74"/>
      <c r="K175" s="74"/>
      <c r="O175" s="74"/>
    </row>
    <row r="176" spans="1:15" x14ac:dyDescent="0.3">
      <c r="A176" s="74"/>
      <c r="B176" s="74"/>
      <c r="C176" s="74"/>
      <c r="D176" s="74"/>
      <c r="E176" s="74"/>
      <c r="F176" s="74"/>
      <c r="G176" s="74"/>
      <c r="H176" s="74"/>
      <c r="I176" s="74"/>
      <c r="J176" s="74"/>
      <c r="K176" s="74"/>
      <c r="O176" s="74"/>
    </row>
  </sheetData>
  <hyperlinks>
    <hyperlink ref="A1" location="Innhold!A1" display="Tilbake" xr:uid="{00000000-0004-0000-0200-000000000000}"/>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Q61"/>
  <sheetViews>
    <sheetView showGridLines="0" zoomScale="70" zoomScaleNormal="7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90" style="456" customWidth="1"/>
    <col min="2" max="43" width="11.7109375" style="456" customWidth="1"/>
    <col min="44" max="16384" width="11.42578125" style="456"/>
  </cols>
  <sheetData>
    <row r="1" spans="1:43" ht="20.25" x14ac:dyDescent="0.3">
      <c r="A1" s="454" t="s">
        <v>288</v>
      </c>
      <c r="B1" s="420" t="s">
        <v>52</v>
      </c>
      <c r="C1" s="455"/>
      <c r="D1" s="455"/>
      <c r="E1" s="455"/>
      <c r="F1" s="455"/>
      <c r="G1" s="455"/>
      <c r="H1" s="455"/>
      <c r="I1" s="455"/>
      <c r="J1" s="455"/>
    </row>
    <row r="2" spans="1:43" ht="20.25" x14ac:dyDescent="0.3">
      <c r="A2" s="454" t="s">
        <v>261</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row>
    <row r="3" spans="1:43" ht="18.75" x14ac:dyDescent="0.3">
      <c r="A3" s="458" t="s">
        <v>289</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row>
    <row r="4" spans="1:43" ht="18.75" customHeight="1" x14ac:dyDescent="0.25">
      <c r="A4" s="426" t="s">
        <v>367</v>
      </c>
      <c r="B4" s="461"/>
      <c r="C4" s="461"/>
      <c r="D4" s="462"/>
      <c r="E4" s="463"/>
      <c r="F4" s="461"/>
      <c r="G4" s="462"/>
      <c r="H4" s="463"/>
      <c r="I4" s="461"/>
      <c r="J4" s="462"/>
      <c r="K4" s="464"/>
      <c r="L4" s="464"/>
      <c r="M4" s="464"/>
      <c r="N4" s="465"/>
      <c r="O4" s="464"/>
      <c r="P4" s="466"/>
      <c r="Q4" s="465"/>
      <c r="R4" s="464"/>
      <c r="S4" s="466"/>
      <c r="T4" s="465"/>
      <c r="U4" s="464"/>
      <c r="V4" s="466"/>
      <c r="W4" s="465"/>
      <c r="X4" s="464"/>
      <c r="Y4" s="466"/>
      <c r="Z4" s="465"/>
      <c r="AA4" s="464"/>
      <c r="AB4" s="466"/>
      <c r="AC4" s="465"/>
      <c r="AD4" s="464"/>
      <c r="AE4" s="466"/>
      <c r="AF4" s="465"/>
      <c r="AG4" s="464"/>
      <c r="AH4" s="466"/>
      <c r="AI4" s="465"/>
      <c r="AJ4" s="464"/>
      <c r="AK4" s="466"/>
      <c r="AL4" s="467"/>
      <c r="AM4" s="468"/>
      <c r="AN4" s="469"/>
      <c r="AO4" s="465"/>
      <c r="AP4" s="464"/>
      <c r="AQ4" s="470"/>
    </row>
    <row r="5" spans="1:43" ht="18.75" customHeight="1" x14ac:dyDescent="0.3">
      <c r="A5" s="471" t="s">
        <v>104</v>
      </c>
      <c r="B5" s="979" t="s">
        <v>179</v>
      </c>
      <c r="C5" s="980"/>
      <c r="D5" s="981"/>
      <c r="E5" s="979" t="s">
        <v>180</v>
      </c>
      <c r="F5" s="980"/>
      <c r="G5" s="981"/>
      <c r="H5" s="979" t="s">
        <v>181</v>
      </c>
      <c r="I5" s="980"/>
      <c r="J5" s="981"/>
      <c r="K5" s="979" t="s">
        <v>182</v>
      </c>
      <c r="L5" s="980"/>
      <c r="M5" s="981"/>
      <c r="N5" s="979" t="s">
        <v>183</v>
      </c>
      <c r="O5" s="980"/>
      <c r="P5" s="981"/>
      <c r="Q5" s="979"/>
      <c r="R5" s="980"/>
      <c r="S5" s="981"/>
      <c r="T5" s="979" t="s">
        <v>63</v>
      </c>
      <c r="U5" s="980"/>
      <c r="V5" s="981"/>
      <c r="W5" s="852"/>
      <c r="X5" s="853"/>
      <c r="Y5" s="854"/>
      <c r="Z5" s="979" t="s">
        <v>184</v>
      </c>
      <c r="AA5" s="980"/>
      <c r="AB5" s="981"/>
      <c r="AC5" s="880"/>
      <c r="AD5" s="881"/>
      <c r="AE5" s="882"/>
      <c r="AF5" s="979"/>
      <c r="AG5" s="980"/>
      <c r="AH5" s="981"/>
      <c r="AI5" s="979" t="s">
        <v>75</v>
      </c>
      <c r="AJ5" s="980"/>
      <c r="AK5" s="981"/>
      <c r="AL5" s="985" t="s">
        <v>2</v>
      </c>
      <c r="AM5" s="986"/>
      <c r="AN5" s="987"/>
      <c r="AO5" s="979" t="s">
        <v>290</v>
      </c>
      <c r="AP5" s="980"/>
      <c r="AQ5" s="981"/>
    </row>
    <row r="6" spans="1:43" ht="21" customHeight="1" x14ac:dyDescent="0.3">
      <c r="A6" s="472"/>
      <c r="B6" s="982" t="s">
        <v>185</v>
      </c>
      <c r="C6" s="983"/>
      <c r="D6" s="984"/>
      <c r="E6" s="982" t="s">
        <v>186</v>
      </c>
      <c r="F6" s="983"/>
      <c r="G6" s="984"/>
      <c r="H6" s="982" t="s">
        <v>186</v>
      </c>
      <c r="I6" s="983"/>
      <c r="J6" s="984"/>
      <c r="K6" s="982" t="s">
        <v>187</v>
      </c>
      <c r="L6" s="983"/>
      <c r="M6" s="984"/>
      <c r="N6" s="982" t="s">
        <v>93</v>
      </c>
      <c r="O6" s="983"/>
      <c r="P6" s="984"/>
      <c r="Q6" s="982" t="s">
        <v>63</v>
      </c>
      <c r="R6" s="983"/>
      <c r="S6" s="984"/>
      <c r="T6" s="982" t="s">
        <v>188</v>
      </c>
      <c r="U6" s="983"/>
      <c r="V6" s="984"/>
      <c r="W6" s="982" t="s">
        <v>68</v>
      </c>
      <c r="X6" s="983"/>
      <c r="Y6" s="984"/>
      <c r="Z6" s="982" t="s">
        <v>185</v>
      </c>
      <c r="AA6" s="983"/>
      <c r="AB6" s="984"/>
      <c r="AC6" s="982" t="s">
        <v>74</v>
      </c>
      <c r="AD6" s="983"/>
      <c r="AE6" s="984"/>
      <c r="AF6" s="982" t="s">
        <v>70</v>
      </c>
      <c r="AG6" s="983"/>
      <c r="AH6" s="984"/>
      <c r="AI6" s="982" t="s">
        <v>186</v>
      </c>
      <c r="AJ6" s="983"/>
      <c r="AK6" s="984"/>
      <c r="AL6" s="988" t="s">
        <v>291</v>
      </c>
      <c r="AM6" s="989"/>
      <c r="AN6" s="990"/>
      <c r="AO6" s="982" t="s">
        <v>292</v>
      </c>
      <c r="AP6" s="983"/>
      <c r="AQ6" s="984"/>
    </row>
    <row r="7" spans="1:43" ht="18.75" customHeight="1" x14ac:dyDescent="0.3">
      <c r="A7" s="472"/>
      <c r="B7" s="471"/>
      <c r="C7" s="471"/>
      <c r="D7" s="473" t="s">
        <v>83</v>
      </c>
      <c r="E7" s="471"/>
      <c r="F7" s="471"/>
      <c r="G7" s="473" t="s">
        <v>83</v>
      </c>
      <c r="H7" s="471"/>
      <c r="I7" s="471"/>
      <c r="J7" s="473" t="s">
        <v>83</v>
      </c>
      <c r="K7" s="471"/>
      <c r="L7" s="471"/>
      <c r="M7" s="473" t="s">
        <v>83</v>
      </c>
      <c r="N7" s="471"/>
      <c r="O7" s="471"/>
      <c r="P7" s="473" t="s">
        <v>83</v>
      </c>
      <c r="Q7" s="471"/>
      <c r="R7" s="471"/>
      <c r="S7" s="473" t="s">
        <v>83</v>
      </c>
      <c r="T7" s="471"/>
      <c r="U7" s="471"/>
      <c r="V7" s="473" t="s">
        <v>83</v>
      </c>
      <c r="W7" s="471"/>
      <c r="X7" s="471"/>
      <c r="Y7" s="473" t="s">
        <v>83</v>
      </c>
      <c r="Z7" s="471"/>
      <c r="AA7" s="471"/>
      <c r="AB7" s="473" t="s">
        <v>83</v>
      </c>
      <c r="AC7" s="471"/>
      <c r="AD7" s="471"/>
      <c r="AE7" s="473" t="s">
        <v>83</v>
      </c>
      <c r="AF7" s="471"/>
      <c r="AG7" s="471"/>
      <c r="AH7" s="473" t="s">
        <v>83</v>
      </c>
      <c r="AI7" s="471"/>
      <c r="AJ7" s="471"/>
      <c r="AK7" s="473" t="s">
        <v>83</v>
      </c>
      <c r="AL7" s="471"/>
      <c r="AM7" s="471"/>
      <c r="AN7" s="473" t="s">
        <v>83</v>
      </c>
      <c r="AO7" s="471"/>
      <c r="AP7" s="471"/>
      <c r="AQ7" s="473" t="s">
        <v>83</v>
      </c>
    </row>
    <row r="8" spans="1:43" ht="18.75" customHeight="1" x14ac:dyDescent="0.25">
      <c r="A8" s="474" t="s">
        <v>293</v>
      </c>
      <c r="B8" s="780">
        <v>2018</v>
      </c>
      <c r="C8" s="780">
        <v>2019</v>
      </c>
      <c r="D8" s="475" t="s">
        <v>85</v>
      </c>
      <c r="E8" s="780">
        <v>2018</v>
      </c>
      <c r="F8" s="780">
        <v>2019</v>
      </c>
      <c r="G8" s="475" t="s">
        <v>85</v>
      </c>
      <c r="H8" s="867">
        <v>2018</v>
      </c>
      <c r="I8" s="867">
        <v>2019</v>
      </c>
      <c r="J8" s="475" t="s">
        <v>85</v>
      </c>
      <c r="K8" s="780">
        <v>2018</v>
      </c>
      <c r="L8" s="780">
        <v>2019</v>
      </c>
      <c r="M8" s="475" t="s">
        <v>85</v>
      </c>
      <c r="N8" s="867">
        <v>2018</v>
      </c>
      <c r="O8" s="867">
        <v>2019</v>
      </c>
      <c r="P8" s="475" t="s">
        <v>85</v>
      </c>
      <c r="Q8" s="867">
        <v>2018</v>
      </c>
      <c r="R8" s="867">
        <v>2019</v>
      </c>
      <c r="S8" s="475" t="s">
        <v>85</v>
      </c>
      <c r="T8" s="867">
        <v>2018</v>
      </c>
      <c r="U8" s="867">
        <v>2019</v>
      </c>
      <c r="V8" s="475" t="s">
        <v>85</v>
      </c>
      <c r="W8" s="780">
        <v>2018</v>
      </c>
      <c r="X8" s="780">
        <v>2019</v>
      </c>
      <c r="Y8" s="475" t="s">
        <v>85</v>
      </c>
      <c r="Z8" s="780">
        <v>2018</v>
      </c>
      <c r="AA8" s="780">
        <v>2019</v>
      </c>
      <c r="AB8" s="475" t="s">
        <v>85</v>
      </c>
      <c r="AC8" s="867">
        <v>2018</v>
      </c>
      <c r="AD8" s="867">
        <v>2019</v>
      </c>
      <c r="AE8" s="475" t="s">
        <v>85</v>
      </c>
      <c r="AF8" s="867">
        <v>2018</v>
      </c>
      <c r="AG8" s="867">
        <v>2019</v>
      </c>
      <c r="AH8" s="475" t="s">
        <v>85</v>
      </c>
      <c r="AI8" s="867">
        <v>2018</v>
      </c>
      <c r="AJ8" s="867">
        <v>2019</v>
      </c>
      <c r="AK8" s="475" t="s">
        <v>85</v>
      </c>
      <c r="AL8" s="867">
        <v>2018</v>
      </c>
      <c r="AM8" s="867">
        <v>2019</v>
      </c>
      <c r="AN8" s="475" t="s">
        <v>85</v>
      </c>
      <c r="AO8" s="867">
        <v>2018</v>
      </c>
      <c r="AP8" s="867">
        <v>2019</v>
      </c>
      <c r="AQ8" s="475" t="s">
        <v>85</v>
      </c>
    </row>
    <row r="9" spans="1:43" ht="18.75" customHeight="1" x14ac:dyDescent="0.3">
      <c r="A9" s="472" t="s">
        <v>294</v>
      </c>
      <c r="B9" s="784"/>
      <c r="C9" s="758"/>
      <c r="D9" s="477"/>
      <c r="E9" s="784"/>
      <c r="F9" s="758"/>
      <c r="G9" s="477"/>
      <c r="H9" s="784"/>
      <c r="I9" s="758"/>
      <c r="J9" s="477"/>
      <c r="K9" s="784"/>
      <c r="L9" s="758"/>
      <c r="M9" s="476"/>
      <c r="N9" s="916"/>
      <c r="O9" s="478"/>
      <c r="P9" s="477"/>
      <c r="Q9" s="948"/>
      <c r="R9" s="761"/>
      <c r="S9" s="477"/>
      <c r="T9" s="758"/>
      <c r="U9" s="758"/>
      <c r="V9" s="477"/>
      <c r="W9" s="758"/>
      <c r="X9" s="758"/>
      <c r="Y9" s="477"/>
      <c r="Z9" s="761"/>
      <c r="AA9" s="761"/>
      <c r="AB9" s="477"/>
      <c r="AC9" s="758"/>
      <c r="AD9" s="758"/>
      <c r="AE9" s="477"/>
      <c r="AF9" s="758"/>
      <c r="AG9" s="758"/>
      <c r="AH9" s="477"/>
      <c r="AI9" s="758"/>
      <c r="AJ9" s="758"/>
      <c r="AK9" s="477"/>
      <c r="AL9" s="477"/>
      <c r="AM9" s="477"/>
      <c r="AN9" s="477"/>
      <c r="AO9" s="479"/>
      <c r="AP9" s="479"/>
      <c r="AQ9" s="479"/>
    </row>
    <row r="10" spans="1:43" s="457" customFormat="1" ht="18.75" customHeight="1" x14ac:dyDescent="0.3">
      <c r="A10" s="480" t="s">
        <v>295</v>
      </c>
      <c r="B10" s="785"/>
      <c r="C10" s="382"/>
      <c r="D10" s="482"/>
      <c r="E10" s="785"/>
      <c r="F10" s="382"/>
      <c r="G10" s="482"/>
      <c r="H10" s="785"/>
      <c r="I10" s="382"/>
      <c r="J10" s="482"/>
      <c r="K10" s="785"/>
      <c r="L10" s="382"/>
      <c r="M10" s="481"/>
      <c r="N10" s="788"/>
      <c r="O10" s="483"/>
      <c r="P10" s="482"/>
      <c r="Q10" s="786"/>
      <c r="R10" s="338"/>
      <c r="S10" s="482"/>
      <c r="T10" s="785"/>
      <c r="U10" s="382"/>
      <c r="V10" s="482"/>
      <c r="W10" s="785"/>
      <c r="X10" s="382"/>
      <c r="Y10" s="482"/>
      <c r="Z10" s="786"/>
      <c r="AA10" s="338"/>
      <c r="AB10" s="482"/>
      <c r="AC10" s="785"/>
      <c r="AD10" s="382"/>
      <c r="AE10" s="482"/>
      <c r="AF10" s="785"/>
      <c r="AG10" s="382"/>
      <c r="AH10" s="482"/>
      <c r="AI10" s="785"/>
      <c r="AJ10" s="382"/>
      <c r="AK10" s="482"/>
      <c r="AL10" s="482"/>
      <c r="AM10" s="482"/>
      <c r="AN10" s="482"/>
      <c r="AO10" s="485"/>
      <c r="AP10" s="485"/>
      <c r="AQ10" s="485"/>
    </row>
    <row r="11" spans="1:43" s="457" customFormat="1" ht="18.75" customHeight="1" x14ac:dyDescent="0.3">
      <c r="A11" s="480" t="s">
        <v>296</v>
      </c>
      <c r="B11" s="786">
        <v>2274.0009999999997</v>
      </c>
      <c r="C11" s="338">
        <f>2417.396+0.602</f>
        <v>2417.998</v>
      </c>
      <c r="D11" s="482">
        <f t="shared" ref="D11:D16" si="0">IF(B11=0, "    ---- ", IF(ABS(ROUND(100/B11*C11-100,1))&lt;999,ROUND(100/B11*C11-100,1),IF(ROUND(100/B11*C11-100,1)&gt;999,999,-999)))</f>
        <v>6.3</v>
      </c>
      <c r="E11" s="786">
        <v>13765.86</v>
      </c>
      <c r="F11" s="338">
        <v>15131.227999999999</v>
      </c>
      <c r="G11" s="482">
        <f t="shared" ref="G11:G17" si="1">IF(E11=0, "    ---- ", IF(ABS(ROUND(100/E11*F11-100,1))&lt;999,ROUND(100/E11*F11-100,1),IF(ROUND(100/E11*F11-100,1)&gt;999,999,-999)))</f>
        <v>9.9</v>
      </c>
      <c r="H11" s="786">
        <v>933.3</v>
      </c>
      <c r="I11" s="338">
        <v>1004.111</v>
      </c>
      <c r="J11" s="482">
        <f t="shared" ref="J11:J17" si="2">IF(H11=0, "    ---- ", IF(ABS(ROUND(100/H11*I11-100,1))&lt;999,ROUND(100/H11*I11-100,1),IF(ROUND(100/H11*I11-100,1)&gt;999,999,-999)))</f>
        <v>7.6</v>
      </c>
      <c r="K11" s="786">
        <v>3441.3</v>
      </c>
      <c r="L11" s="338">
        <v>3938.9</v>
      </c>
      <c r="M11" s="482">
        <f t="shared" ref="M11:M17" si="3">IF(K11=0, "    ---- ", IF(ABS(ROUND(100/K11*L11-100,1))&lt;999,ROUND(100/K11*L11-100,1),IF(ROUND(100/K11*L11-100,1)&gt;999,999,-999)))</f>
        <v>14.5</v>
      </c>
      <c r="N11" s="786">
        <v>35</v>
      </c>
      <c r="O11" s="338">
        <v>35.02077311</v>
      </c>
      <c r="P11" s="482">
        <f>IF(N11=0, "    ---- ", IF(ABS(ROUND(100/N11*O11-100,1))&lt;999,ROUND(100/N11*O11-100,1),IF(ROUND(100/N11*O11-100,1)&gt;999,999,-999)))</f>
        <v>0.1</v>
      </c>
      <c r="Q11" s="786">
        <v>38724.465204820001</v>
      </c>
      <c r="R11" s="338">
        <v>40224.043891510002</v>
      </c>
      <c r="S11" s="482">
        <f t="shared" ref="S11:S17" si="4">IF(Q11=0, "    ---- ", IF(ABS(ROUND(100/Q11*R11-100,1))&lt;999,ROUND(100/Q11*R11-100,1),IF(ROUND(100/Q11*R11-100,1)&gt;999,999,-999)))</f>
        <v>3.9</v>
      </c>
      <c r="T11" s="786">
        <v>522</v>
      </c>
      <c r="U11" s="338">
        <v>639.4</v>
      </c>
      <c r="V11" s="482">
        <f t="shared" ref="V11:V30" si="5">IF(T11=0, "    ---- ", IF(ABS(ROUND(100/T11*U11-100,1))&lt;999,ROUND(100/T11*U11-100,1),IF(ROUND(100/T11*U11-100,1)&gt;999,999,-999)))</f>
        <v>22.5</v>
      </c>
      <c r="W11" s="786">
        <v>9883</v>
      </c>
      <c r="X11" s="338">
        <v>13860</v>
      </c>
      <c r="Y11" s="482">
        <f t="shared" ref="Y11:Y17" si="6">IF(W11=0, "    ---- ", IF(ABS(ROUND(100/W11*X11-100,1))&lt;999,ROUND(100/W11*X11-100,1),IF(ROUND(100/W11*X11-100,1)&gt;999,999,-999)))</f>
        <v>40.200000000000003</v>
      </c>
      <c r="Z11" s="786">
        <v>4832</v>
      </c>
      <c r="AA11" s="338">
        <v>5181</v>
      </c>
      <c r="AB11" s="482">
        <f t="shared" ref="AB11:AB17" si="7">IF(Z11=0, "    ---- ", IF(ABS(ROUND(100/Z11*AA11-100,1))&lt;999,ROUND(100/Z11*AA11-100,1),IF(ROUND(100/Z11*AA11-100,1)&gt;999,999,-999)))</f>
        <v>7.2</v>
      </c>
      <c r="AC11" s="786">
        <v>154</v>
      </c>
      <c r="AD11" s="338">
        <v>145.78516299</v>
      </c>
      <c r="AE11" s="482">
        <f t="shared" ref="AE11:AE16" si="8">IF(AC11=0, "    ---- ", IF(ABS(ROUND(100/AC11*AD11-100,1))&lt;999,ROUND(100/AC11*AD11-100,1),IF(ROUND(100/AC11*AD11-100,1)&gt;999,999,-999)))</f>
        <v>-5.3</v>
      </c>
      <c r="AF11" s="786">
        <v>7016.4264768899993</v>
      </c>
      <c r="AG11" s="338">
        <v>7808.1965371500009</v>
      </c>
      <c r="AH11" s="482">
        <f t="shared" ref="AH11:AH17" si="9">IF(AF11=0, "    ---- ", IF(ABS(ROUND(100/AF11*AG11-100,1))&lt;999,ROUND(100/AF11*AG11-100,1),IF(ROUND(100/AF11*AG11-100,1)&gt;999,999,-999)))</f>
        <v>11.3</v>
      </c>
      <c r="AI11" s="786">
        <v>16729</v>
      </c>
      <c r="AJ11" s="338">
        <f>16905+0.4</f>
        <v>16905.400000000001</v>
      </c>
      <c r="AK11" s="482">
        <f t="shared" ref="AK11:AK17" si="10">IF(AI11=0, "    ---- ", IF(ABS(ROUND(100/AI11*AJ11-100,1))&lt;999,ROUND(100/AI11*AJ11-100,1),IF(ROUND(100/AI11*AJ11-100,1)&gt;999,999,-999)))</f>
        <v>1.1000000000000001</v>
      </c>
      <c r="AL11" s="482">
        <f>B11+E11+H11+K11+Q11+T11+W11+Z11+AF11+AI11</f>
        <v>98121.352681710006</v>
      </c>
      <c r="AM11" s="482">
        <f>C11+F11+I11+L11+R11+U11+X11+AA11+AG11+AJ11</f>
        <v>107110.27742866002</v>
      </c>
      <c r="AN11" s="482">
        <f t="shared" ref="AN11:AN45" si="11">IF(AL11=0, "    ---- ", IF(ABS(ROUND(100/AL11*AM11-100,1))&lt;999,ROUND(100/AL11*AM11-100,1),IF(ROUND(100/AL11*AM11-100,1)&gt;999,999,-999)))</f>
        <v>9.1999999999999993</v>
      </c>
      <c r="AO11" s="486">
        <f>+B11+E11+H11+K11+N11+Q11+T11+W11+Z11+AC11+AF11+AI11</f>
        <v>98310.352681710006</v>
      </c>
      <c r="AP11" s="486">
        <f>+C11+F11+I11+L11+O11+R11+U11+X11+AA11+AD11+AG11+AJ11</f>
        <v>107291.08336476001</v>
      </c>
      <c r="AQ11" s="482">
        <f t="shared" ref="AQ11:AQ17" si="12">IF(AO11=0, "    ---- ", IF(ABS(ROUND(100/AO11*AP11-100,1))&lt;999,ROUND(100/AO11*AP11-100,1),IF(ROUND(100/AO11*AP11-100,1)&gt;999,999,-999)))</f>
        <v>9.1</v>
      </c>
    </row>
    <row r="12" spans="1:43" s="457" customFormat="1" ht="18.75" customHeight="1" x14ac:dyDescent="0.3">
      <c r="A12" s="480" t="s">
        <v>297</v>
      </c>
      <c r="B12" s="786">
        <v>-107.379</v>
      </c>
      <c r="C12" s="338">
        <v>-102.33799999999999</v>
      </c>
      <c r="D12" s="482">
        <f t="shared" si="0"/>
        <v>-4.7</v>
      </c>
      <c r="E12" s="786">
        <v>-380.25</v>
      </c>
      <c r="F12" s="338">
        <v>-324.24599999999998</v>
      </c>
      <c r="G12" s="482">
        <f t="shared" si="1"/>
        <v>-14.7</v>
      </c>
      <c r="H12" s="786">
        <v>-51</v>
      </c>
      <c r="I12" s="338">
        <v>-1.292</v>
      </c>
      <c r="J12" s="482">
        <f t="shared" si="2"/>
        <v>-97.5</v>
      </c>
      <c r="K12" s="786">
        <v>-57</v>
      </c>
      <c r="L12" s="338">
        <v>-65.400000000000006</v>
      </c>
      <c r="M12" s="482">
        <f t="shared" si="3"/>
        <v>14.7</v>
      </c>
      <c r="N12" s="786"/>
      <c r="O12" s="338"/>
      <c r="P12" s="482"/>
      <c r="Q12" s="786">
        <v>-1.5713729999999999</v>
      </c>
      <c r="R12" s="338">
        <v>-1.2561040000000001</v>
      </c>
      <c r="S12" s="482">
        <f t="shared" si="4"/>
        <v>-20.100000000000001</v>
      </c>
      <c r="T12" s="786">
        <v>-0.2</v>
      </c>
      <c r="U12" s="338">
        <v>-0.2</v>
      </c>
      <c r="V12" s="482">
        <f t="shared" si="5"/>
        <v>0</v>
      </c>
      <c r="W12" s="786">
        <v>-86.6</v>
      </c>
      <c r="X12" s="338">
        <v>-79</v>
      </c>
      <c r="Y12" s="482">
        <f t="shared" si="6"/>
        <v>-8.8000000000000007</v>
      </c>
      <c r="Z12" s="786">
        <v>-2</v>
      </c>
      <c r="AA12" s="338">
        <v>-2</v>
      </c>
      <c r="AB12" s="481">
        <f t="shared" si="7"/>
        <v>0</v>
      </c>
      <c r="AC12" s="786"/>
      <c r="AD12" s="338"/>
      <c r="AE12" s="482"/>
      <c r="AF12" s="786">
        <v>-204.35</v>
      </c>
      <c r="AG12" s="338">
        <v>-180.03200000000001</v>
      </c>
      <c r="AH12" s="482">
        <f t="shared" si="9"/>
        <v>-11.9</v>
      </c>
      <c r="AI12" s="786">
        <v>-18</v>
      </c>
      <c r="AJ12" s="338">
        <v>-8</v>
      </c>
      <c r="AK12" s="482">
        <f t="shared" si="10"/>
        <v>-55.6</v>
      </c>
      <c r="AL12" s="482">
        <f t="shared" ref="AL12:AM33" si="13">B12+E12+H12+K12+Q12+T12+W12+Z12+AF12+AI12</f>
        <v>-908.3503730000001</v>
      </c>
      <c r="AM12" s="482">
        <f t="shared" si="13"/>
        <v>-763.76410399999997</v>
      </c>
      <c r="AN12" s="482">
        <f t="shared" si="11"/>
        <v>-15.9</v>
      </c>
      <c r="AO12" s="486">
        <f t="shared" ref="AO12:AP17" si="14">+B12+E12+H12+K12+N12+Q12+T12+W12+Z12+AC12+AF12+AI12</f>
        <v>-908.3503730000001</v>
      </c>
      <c r="AP12" s="486">
        <f t="shared" si="14"/>
        <v>-763.76410399999997</v>
      </c>
      <c r="AQ12" s="482">
        <f t="shared" si="12"/>
        <v>-15.9</v>
      </c>
    </row>
    <row r="13" spans="1:43" s="457" customFormat="1" ht="18.75" customHeight="1" x14ac:dyDescent="0.3">
      <c r="A13" s="480" t="s">
        <v>298</v>
      </c>
      <c r="B13" s="786">
        <v>713.08299999999997</v>
      </c>
      <c r="C13" s="338">
        <v>1004.303</v>
      </c>
      <c r="D13" s="482">
        <f t="shared" si="0"/>
        <v>40.799999999999997</v>
      </c>
      <c r="E13" s="786">
        <v>3635.75</v>
      </c>
      <c r="F13" s="338">
        <v>3105.6909999999998</v>
      </c>
      <c r="G13" s="482">
        <f t="shared" si="1"/>
        <v>-14.6</v>
      </c>
      <c r="H13" s="786">
        <v>59.5</v>
      </c>
      <c r="I13" s="338">
        <v>135.42500000000001</v>
      </c>
      <c r="J13" s="482">
        <f t="shared" si="2"/>
        <v>127.6</v>
      </c>
      <c r="K13" s="786">
        <v>1599.4</v>
      </c>
      <c r="L13" s="338">
        <v>1684.1</v>
      </c>
      <c r="M13" s="482">
        <f t="shared" si="3"/>
        <v>5.3</v>
      </c>
      <c r="N13" s="786"/>
      <c r="O13" s="338"/>
      <c r="P13" s="482"/>
      <c r="Q13" s="786">
        <v>4.5121120000000001</v>
      </c>
      <c r="R13" s="338">
        <v>11.259437</v>
      </c>
      <c r="S13" s="482">
        <f t="shared" si="4"/>
        <v>149.5</v>
      </c>
      <c r="T13" s="786">
        <v>519.6</v>
      </c>
      <c r="U13" s="338">
        <v>495.7</v>
      </c>
      <c r="V13" s="482">
        <f t="shared" si="5"/>
        <v>-4.5999999999999996</v>
      </c>
      <c r="W13" s="786">
        <v>2443</v>
      </c>
      <c r="X13" s="338">
        <v>3137</v>
      </c>
      <c r="Y13" s="482">
        <f t="shared" si="6"/>
        <v>28.4</v>
      </c>
      <c r="Z13" s="786">
        <v>314</v>
      </c>
      <c r="AA13" s="338">
        <v>106</v>
      </c>
      <c r="AB13" s="481">
        <f t="shared" si="7"/>
        <v>-66.2</v>
      </c>
      <c r="AC13" s="786">
        <v>166</v>
      </c>
      <c r="AD13" s="338">
        <v>131.89987300000001</v>
      </c>
      <c r="AE13" s="482">
        <f t="shared" si="8"/>
        <v>-20.5</v>
      </c>
      <c r="AF13" s="786">
        <v>2184.5114193899999</v>
      </c>
      <c r="AG13" s="338">
        <v>1418.84793382</v>
      </c>
      <c r="AH13" s="482">
        <f t="shared" si="9"/>
        <v>-35</v>
      </c>
      <c r="AI13" s="786">
        <v>2131</v>
      </c>
      <c r="AJ13" s="338">
        <v>3139</v>
      </c>
      <c r="AK13" s="482">
        <f t="shared" si="10"/>
        <v>47.3</v>
      </c>
      <c r="AL13" s="482">
        <f t="shared" si="13"/>
        <v>13604.35653139</v>
      </c>
      <c r="AM13" s="482">
        <f t="shared" si="13"/>
        <v>14237.326370819999</v>
      </c>
      <c r="AN13" s="482">
        <f t="shared" si="11"/>
        <v>4.7</v>
      </c>
      <c r="AO13" s="486">
        <f t="shared" si="14"/>
        <v>13770.35653139</v>
      </c>
      <c r="AP13" s="486">
        <f t="shared" si="14"/>
        <v>14369.22624382</v>
      </c>
      <c r="AQ13" s="482">
        <f t="shared" si="12"/>
        <v>4.3</v>
      </c>
    </row>
    <row r="14" spans="1:43" s="457" customFormat="1" ht="18.75" customHeight="1" x14ac:dyDescent="0.3">
      <c r="A14" s="480" t="s">
        <v>299</v>
      </c>
      <c r="B14" s="840">
        <v>2879.7049999999999</v>
      </c>
      <c r="C14" s="841">
        <f>SUM(C11:C13)</f>
        <v>3319.9629999999997</v>
      </c>
      <c r="D14" s="482">
        <f t="shared" si="0"/>
        <v>15.3</v>
      </c>
      <c r="E14" s="785">
        <v>17021.36</v>
      </c>
      <c r="F14" s="382">
        <f>SUM(F11:F13)</f>
        <v>17912.672999999999</v>
      </c>
      <c r="G14" s="482">
        <f t="shared" si="1"/>
        <v>5.2</v>
      </c>
      <c r="H14" s="785">
        <v>941.8</v>
      </c>
      <c r="I14" s="382">
        <f>SUM(I11:I13)</f>
        <v>1138.2439999999999</v>
      </c>
      <c r="J14" s="482">
        <f t="shared" si="2"/>
        <v>20.9</v>
      </c>
      <c r="K14" s="785">
        <v>4983.7000000000007</v>
      </c>
      <c r="L14" s="382">
        <f>SUM(L11:L13)</f>
        <v>5557.6</v>
      </c>
      <c r="M14" s="482">
        <f t="shared" si="3"/>
        <v>11.5</v>
      </c>
      <c r="N14" s="785">
        <v>35</v>
      </c>
      <c r="O14" s="382">
        <f>SUM(O11:O13)</f>
        <v>35.02077311</v>
      </c>
      <c r="P14" s="482">
        <f>IF(N14=0, "    ---- ", IF(ABS(ROUND(100/N14*O14-100,1))&lt;999,ROUND(100/N14*O14-100,1),IF(ROUND(100/N14*O14-100,1)&gt;999,999,-999)))</f>
        <v>0.1</v>
      </c>
      <c r="Q14" s="785">
        <v>38727.405943819998</v>
      </c>
      <c r="R14" s="382">
        <f>SUM(R11:R13)</f>
        <v>40234.047224510003</v>
      </c>
      <c r="S14" s="482">
        <f t="shared" si="4"/>
        <v>3.9</v>
      </c>
      <c r="T14" s="785">
        <v>1041.4000000000001</v>
      </c>
      <c r="U14" s="382">
        <f>SUM(U11:U13)</f>
        <v>1134.8999999999999</v>
      </c>
      <c r="V14" s="482">
        <f t="shared" si="5"/>
        <v>9</v>
      </c>
      <c r="W14" s="785">
        <v>12239.4</v>
      </c>
      <c r="X14" s="382">
        <f>SUM(X11:X13)</f>
        <v>16918</v>
      </c>
      <c r="Y14" s="482">
        <f t="shared" si="6"/>
        <v>38.200000000000003</v>
      </c>
      <c r="Z14" s="785">
        <v>5144</v>
      </c>
      <c r="AA14" s="382">
        <f>SUM(AA11:AA13)</f>
        <v>5285</v>
      </c>
      <c r="AB14" s="482">
        <f t="shared" si="7"/>
        <v>2.7</v>
      </c>
      <c r="AC14" s="785">
        <v>320</v>
      </c>
      <c r="AD14" s="382">
        <f>SUM(AD11:AD13)</f>
        <v>277.68503599000002</v>
      </c>
      <c r="AE14" s="482">
        <f t="shared" si="8"/>
        <v>-13.2</v>
      </c>
      <c r="AF14" s="785">
        <v>8996.5878962799979</v>
      </c>
      <c r="AG14" s="382">
        <f>SUM(AG11:AG13)</f>
        <v>9047.0124709700012</v>
      </c>
      <c r="AH14" s="482">
        <f t="shared" si="9"/>
        <v>0.6</v>
      </c>
      <c r="AI14" s="785">
        <v>18842</v>
      </c>
      <c r="AJ14" s="382">
        <f>SUM(AJ11:AJ13)</f>
        <v>20036.400000000001</v>
      </c>
      <c r="AK14" s="482">
        <f t="shared" si="10"/>
        <v>6.3</v>
      </c>
      <c r="AL14" s="482">
        <f t="shared" si="13"/>
        <v>110817.3588401</v>
      </c>
      <c r="AM14" s="482">
        <f t="shared" si="13"/>
        <v>120583.83969548001</v>
      </c>
      <c r="AN14" s="482">
        <f t="shared" si="11"/>
        <v>8.8000000000000007</v>
      </c>
      <c r="AO14" s="486">
        <f t="shared" si="14"/>
        <v>111172.3588401</v>
      </c>
      <c r="AP14" s="486">
        <f t="shared" si="14"/>
        <v>120896.54550457999</v>
      </c>
      <c r="AQ14" s="482">
        <f t="shared" si="12"/>
        <v>8.6999999999999993</v>
      </c>
    </row>
    <row r="15" spans="1:43" s="457" customFormat="1" ht="18.75" customHeight="1" x14ac:dyDescent="0.3">
      <c r="A15" s="480" t="s">
        <v>300</v>
      </c>
      <c r="B15" s="196">
        <v>10.67</v>
      </c>
      <c r="C15" s="393">
        <v>46.517000000000003</v>
      </c>
      <c r="D15" s="482">
        <f t="shared" si="0"/>
        <v>336</v>
      </c>
      <c r="E15" s="196">
        <v>5137.0069999999996</v>
      </c>
      <c r="F15" s="393">
        <v>11867.824000000001</v>
      </c>
      <c r="G15" s="482">
        <f t="shared" si="1"/>
        <v>131</v>
      </c>
      <c r="H15" s="889">
        <v>6.4</v>
      </c>
      <c r="I15" s="762">
        <v>60.515999999999998</v>
      </c>
      <c r="J15" s="482">
        <f t="shared" si="2"/>
        <v>845.6</v>
      </c>
      <c r="K15" s="196">
        <v>243.7</v>
      </c>
      <c r="L15" s="393">
        <v>280.2</v>
      </c>
      <c r="M15" s="482">
        <f t="shared" si="3"/>
        <v>15</v>
      </c>
      <c r="N15" s="862"/>
      <c r="O15" s="760"/>
      <c r="P15" s="482"/>
      <c r="Q15" s="196">
        <v>7021.4826568799999</v>
      </c>
      <c r="R15" s="338">
        <v>44050.500513269995</v>
      </c>
      <c r="S15" s="482">
        <f t="shared" si="4"/>
        <v>527.4</v>
      </c>
      <c r="T15" s="196">
        <v>49.9</v>
      </c>
      <c r="U15" s="393">
        <v>69.3</v>
      </c>
      <c r="V15" s="482">
        <f t="shared" si="5"/>
        <v>38.9</v>
      </c>
      <c r="W15" s="196">
        <v>1933.4</v>
      </c>
      <c r="X15" s="393">
        <v>2907</v>
      </c>
      <c r="Y15" s="482">
        <f t="shared" si="6"/>
        <v>50.4</v>
      </c>
      <c r="Z15" s="196">
        <v>1565</v>
      </c>
      <c r="AA15" s="393">
        <v>8748</v>
      </c>
      <c r="AB15" s="482">
        <f t="shared" si="7"/>
        <v>459</v>
      </c>
      <c r="AC15" s="862"/>
      <c r="AD15" s="760"/>
      <c r="AE15" s="482"/>
      <c r="AF15" s="923">
        <v>515.43400968999913</v>
      </c>
      <c r="AG15" s="488">
        <v>2628.3052902100026</v>
      </c>
      <c r="AH15" s="482">
        <f t="shared" si="9"/>
        <v>409.9</v>
      </c>
      <c r="AI15" s="196">
        <v>4770</v>
      </c>
      <c r="AJ15" s="393">
        <v>10097</v>
      </c>
      <c r="AK15" s="482">
        <f t="shared" si="10"/>
        <v>111.7</v>
      </c>
      <c r="AL15" s="482">
        <f t="shared" si="13"/>
        <v>21252.993666569997</v>
      </c>
      <c r="AM15" s="482">
        <f t="shared" si="13"/>
        <v>80755.162803479994</v>
      </c>
      <c r="AN15" s="482">
        <f t="shared" si="11"/>
        <v>280</v>
      </c>
      <c r="AO15" s="486">
        <f t="shared" si="14"/>
        <v>21252.993666569997</v>
      </c>
      <c r="AP15" s="486">
        <f t="shared" si="14"/>
        <v>80755.162803479994</v>
      </c>
      <c r="AQ15" s="482">
        <f t="shared" si="12"/>
        <v>280</v>
      </c>
    </row>
    <row r="16" spans="1:43" s="457" customFormat="1" ht="18.75" customHeight="1" x14ac:dyDescent="0.3">
      <c r="A16" s="480" t="s">
        <v>301</v>
      </c>
      <c r="B16" s="196">
        <v>-1008.377</v>
      </c>
      <c r="C16" s="393">
        <v>2519.6669999999999</v>
      </c>
      <c r="D16" s="482">
        <f t="shared" si="0"/>
        <v>-349.9</v>
      </c>
      <c r="E16" s="196">
        <v>-3632.067</v>
      </c>
      <c r="F16" s="393">
        <v>14734.843999999999</v>
      </c>
      <c r="G16" s="482">
        <f t="shared" si="1"/>
        <v>-505.7</v>
      </c>
      <c r="H16" s="889">
        <v>-216.2</v>
      </c>
      <c r="I16" s="762">
        <v>492.55</v>
      </c>
      <c r="J16" s="482">
        <f t="shared" si="2"/>
        <v>-327.8</v>
      </c>
      <c r="K16" s="196">
        <v>-1198.5999999999999</v>
      </c>
      <c r="L16" s="393">
        <v>3784.7</v>
      </c>
      <c r="M16" s="481">
        <f t="shared" si="3"/>
        <v>-415.8</v>
      </c>
      <c r="N16" s="862"/>
      <c r="O16" s="760"/>
      <c r="P16" s="489"/>
      <c r="Q16" s="196">
        <v>14.33167109</v>
      </c>
      <c r="R16" s="338">
        <v>238.26112118</v>
      </c>
      <c r="S16" s="489">
        <f t="shared" si="4"/>
        <v>999</v>
      </c>
      <c r="T16" s="196">
        <v>-140.4</v>
      </c>
      <c r="U16" s="393">
        <v>630.70000000000005</v>
      </c>
      <c r="V16" s="489">
        <f t="shared" si="5"/>
        <v>-549.20000000000005</v>
      </c>
      <c r="W16" s="196">
        <v>-2495</v>
      </c>
      <c r="X16" s="393">
        <v>9550</v>
      </c>
      <c r="Y16" s="482">
        <f t="shared" si="6"/>
        <v>-482.8</v>
      </c>
      <c r="Z16" s="196"/>
      <c r="AA16" s="393"/>
      <c r="AB16" s="482"/>
      <c r="AC16" s="862">
        <v>-139</v>
      </c>
      <c r="AD16" s="762">
        <v>404.02654572</v>
      </c>
      <c r="AE16" s="482">
        <f t="shared" si="8"/>
        <v>-390.7</v>
      </c>
      <c r="AF16" s="923">
        <v>-1769.5112771499994</v>
      </c>
      <c r="AG16" s="488">
        <v>4675.0305611300009</v>
      </c>
      <c r="AH16" s="482">
        <f t="shared" si="9"/>
        <v>-364.2</v>
      </c>
      <c r="AI16" s="196">
        <v>-3835</v>
      </c>
      <c r="AJ16" s="393">
        <v>13896.7</v>
      </c>
      <c r="AK16" s="482">
        <f t="shared" si="10"/>
        <v>-462.4</v>
      </c>
      <c r="AL16" s="482">
        <f t="shared" si="13"/>
        <v>-14280.823606059997</v>
      </c>
      <c r="AM16" s="482">
        <f t="shared" si="13"/>
        <v>50522.452682310002</v>
      </c>
      <c r="AN16" s="482">
        <f t="shared" si="11"/>
        <v>-453.8</v>
      </c>
      <c r="AO16" s="486">
        <f t="shared" si="14"/>
        <v>-14419.823606059997</v>
      </c>
      <c r="AP16" s="486">
        <f t="shared" si="14"/>
        <v>50926.479228030003</v>
      </c>
      <c r="AQ16" s="482">
        <f t="shared" si="12"/>
        <v>-453.2</v>
      </c>
    </row>
    <row r="17" spans="1:43" s="457" customFormat="1" ht="18.75" customHeight="1" x14ac:dyDescent="0.3">
      <c r="A17" s="480" t="s">
        <v>302</v>
      </c>
      <c r="B17" s="196"/>
      <c r="C17" s="393"/>
      <c r="D17" s="482"/>
      <c r="E17" s="196">
        <v>21.774000000000001</v>
      </c>
      <c r="F17" s="393">
        <v>130.83500000000001</v>
      </c>
      <c r="G17" s="482">
        <f t="shared" si="1"/>
        <v>500.9</v>
      </c>
      <c r="H17" s="889">
        <v>12.9</v>
      </c>
      <c r="I17" s="762">
        <v>13.818</v>
      </c>
      <c r="J17" s="482">
        <f t="shared" si="2"/>
        <v>7.1</v>
      </c>
      <c r="K17" s="196">
        <v>150.5</v>
      </c>
      <c r="L17" s="393">
        <v>167.2</v>
      </c>
      <c r="M17" s="481">
        <f t="shared" si="3"/>
        <v>11.1</v>
      </c>
      <c r="N17" s="862"/>
      <c r="O17" s="760"/>
      <c r="P17" s="482"/>
      <c r="Q17" s="196">
        <v>1054.748002</v>
      </c>
      <c r="R17" s="338">
        <v>1117.9101189999999</v>
      </c>
      <c r="S17" s="482">
        <f t="shared" si="4"/>
        <v>6</v>
      </c>
      <c r="T17" s="196">
        <v>5.2</v>
      </c>
      <c r="U17" s="393">
        <v>9.1</v>
      </c>
      <c r="V17" s="482">
        <f t="shared" si="5"/>
        <v>75</v>
      </c>
      <c r="W17" s="196">
        <v>193</v>
      </c>
      <c r="X17" s="393">
        <v>160</v>
      </c>
      <c r="Y17" s="482">
        <f t="shared" si="6"/>
        <v>-17.100000000000001</v>
      </c>
      <c r="Z17" s="196">
        <v>228</v>
      </c>
      <c r="AA17" s="393">
        <v>210</v>
      </c>
      <c r="AB17" s="482">
        <f t="shared" si="7"/>
        <v>-7.9</v>
      </c>
      <c r="AC17" s="862"/>
      <c r="AD17" s="760"/>
      <c r="AE17" s="482"/>
      <c r="AF17" s="923">
        <v>201.29181359999995</v>
      </c>
      <c r="AG17" s="488">
        <v>221.54037641000002</v>
      </c>
      <c r="AH17" s="482">
        <f t="shared" si="9"/>
        <v>10.1</v>
      </c>
      <c r="AI17" s="196">
        <v>693</v>
      </c>
      <c r="AJ17" s="393">
        <v>823.5</v>
      </c>
      <c r="AK17" s="482">
        <f t="shared" si="10"/>
        <v>18.8</v>
      </c>
      <c r="AL17" s="482">
        <f t="shared" si="13"/>
        <v>2560.4138155999999</v>
      </c>
      <c r="AM17" s="482">
        <f t="shared" si="13"/>
        <v>2853.9034954099998</v>
      </c>
      <c r="AN17" s="482">
        <f t="shared" si="11"/>
        <v>11.5</v>
      </c>
      <c r="AO17" s="486">
        <f t="shared" si="14"/>
        <v>2560.4138155999999</v>
      </c>
      <c r="AP17" s="486">
        <f t="shared" si="14"/>
        <v>2853.9034954099998</v>
      </c>
      <c r="AQ17" s="482">
        <f t="shared" si="12"/>
        <v>11.5</v>
      </c>
    </row>
    <row r="18" spans="1:43" s="457" customFormat="1" ht="18.75" customHeight="1" x14ac:dyDescent="0.3">
      <c r="A18" s="480" t="s">
        <v>303</v>
      </c>
      <c r="B18" s="196"/>
      <c r="C18" s="393"/>
      <c r="D18" s="482"/>
      <c r="E18" s="196"/>
      <c r="F18" s="393"/>
      <c r="G18" s="482"/>
      <c r="H18" s="889"/>
      <c r="I18" s="762"/>
      <c r="J18" s="482"/>
      <c r="K18" s="196"/>
      <c r="L18" s="393"/>
      <c r="M18" s="481"/>
      <c r="N18" s="862"/>
      <c r="O18" s="760"/>
      <c r="P18" s="482"/>
      <c r="Q18" s="196"/>
      <c r="R18" s="338"/>
      <c r="S18" s="482"/>
      <c r="T18" s="196"/>
      <c r="U18" s="393"/>
      <c r="V18" s="482"/>
      <c r="W18" s="873"/>
      <c r="X18" s="490"/>
      <c r="Y18" s="482"/>
      <c r="Z18" s="196"/>
      <c r="AA18" s="393"/>
      <c r="AB18" s="482"/>
      <c r="AC18" s="862"/>
      <c r="AD18" s="760"/>
      <c r="AE18" s="482"/>
      <c r="AF18" s="923"/>
      <c r="AG18" s="488"/>
      <c r="AH18" s="482"/>
      <c r="AI18" s="196"/>
      <c r="AJ18" s="393"/>
      <c r="AK18" s="482"/>
      <c r="AL18" s="482"/>
      <c r="AM18" s="482"/>
      <c r="AN18" s="482"/>
      <c r="AO18" s="491"/>
      <c r="AP18" s="491"/>
      <c r="AQ18" s="485"/>
    </row>
    <row r="19" spans="1:43" s="457" customFormat="1" ht="18.75" customHeight="1" x14ac:dyDescent="0.3">
      <c r="A19" s="480" t="s">
        <v>304</v>
      </c>
      <c r="B19" s="785">
        <v>-678.28200000000004</v>
      </c>
      <c r="C19" s="382">
        <f>-881.949+51.216</f>
        <v>-830.73299999999995</v>
      </c>
      <c r="D19" s="482">
        <f>IF(B19=0, "    ---- ", IF(ABS(ROUND(100/B19*C19-100,1))&lt;999,ROUND(100/B19*C19-100,1),IF(ROUND(100/B19*C19-100,1)&gt;999,999,-999)))</f>
        <v>22.5</v>
      </c>
      <c r="E19" s="785">
        <v>-14060.655000000001</v>
      </c>
      <c r="F19" s="382">
        <v>-13755.790999999999</v>
      </c>
      <c r="G19" s="482">
        <f>IF(E19=0, "    ---- ", IF(ABS(ROUND(100/E19*F19-100,1))&lt;999,ROUND(100/E19*F19-100,1),IF(ROUND(100/E19*F19-100,1)&gt;999,999,-999)))</f>
        <v>-2.2000000000000002</v>
      </c>
      <c r="H19" s="785">
        <v>-146.19999999999999</v>
      </c>
      <c r="I19" s="382">
        <v>-189.94399999999999</v>
      </c>
      <c r="J19" s="482">
        <f>IF(H19=0, "    ---- ", IF(ABS(ROUND(100/H19*I19-100,1))&lt;999,ROUND(100/H19*I19-100,1),IF(ROUND(100/H19*I19-100,1)&gt;999,999,-999)))</f>
        <v>29.9</v>
      </c>
      <c r="K19" s="785">
        <v>-566.79999999999995</v>
      </c>
      <c r="L19" s="382">
        <f>-635.5+19.2</f>
        <v>-616.29999999999995</v>
      </c>
      <c r="M19" s="482">
        <f>IF(K19=0, "    ---- ", IF(ABS(ROUND(100/K19*L19-100,1))&lt;999,ROUND(100/K19*L19-100,1),IF(ROUND(100/K19*L19-100,1)&gt;999,999,-999)))</f>
        <v>8.6999999999999993</v>
      </c>
      <c r="N19" s="785">
        <v>-17</v>
      </c>
      <c r="O19" s="382">
        <v>-19.450758</v>
      </c>
      <c r="P19" s="482">
        <f>IF(N19=0, "    ---- ", IF(ABS(ROUND(100/N19*O19-100,1))&lt;999,ROUND(100/N19*O19-100,1),IF(ROUND(100/N19*O19-100,1)&gt;999,999,-999)))</f>
        <v>14.4</v>
      </c>
      <c r="Q19" s="785">
        <v>-18349.814042999998</v>
      </c>
      <c r="R19" s="338">
        <v>-19865.658480999999</v>
      </c>
      <c r="S19" s="482">
        <f>IF(Q19=0, "    ---- ", IF(ABS(ROUND(100/Q19*R19-100,1))&lt;999,ROUND(100/Q19*R19-100,1),IF(ROUND(100/Q19*R19-100,1)&gt;999,999,-999)))</f>
        <v>8.3000000000000007</v>
      </c>
      <c r="T19" s="785">
        <v>-82.6</v>
      </c>
      <c r="U19" s="382">
        <v>-92.4</v>
      </c>
      <c r="V19" s="482">
        <f t="shared" si="5"/>
        <v>11.9</v>
      </c>
      <c r="W19" s="785">
        <v>-5998</v>
      </c>
      <c r="X19" s="382">
        <v>-5757</v>
      </c>
      <c r="Y19" s="482">
        <f>IF(W19=0, "    ---- ", IF(ABS(ROUND(100/W19*X19-100,1))&lt;999,ROUND(100/W19*X19-100,1),IF(ROUND(100/W19*X19-100,1)&gt;999,999,-999)))</f>
        <v>-4</v>
      </c>
      <c r="Z19" s="785">
        <v>-2829</v>
      </c>
      <c r="AA19" s="382">
        <v>-2995</v>
      </c>
      <c r="AB19" s="482">
        <f>IF(Z19=0, "    ---- ", IF(ABS(ROUND(100/Z19*AA19-100,1))&lt;999,ROUND(100/Z19*AA19-100,1),IF(ROUND(100/Z19*AA19-100,1)&gt;999,999,-999)))</f>
        <v>5.9</v>
      </c>
      <c r="AC19" s="785">
        <v>-166</v>
      </c>
      <c r="AD19" s="382">
        <v>-183.83617368</v>
      </c>
      <c r="AE19" s="482">
        <f>IF(AC19=0, "    ---- ", IF(ABS(ROUND(100/AC19*AD19-100,1))&lt;999,ROUND(100/AC19*AD19-100,1),IF(ROUND(100/AC19*AD19-100,1)&gt;999,999,-999)))</f>
        <v>10.7</v>
      </c>
      <c r="AF19" s="924">
        <v>-2302.0587138999999</v>
      </c>
      <c r="AG19" s="492">
        <v>-2390.6490886899992</v>
      </c>
      <c r="AH19" s="482">
        <f>IF(AF19=0, "    ---- ", IF(ABS(ROUND(100/AF19*AG19-100,1))&lt;999,ROUND(100/AF19*AG19-100,1),IF(ROUND(100/AF19*AG19-100,1)&gt;999,999,-999)))</f>
        <v>3.8</v>
      </c>
      <c r="AI19" s="785">
        <v>-11116</v>
      </c>
      <c r="AJ19" s="382">
        <f>-12226+9-0.4</f>
        <v>-12217.4</v>
      </c>
      <c r="AK19" s="482">
        <f>IF(AI19=0, "    ---- ", IF(ABS(ROUND(100/AI19*AJ19-100,1))&lt;999,ROUND(100/AI19*AJ19-100,1),IF(ROUND(100/AI19*AJ19-100,1)&gt;999,999,-999)))</f>
        <v>9.9</v>
      </c>
      <c r="AL19" s="482">
        <f t="shared" si="13"/>
        <v>-56129.409756899993</v>
      </c>
      <c r="AM19" s="482">
        <f t="shared" si="13"/>
        <v>-58710.875569689997</v>
      </c>
      <c r="AN19" s="482">
        <f t="shared" si="11"/>
        <v>4.5999999999999996</v>
      </c>
      <c r="AO19" s="486">
        <f t="shared" ref="AO19:AP21" si="15">+B19+E19+H19+K19+N19+Q19+T19+W19+Z19+AC19+AF19+AI19</f>
        <v>-56312.409756899993</v>
      </c>
      <c r="AP19" s="486">
        <f t="shared" si="15"/>
        <v>-58914.162501369996</v>
      </c>
      <c r="AQ19" s="482">
        <f>IF(AO19=0, "    ---- ", IF(ABS(ROUND(100/AO19*AP19-100,1))&lt;999,ROUND(100/AO19*AP19-100,1),IF(ROUND(100/AO19*AP19-100,1)&gt;999,999,-999)))</f>
        <v>4.5999999999999996</v>
      </c>
    </row>
    <row r="20" spans="1:43" s="457" customFormat="1" ht="18.75" customHeight="1" x14ac:dyDescent="0.3">
      <c r="A20" s="480" t="s">
        <v>369</v>
      </c>
      <c r="B20" s="786">
        <v>-916.44799999999998</v>
      </c>
      <c r="C20" s="338">
        <v>-739.26599999999996</v>
      </c>
      <c r="D20" s="482">
        <f>IF(B20=0, "    ---- ", IF(ABS(ROUND(100/B20*C20-100,1))&lt;999,ROUND(100/B20*C20-100,1),IF(ROUND(100/B20*C20-100,1)&gt;999,999,-999)))</f>
        <v>-19.3</v>
      </c>
      <c r="E20" s="786">
        <v>-3975.4850000000001</v>
      </c>
      <c r="F20" s="338">
        <v>-3690.3560000000002</v>
      </c>
      <c r="G20" s="482">
        <f>IF(E20=0, "    ---- ", IF(ABS(ROUND(100/E20*F20-100,1))&lt;999,ROUND(100/E20*F20-100,1),IF(ROUND(100/E20*F20-100,1)&gt;999,999,-999)))</f>
        <v>-7.2</v>
      </c>
      <c r="H20" s="786">
        <v>-129.1</v>
      </c>
      <c r="I20" s="338">
        <v>-83.438999999999993</v>
      </c>
      <c r="J20" s="482">
        <f>IF(H20=0, "    ---- ", IF(ABS(ROUND(100/H20*I20-100,1))&lt;999,ROUND(100/H20*I20-100,1),IF(ROUND(100/H20*I20-100,1)&gt;999,999,-999)))</f>
        <v>-35.4</v>
      </c>
      <c r="K20" s="786">
        <v>-1266.8</v>
      </c>
      <c r="L20" s="338">
        <v>-2143.6999999999998</v>
      </c>
      <c r="M20" s="482">
        <f>IF(K20=0, "    ---- ", IF(ABS(ROUND(100/K20*L20-100,1))&lt;999,ROUND(100/K20*L20-100,1),IF(ROUND(100/K20*L20-100,1)&gt;999,999,-999)))</f>
        <v>69.2</v>
      </c>
      <c r="N20" s="786"/>
      <c r="O20" s="338"/>
      <c r="P20" s="482"/>
      <c r="Q20" s="786">
        <v>-496.73950100000002</v>
      </c>
      <c r="R20" s="338">
        <v>-291.57890500000002</v>
      </c>
      <c r="S20" s="482">
        <f>IF(Q20=0, "    ---- ", IF(ABS(ROUND(100/Q20*R20-100,1))&lt;999,ROUND(100/Q20*R20-100,1),IF(ROUND(100/Q20*R20-100,1)&gt;999,999,-999)))</f>
        <v>-41.3</v>
      </c>
      <c r="T20" s="786">
        <v>-72.5</v>
      </c>
      <c r="U20" s="338">
        <v>-109.9</v>
      </c>
      <c r="V20" s="482">
        <f t="shared" si="5"/>
        <v>51.6</v>
      </c>
      <c r="W20" s="861">
        <v>-3643</v>
      </c>
      <c r="X20" s="493">
        <v>-1926</v>
      </c>
      <c r="Y20" s="482">
        <f>IF(W20=0, "    ---- ", IF(ABS(ROUND(100/W20*X20-100,1))&lt;999,ROUND(100/W20*X20-100,1),IF(ROUND(100/W20*X20-100,1)&gt;999,999,-999)))</f>
        <v>-47.1</v>
      </c>
      <c r="Z20" s="861"/>
      <c r="AA20" s="493"/>
      <c r="AB20" s="482"/>
      <c r="AC20" s="786">
        <v>-11</v>
      </c>
      <c r="AD20" s="338">
        <v>-23.475279789999998</v>
      </c>
      <c r="AE20" s="482">
        <f>IF(AC20=0, "    ---- ", IF(ABS(ROUND(100/AC20*AD20-100,1))&lt;999,ROUND(100/AC20*AD20-100,1),IF(ROUND(100/AC20*AD20-100,1)&gt;999,999,-999)))</f>
        <v>113.4</v>
      </c>
      <c r="AF20" s="861">
        <v>-753.81575449000036</v>
      </c>
      <c r="AG20" s="493">
        <v>-1302.5178389100004</v>
      </c>
      <c r="AH20" s="482">
        <f>IF(AF20=0, "    ---- ", IF(ABS(ROUND(100/AF20*AG20-100,1))&lt;999,ROUND(100/AF20*AG20-100,1),IF(ROUND(100/AF20*AG20-100,1)&gt;999,999,-999)))</f>
        <v>72.8</v>
      </c>
      <c r="AI20" s="786">
        <v>-2930</v>
      </c>
      <c r="AJ20" s="338">
        <v>-4506</v>
      </c>
      <c r="AK20" s="482">
        <f>IF(AI20=0, "    ---- ", IF(ABS(ROUND(100/AI20*AJ20-100,1))&lt;999,ROUND(100/AI20*AJ20-100,1),IF(ROUND(100/AI20*AJ20-100,1)&gt;999,999,-999)))</f>
        <v>53.8</v>
      </c>
      <c r="AL20" s="482">
        <f t="shared" si="13"/>
        <v>-14183.888255490001</v>
      </c>
      <c r="AM20" s="482">
        <f t="shared" si="13"/>
        <v>-14792.75774391</v>
      </c>
      <c r="AN20" s="482">
        <f t="shared" si="11"/>
        <v>4.3</v>
      </c>
      <c r="AO20" s="486">
        <f t="shared" si="15"/>
        <v>-14194.888255490001</v>
      </c>
      <c r="AP20" s="486">
        <f t="shared" si="15"/>
        <v>-14816.233023700001</v>
      </c>
      <c r="AQ20" s="482">
        <f>IF(AO20=0, "    ---- ", IF(ABS(ROUND(100/AO20*AP20-100,1))&lt;999,ROUND(100/AO20*AP20-100,1),IF(ROUND(100/AO20*AP20-100,1)&gt;999,999,-999)))</f>
        <v>4.4000000000000004</v>
      </c>
    </row>
    <row r="21" spans="1:43" s="457" customFormat="1" ht="18.75" customHeight="1" x14ac:dyDescent="0.3">
      <c r="A21" s="480" t="s">
        <v>305</v>
      </c>
      <c r="B21" s="840">
        <v>-1594.73</v>
      </c>
      <c r="C21" s="382">
        <f>SUM(C19:C20)</f>
        <v>-1569.9989999999998</v>
      </c>
      <c r="D21" s="482">
        <f>IF(B21=0, "    ---- ", IF(ABS(ROUND(100/B21*C21-100,1))&lt;999,ROUND(100/B21*C21-100,1),IF(ROUND(100/B21*C21-100,1)&gt;999,999,-999)))</f>
        <v>-1.6</v>
      </c>
      <c r="E21" s="785">
        <v>-18036.14</v>
      </c>
      <c r="F21" s="382">
        <f>SUM(F19:F20)</f>
        <v>-17446.147000000001</v>
      </c>
      <c r="G21" s="482">
        <f>IF(E21=0, "    ---- ", IF(ABS(ROUND(100/E21*F21-100,1))&lt;999,ROUND(100/E21*F21-100,1),IF(ROUND(100/E21*F21-100,1)&gt;999,999,-999)))</f>
        <v>-3.3</v>
      </c>
      <c r="H21" s="785">
        <v>-275.29999999999995</v>
      </c>
      <c r="I21" s="382">
        <f>SUM(I19:I20)</f>
        <v>-273.38299999999998</v>
      </c>
      <c r="J21" s="482">
        <f>IF(H21=0, "    ---- ", IF(ABS(ROUND(100/H21*I21-100,1))&lt;999,ROUND(100/H21*I21-100,1),IF(ROUND(100/H21*I21-100,1)&gt;999,999,-999)))</f>
        <v>-0.7</v>
      </c>
      <c r="K21" s="785">
        <v>-1833.6</v>
      </c>
      <c r="L21" s="382">
        <f>SUM(L19:L20)</f>
        <v>-2760</v>
      </c>
      <c r="M21" s="482">
        <f>IF(K21=0, "    ---- ", IF(ABS(ROUND(100/K21*L21-100,1))&lt;999,ROUND(100/K21*L21-100,1),IF(ROUND(100/K21*L21-100,1)&gt;999,999,-999)))</f>
        <v>50.5</v>
      </c>
      <c r="N21" s="785">
        <v>-17</v>
      </c>
      <c r="O21" s="382">
        <f>SUM(O19:O20)</f>
        <v>-19.450758</v>
      </c>
      <c r="P21" s="482">
        <f>IF(N21=0, "    ---- ", IF(ABS(ROUND(100/N21*O21-100,1))&lt;999,ROUND(100/N21*O21-100,1),IF(ROUND(100/N21*O21-100,1)&gt;999,999,-999)))</f>
        <v>14.4</v>
      </c>
      <c r="Q21" s="785">
        <v>-18846.553543999999</v>
      </c>
      <c r="R21" s="382">
        <f>SUM(R19:R20)</f>
        <v>-20157.237385999997</v>
      </c>
      <c r="S21" s="482">
        <f>IF(Q21=0, "    ---- ", IF(ABS(ROUND(100/Q21*R21-100,1))&lt;999,ROUND(100/Q21*R21-100,1),IF(ROUND(100/Q21*R21-100,1)&gt;999,999,-999)))</f>
        <v>7</v>
      </c>
      <c r="T21" s="785">
        <v>-155.1</v>
      </c>
      <c r="U21" s="382">
        <f>SUM(U19:U20)</f>
        <v>-202.3</v>
      </c>
      <c r="V21" s="482">
        <f t="shared" si="5"/>
        <v>30.4</v>
      </c>
      <c r="W21" s="785">
        <v>-9641</v>
      </c>
      <c r="X21" s="382">
        <f>SUM(X19:X20)</f>
        <v>-7683</v>
      </c>
      <c r="Y21" s="482">
        <f>IF(W21=0, "    ---- ", IF(ABS(ROUND(100/W21*X21-100,1))&lt;999,ROUND(100/W21*X21-100,1),IF(ROUND(100/W21*X21-100,1)&gt;999,999,-999)))</f>
        <v>-20.3</v>
      </c>
      <c r="Z21" s="785">
        <v>-2829</v>
      </c>
      <c r="AA21" s="382">
        <f>SUM(AA19:AA20)</f>
        <v>-2995</v>
      </c>
      <c r="AB21" s="482">
        <f>IF(Z21=0, "    ---- ", IF(ABS(ROUND(100/Z21*AA21-100,1))&lt;999,ROUND(100/Z21*AA21-100,1),IF(ROUND(100/Z21*AA21-100,1)&gt;999,999,-999)))</f>
        <v>5.9</v>
      </c>
      <c r="AC21" s="785">
        <v>-177</v>
      </c>
      <c r="AD21" s="382">
        <f>SUM(AD19:AD20)</f>
        <v>-207.31145347</v>
      </c>
      <c r="AE21" s="482">
        <f>IF(AC21=0, "    ---- ", IF(ABS(ROUND(100/AC21*AD21-100,1))&lt;999,ROUND(100/AC21*AD21-100,1),IF(ROUND(100/AC21*AD21-100,1)&gt;999,999,-999)))</f>
        <v>17.100000000000001</v>
      </c>
      <c r="AF21" s="785">
        <v>-3055.8744683900004</v>
      </c>
      <c r="AG21" s="382">
        <f>SUM(AG19:AG20)</f>
        <v>-3693.1669275999993</v>
      </c>
      <c r="AH21" s="482">
        <f>IF(AF21=0, "    ---- ", IF(ABS(ROUND(100/AF21*AG21-100,1))&lt;999,ROUND(100/AF21*AG21-100,1),IF(ROUND(100/AF21*AG21-100,1)&gt;999,999,-999)))</f>
        <v>20.9</v>
      </c>
      <c r="AI21" s="785">
        <v>-14046</v>
      </c>
      <c r="AJ21" s="382">
        <f>SUM(AJ19:AJ20)</f>
        <v>-16723.400000000001</v>
      </c>
      <c r="AK21" s="482">
        <f>IF(AI21=0, "    ---- ", IF(ABS(ROUND(100/AI21*AJ21-100,1))&lt;999,ROUND(100/AI21*AJ21-100,1),IF(ROUND(100/AI21*AJ21-100,1)&gt;999,999,-999)))</f>
        <v>19.100000000000001</v>
      </c>
      <c r="AL21" s="482">
        <f t="shared" si="13"/>
        <v>-70313.298012390005</v>
      </c>
      <c r="AM21" s="482">
        <f t="shared" si="13"/>
        <v>-73503.633313600003</v>
      </c>
      <c r="AN21" s="482">
        <f t="shared" si="11"/>
        <v>4.5</v>
      </c>
      <c r="AO21" s="486">
        <f t="shared" si="15"/>
        <v>-70507.298012390005</v>
      </c>
      <c r="AP21" s="486">
        <f t="shared" si="15"/>
        <v>-73730.395525069995</v>
      </c>
      <c r="AQ21" s="482">
        <f>IF(AO21=0, "    ---- ", IF(ABS(ROUND(100/AO21*AP21-100,1))&lt;999,ROUND(100/AO21*AP21-100,1),IF(ROUND(100/AO21*AP21-100,1)&gt;999,999,-999)))</f>
        <v>4.5999999999999996</v>
      </c>
    </row>
    <row r="22" spans="1:43" s="457" customFormat="1" ht="18.75" customHeight="1" x14ac:dyDescent="0.3">
      <c r="A22" s="480" t="s">
        <v>306</v>
      </c>
      <c r="B22" s="196"/>
      <c r="C22" s="393"/>
      <c r="D22" s="482"/>
      <c r="E22" s="196"/>
      <c r="F22" s="393"/>
      <c r="G22" s="482"/>
      <c r="H22" s="862"/>
      <c r="I22" s="760"/>
      <c r="J22" s="482"/>
      <c r="K22" s="196"/>
      <c r="L22" s="393"/>
      <c r="M22" s="482"/>
      <c r="N22" s="862"/>
      <c r="O22" s="760"/>
      <c r="P22" s="482"/>
      <c r="Q22" s="196"/>
      <c r="R22" s="338"/>
      <c r="S22" s="482"/>
      <c r="T22" s="862"/>
      <c r="U22" s="760"/>
      <c r="V22" s="482"/>
      <c r="W22" s="862"/>
      <c r="X22" s="760"/>
      <c r="Y22" s="482"/>
      <c r="Z22" s="862"/>
      <c r="AA22" s="760"/>
      <c r="AB22" s="482"/>
      <c r="AC22" s="862"/>
      <c r="AD22" s="760"/>
      <c r="AE22" s="482"/>
      <c r="AF22" s="862"/>
      <c r="AG22" s="760"/>
      <c r="AH22" s="482"/>
      <c r="AI22" s="196"/>
      <c r="AJ22" s="393"/>
      <c r="AK22" s="482"/>
      <c r="AL22" s="482"/>
      <c r="AM22" s="482"/>
      <c r="AN22" s="482"/>
      <c r="AO22" s="482"/>
      <c r="AP22" s="482"/>
      <c r="AQ22" s="482"/>
    </row>
    <row r="23" spans="1:43" s="457" customFormat="1" ht="18.75" customHeight="1" x14ac:dyDescent="0.3">
      <c r="A23" s="480" t="s">
        <v>307</v>
      </c>
      <c r="B23" s="786">
        <v>-102.762</v>
      </c>
      <c r="C23" s="338">
        <f>-16.715-3.258</f>
        <v>-19.972999999999999</v>
      </c>
      <c r="D23" s="482">
        <f t="shared" ref="D23:D29" si="16">IF(B23=0, "    ---- ", IF(ABS(ROUND(100/B23*C23-100,1))&lt;999,ROUND(100/B23*C23-100,1),IF(ROUND(100/B23*C23-100,1)&gt;999,999,-999)))</f>
        <v>-80.599999999999994</v>
      </c>
      <c r="E23" s="786">
        <v>2926.8910000000001</v>
      </c>
      <c r="F23" s="338">
        <v>2709.1619999999998</v>
      </c>
      <c r="G23" s="482">
        <f t="shared" ref="G23:G29" si="17">IF(E23=0, "    ---- ", IF(ABS(ROUND(100/E23*F23-100,1))&lt;999,ROUND(100/E23*F23-100,1),IF(ROUND(100/E23*F23-100,1)&gt;999,999,-999)))</f>
        <v>-7.4</v>
      </c>
      <c r="H23" s="786">
        <v>-60.8</v>
      </c>
      <c r="I23" s="338">
        <v>-60.350999999999999</v>
      </c>
      <c r="J23" s="482">
        <f>IF(H23=0, "    ---- ", IF(ABS(ROUND(100/H23*I23-100,1))&lt;999,ROUND(100/H23*I23-100,1),IF(ROUND(100/H23*I23-100,1)&gt;999,999,-999)))</f>
        <v>-0.7</v>
      </c>
      <c r="K23" s="786">
        <v>-486.99999999999994</v>
      </c>
      <c r="L23" s="338">
        <f>-513.5+63.1</f>
        <v>-450.4</v>
      </c>
      <c r="M23" s="482">
        <f t="shared" ref="M23:M31" si="18">IF(K23=0, "    ---- ", IF(ABS(ROUND(100/K23*L23-100,1))&lt;999,ROUND(100/K23*L23-100,1),IF(ROUND(100/K23*L23-100,1)&gt;999,999,-999)))</f>
        <v>-7.5</v>
      </c>
      <c r="N23" s="786">
        <v>11</v>
      </c>
      <c r="O23" s="338">
        <v>-2.2513730000000001</v>
      </c>
      <c r="P23" s="481">
        <f t="shared" ref="P23" si="19">IF(N23=0, "    ---- ", IF(ABS(ROUND(100/N23*O23-100,1))&lt;999,ROUND(100/N23*O23-100,1),IF(ROUND(100/N23*O23-100,1)&gt;999,999,-999)))</f>
        <v>-120.5</v>
      </c>
      <c r="Q23" s="786">
        <v>-27251.867394669996</v>
      </c>
      <c r="R23" s="338">
        <v>-28189.829584799998</v>
      </c>
      <c r="S23" s="482">
        <f t="shared" ref="S23:S30" si="20">IF(Q23=0, "    ---- ", IF(ABS(ROUND(100/Q23*R23-100,1))&lt;999,ROUND(100/Q23*R23-100,1),IF(ROUND(100/Q23*R23-100,1)&gt;999,999,-999)))</f>
        <v>3.4</v>
      </c>
      <c r="T23" s="786">
        <v>-45.1</v>
      </c>
      <c r="U23" s="338">
        <v>-42.8</v>
      </c>
      <c r="V23" s="482">
        <f t="shared" si="5"/>
        <v>-5.0999999999999996</v>
      </c>
      <c r="W23" s="786">
        <v>-396</v>
      </c>
      <c r="X23" s="338">
        <v>-417</v>
      </c>
      <c r="Y23" s="482">
        <f t="shared" ref="Y23:Y29" si="21">IF(W23=0, "    ---- ", IF(ABS(ROUND(100/W23*X23-100,1))&lt;999,ROUND(100/W23*X23-100,1),IF(ROUND(100/W23*X23-100,1)&gt;999,999,-999)))</f>
        <v>5.3</v>
      </c>
      <c r="Z23" s="786">
        <v>-3253</v>
      </c>
      <c r="AA23" s="338">
        <v>-3309</v>
      </c>
      <c r="AB23" s="482">
        <f t="shared" ref="AB23:AB29" si="22">IF(Z23=0, "    ---- ", IF(ABS(ROUND(100/Z23*AA23-100,1))&lt;999,ROUND(100/Z23*AA23-100,1),IF(ROUND(100/Z23*AA23-100,1)&gt;999,999,-999)))</f>
        <v>1.7</v>
      </c>
      <c r="AC23" s="786"/>
      <c r="AD23" s="338"/>
      <c r="AE23" s="482"/>
      <c r="AF23" s="786">
        <v>-899.25151352</v>
      </c>
      <c r="AG23" s="338">
        <v>-1245.9337822999998</v>
      </c>
      <c r="AH23" s="482">
        <f t="shared" ref="AH23:AH29" si="23">IF(AF23=0, "    ---- ", IF(ABS(ROUND(100/AF23*AG23-100,1))&lt;999,ROUND(100/AF23*AG23-100,1),IF(ROUND(100/AF23*AG23-100,1)&gt;999,999,-999)))</f>
        <v>38.6</v>
      </c>
      <c r="AI23" s="786">
        <v>335</v>
      </c>
      <c r="AJ23" s="338">
        <v>543</v>
      </c>
      <c r="AK23" s="482">
        <f t="shared" ref="AK23:AK29" si="24">IF(AI23=0, "    ---- ", IF(ABS(ROUND(100/AI23*AJ23-100,1))&lt;999,ROUND(100/AI23*AJ23-100,1),IF(ROUND(100/AI23*AJ23-100,1)&gt;999,999,-999)))</f>
        <v>62.1</v>
      </c>
      <c r="AL23" s="482">
        <f t="shared" si="13"/>
        <v>-29233.889908189994</v>
      </c>
      <c r="AM23" s="482">
        <f t="shared" si="13"/>
        <v>-30483.125367099998</v>
      </c>
      <c r="AN23" s="482">
        <f t="shared" si="11"/>
        <v>4.3</v>
      </c>
      <c r="AO23" s="482"/>
      <c r="AP23" s="482"/>
      <c r="AQ23" s="482"/>
    </row>
    <row r="24" spans="1:43" s="457" customFormat="1" ht="18.75" customHeight="1" x14ac:dyDescent="0.3">
      <c r="A24" s="480" t="s">
        <v>308</v>
      </c>
      <c r="B24" s="786">
        <v>0</v>
      </c>
      <c r="C24" s="338"/>
      <c r="D24" s="482"/>
      <c r="E24" s="786">
        <v>106.3</v>
      </c>
      <c r="F24" s="338">
        <v>-89.397999999999996</v>
      </c>
      <c r="G24" s="482">
        <f t="shared" si="17"/>
        <v>-184.1</v>
      </c>
      <c r="H24" s="786">
        <v>2.4</v>
      </c>
      <c r="I24" s="338">
        <v>-6.5389999999999997</v>
      </c>
      <c r="J24" s="482">
        <f>IF(H24=0, "    ---- ", IF(ABS(ROUND(100/H24*I24-100,1))&lt;999,ROUND(100/H24*I24-100,1),IF(ROUND(100/H24*I24-100,1)&gt;999,999,-999)))</f>
        <v>-372.5</v>
      </c>
      <c r="K24" s="786">
        <v>-64.8</v>
      </c>
      <c r="L24" s="338">
        <v>-42.5</v>
      </c>
      <c r="M24" s="482">
        <f t="shared" si="18"/>
        <v>-34.4</v>
      </c>
      <c r="N24" s="786"/>
      <c r="O24" s="338"/>
      <c r="P24" s="482"/>
      <c r="Q24" s="786">
        <v>-2824.5672770000001</v>
      </c>
      <c r="R24" s="338">
        <v>15.442897</v>
      </c>
      <c r="S24" s="482">
        <f t="shared" si="20"/>
        <v>-100.5</v>
      </c>
      <c r="T24" s="786">
        <v>-8</v>
      </c>
      <c r="U24" s="338">
        <v>1.2</v>
      </c>
      <c r="V24" s="482">
        <f t="shared" si="5"/>
        <v>-115</v>
      </c>
      <c r="W24" s="786">
        <v>-486</v>
      </c>
      <c r="X24" s="338">
        <v>-425</v>
      </c>
      <c r="Y24" s="482">
        <f t="shared" si="21"/>
        <v>-12.6</v>
      </c>
      <c r="Z24" s="786">
        <v>-377</v>
      </c>
      <c r="AA24" s="338">
        <v>262</v>
      </c>
      <c r="AB24" s="482">
        <f t="shared" si="22"/>
        <v>-169.5</v>
      </c>
      <c r="AC24" s="786"/>
      <c r="AD24" s="338"/>
      <c r="AE24" s="482"/>
      <c r="AF24" s="786">
        <v>-144.54458445000003</v>
      </c>
      <c r="AG24" s="338">
        <v>-355.04774206999997</v>
      </c>
      <c r="AH24" s="482">
        <f t="shared" si="23"/>
        <v>145.6</v>
      </c>
      <c r="AI24" s="786">
        <v>-60</v>
      </c>
      <c r="AJ24" s="338">
        <v>-768</v>
      </c>
      <c r="AK24" s="482">
        <f t="shared" si="24"/>
        <v>999</v>
      </c>
      <c r="AL24" s="482">
        <f t="shared" si="13"/>
        <v>-3856.21186145</v>
      </c>
      <c r="AM24" s="482">
        <f t="shared" si="13"/>
        <v>-1407.8418450699999</v>
      </c>
      <c r="AN24" s="482">
        <f t="shared" si="11"/>
        <v>-63.5</v>
      </c>
      <c r="AO24" s="482"/>
      <c r="AP24" s="482"/>
      <c r="AQ24" s="482"/>
    </row>
    <row r="25" spans="1:43" s="457" customFormat="1" ht="18.75" customHeight="1" x14ac:dyDescent="0.3">
      <c r="A25" s="480" t="s">
        <v>309</v>
      </c>
      <c r="B25" s="786">
        <v>14.680999999999999</v>
      </c>
      <c r="C25" s="338">
        <v>-17.888999999999999</v>
      </c>
      <c r="D25" s="482">
        <f t="shared" si="16"/>
        <v>-221.9</v>
      </c>
      <c r="E25" s="786">
        <v>1805.155</v>
      </c>
      <c r="F25" s="338">
        <v>-4100.4030000000002</v>
      </c>
      <c r="G25" s="482">
        <f t="shared" si="17"/>
        <v>-327.10000000000002</v>
      </c>
      <c r="H25" s="786"/>
      <c r="I25" s="338">
        <v>-6.88</v>
      </c>
      <c r="J25" s="481" t="str">
        <f t="shared" ref="J25" si="25">IF(H25=0, "    ---- ", IF(ABS(ROUND(100/H25*I25-100,1))&lt;999,ROUND(100/H25*I25-100,1),IF(ROUND(100/H25*I25-100,1)&gt;999,999,-999)))</f>
        <v xml:space="preserve">    ---- </v>
      </c>
      <c r="K25" s="786">
        <v>49</v>
      </c>
      <c r="L25" s="338">
        <v>-15.5</v>
      </c>
      <c r="M25" s="482">
        <f t="shared" si="18"/>
        <v>-131.6</v>
      </c>
      <c r="N25" s="786"/>
      <c r="O25" s="338"/>
      <c r="P25" s="482"/>
      <c r="Q25" s="786">
        <v>8838.4394240000001</v>
      </c>
      <c r="R25" s="338">
        <v>-22321.899841999999</v>
      </c>
      <c r="S25" s="482">
        <f t="shared" si="20"/>
        <v>-352.6</v>
      </c>
      <c r="T25" s="786">
        <v>23.1</v>
      </c>
      <c r="U25" s="338">
        <v>-11.2</v>
      </c>
      <c r="V25" s="482">
        <f t="shared" si="5"/>
        <v>-148.5</v>
      </c>
      <c r="W25" s="786">
        <v>392</v>
      </c>
      <c r="X25" s="338">
        <v>-643</v>
      </c>
      <c r="Y25" s="482">
        <f t="shared" si="21"/>
        <v>-264</v>
      </c>
      <c r="Z25" s="786">
        <v>1628</v>
      </c>
      <c r="AA25" s="338">
        <v>-7218</v>
      </c>
      <c r="AB25" s="482">
        <f t="shared" si="22"/>
        <v>-543.4</v>
      </c>
      <c r="AC25" s="786"/>
      <c r="AD25" s="338"/>
      <c r="AE25" s="482"/>
      <c r="AF25" s="786">
        <v>742.16682519999995</v>
      </c>
      <c r="AG25" s="338">
        <v>-781.50790165000012</v>
      </c>
      <c r="AH25" s="482">
        <f t="shared" si="23"/>
        <v>-205.3</v>
      </c>
      <c r="AI25" s="786">
        <v>1462</v>
      </c>
      <c r="AJ25" s="338">
        <f>-3255</f>
        <v>-3255</v>
      </c>
      <c r="AK25" s="482">
        <f t="shared" si="24"/>
        <v>-322.60000000000002</v>
      </c>
      <c r="AL25" s="482">
        <f t="shared" si="13"/>
        <v>14954.5422492</v>
      </c>
      <c r="AM25" s="482">
        <f t="shared" si="13"/>
        <v>-38371.279743650004</v>
      </c>
      <c r="AN25" s="482">
        <f t="shared" si="11"/>
        <v>-356.6</v>
      </c>
      <c r="AO25" s="482"/>
      <c r="AP25" s="482"/>
      <c r="AQ25" s="482"/>
    </row>
    <row r="26" spans="1:43" s="457" customFormat="1" ht="18.75" customHeight="1" x14ac:dyDescent="0.3">
      <c r="A26" s="480" t="s">
        <v>310</v>
      </c>
      <c r="B26" s="786"/>
      <c r="C26" s="338"/>
      <c r="D26" s="482"/>
      <c r="E26" s="786">
        <v>-21.247</v>
      </c>
      <c r="F26" s="338">
        <v>-14.917</v>
      </c>
      <c r="G26" s="482">
        <f t="shared" si="17"/>
        <v>-29.8</v>
      </c>
      <c r="H26" s="786"/>
      <c r="I26" s="338"/>
      <c r="J26" s="482"/>
      <c r="K26" s="786">
        <v>0.6</v>
      </c>
      <c r="L26" s="338">
        <v>1.5</v>
      </c>
      <c r="M26" s="481">
        <f t="shared" si="18"/>
        <v>150</v>
      </c>
      <c r="N26" s="786"/>
      <c r="O26" s="338"/>
      <c r="P26" s="482"/>
      <c r="Q26" s="786">
        <v>-265.254077</v>
      </c>
      <c r="R26" s="338">
        <v>-231.87149600000001</v>
      </c>
      <c r="S26" s="482">
        <f t="shared" si="20"/>
        <v>-12.6</v>
      </c>
      <c r="T26" s="786">
        <v>-1.2</v>
      </c>
      <c r="U26" s="338">
        <v>-0.3</v>
      </c>
      <c r="V26" s="482">
        <f t="shared" si="5"/>
        <v>-75</v>
      </c>
      <c r="W26" s="786">
        <v>-12</v>
      </c>
      <c r="X26" s="338">
        <v>-12</v>
      </c>
      <c r="Y26" s="482">
        <f t="shared" si="21"/>
        <v>0</v>
      </c>
      <c r="Z26" s="786">
        <v>-44</v>
      </c>
      <c r="AA26" s="338">
        <v>-55</v>
      </c>
      <c r="AB26" s="482">
        <f t="shared" si="22"/>
        <v>25</v>
      </c>
      <c r="AC26" s="786"/>
      <c r="AD26" s="338"/>
      <c r="AE26" s="482"/>
      <c r="AF26" s="786">
        <v>-3.3495020000000002</v>
      </c>
      <c r="AG26" s="338">
        <v>-2.884649</v>
      </c>
      <c r="AH26" s="482">
        <f t="shared" si="23"/>
        <v>-13.9</v>
      </c>
      <c r="AI26" s="786">
        <v>-6</v>
      </c>
      <c r="AJ26" s="338">
        <v>-2</v>
      </c>
      <c r="AK26" s="482">
        <f t="shared" si="24"/>
        <v>-66.7</v>
      </c>
      <c r="AL26" s="482">
        <f t="shared" si="13"/>
        <v>-352.45057899999995</v>
      </c>
      <c r="AM26" s="482">
        <f t="shared" si="13"/>
        <v>-317.47314500000005</v>
      </c>
      <c r="AN26" s="482">
        <f t="shared" si="11"/>
        <v>-9.9</v>
      </c>
      <c r="AO26" s="482"/>
      <c r="AP26" s="482"/>
      <c r="AQ26" s="482"/>
    </row>
    <row r="27" spans="1:43" s="457" customFormat="1" ht="18.75" customHeight="1" x14ac:dyDescent="0.3">
      <c r="A27" s="480" t="s">
        <v>311</v>
      </c>
      <c r="B27" s="786">
        <v>-3.7160000000000002</v>
      </c>
      <c r="C27" s="338">
        <v>-1.331</v>
      </c>
      <c r="D27" s="482">
        <f t="shared" si="16"/>
        <v>-64.2</v>
      </c>
      <c r="E27" s="786">
        <v>-25.091000000000001</v>
      </c>
      <c r="F27" s="338">
        <v>-46.786000000000001</v>
      </c>
      <c r="G27" s="482">
        <f t="shared" si="17"/>
        <v>86.5</v>
      </c>
      <c r="H27" s="786">
        <v>-3.4</v>
      </c>
      <c r="I27" s="338">
        <v>-3.5329999999999999</v>
      </c>
      <c r="J27" s="482">
        <f>IF(H27=0, "    ---- ", IF(ABS(ROUND(100/H27*I27-100,1))&lt;999,ROUND(100/H27*I27-100,1),IF(ROUND(100/H27*I27-100,1)&gt;999,999,-999)))</f>
        <v>3.9</v>
      </c>
      <c r="K27" s="786"/>
      <c r="L27" s="338"/>
      <c r="M27" s="482"/>
      <c r="N27" s="786"/>
      <c r="O27" s="338"/>
      <c r="P27" s="482"/>
      <c r="Q27" s="786"/>
      <c r="R27" s="338"/>
      <c r="S27" s="482"/>
      <c r="T27" s="786"/>
      <c r="U27" s="338"/>
      <c r="V27" s="482"/>
      <c r="W27" s="786">
        <v>0</v>
      </c>
      <c r="X27" s="338">
        <v>0</v>
      </c>
      <c r="Y27" s="482" t="str">
        <f t="shared" si="21"/>
        <v xml:space="preserve">    ---- </v>
      </c>
      <c r="Z27" s="786">
        <v>22</v>
      </c>
      <c r="AA27" s="338">
        <v>14</v>
      </c>
      <c r="AB27" s="481">
        <f t="shared" si="22"/>
        <v>-36.4</v>
      </c>
      <c r="AC27" s="786"/>
      <c r="AD27" s="338"/>
      <c r="AE27" s="482"/>
      <c r="AF27" s="786">
        <v>0</v>
      </c>
      <c r="AG27" s="338">
        <v>0</v>
      </c>
      <c r="AH27" s="482" t="str">
        <f t="shared" si="23"/>
        <v xml:space="preserve">    ---- </v>
      </c>
      <c r="AI27" s="786">
        <v>-5</v>
      </c>
      <c r="AJ27" s="338">
        <v>-8</v>
      </c>
      <c r="AK27" s="482">
        <f t="shared" si="24"/>
        <v>60</v>
      </c>
      <c r="AL27" s="482">
        <f t="shared" si="13"/>
        <v>-15.207000000000001</v>
      </c>
      <c r="AM27" s="482">
        <f t="shared" si="13"/>
        <v>-45.650000000000006</v>
      </c>
      <c r="AN27" s="482">
        <f t="shared" si="11"/>
        <v>200.2</v>
      </c>
      <c r="AO27" s="482"/>
      <c r="AP27" s="482"/>
      <c r="AQ27" s="482"/>
    </row>
    <row r="28" spans="1:43" s="457" customFormat="1" ht="18.75" customHeight="1" x14ac:dyDescent="0.3">
      <c r="A28" s="480" t="s">
        <v>312</v>
      </c>
      <c r="B28" s="786"/>
      <c r="C28" s="338"/>
      <c r="D28" s="482"/>
      <c r="E28" s="786">
        <v>21.882999999999999</v>
      </c>
      <c r="F28" s="338">
        <v>14.243</v>
      </c>
      <c r="G28" s="482">
        <f t="shared" si="17"/>
        <v>-34.9</v>
      </c>
      <c r="H28" s="786"/>
      <c r="I28" s="338"/>
      <c r="J28" s="482"/>
      <c r="K28" s="786"/>
      <c r="L28" s="338"/>
      <c r="M28" s="482"/>
      <c r="N28" s="786"/>
      <c r="O28" s="338"/>
      <c r="P28" s="481"/>
      <c r="Q28" s="786">
        <v>0</v>
      </c>
      <c r="R28" s="338">
        <v>0</v>
      </c>
      <c r="S28" s="482" t="str">
        <f t="shared" si="20"/>
        <v xml:space="preserve">    ---- </v>
      </c>
      <c r="T28" s="786">
        <v>0.2</v>
      </c>
      <c r="U28" s="338">
        <v>0</v>
      </c>
      <c r="V28" s="482">
        <f t="shared" si="5"/>
        <v>-100</v>
      </c>
      <c r="W28" s="786">
        <v>3</v>
      </c>
      <c r="X28" s="338">
        <v>2</v>
      </c>
      <c r="Y28" s="482">
        <f t="shared" si="21"/>
        <v>-33.299999999999997</v>
      </c>
      <c r="Z28" s="786"/>
      <c r="AA28" s="338"/>
      <c r="AB28" s="482"/>
      <c r="AC28" s="786"/>
      <c r="AD28" s="338"/>
      <c r="AE28" s="482"/>
      <c r="AF28" s="786">
        <v>3.7576298100000001</v>
      </c>
      <c r="AG28" s="338">
        <v>0</v>
      </c>
      <c r="AH28" s="482">
        <f t="shared" si="23"/>
        <v>-100</v>
      </c>
      <c r="AI28" s="786">
        <v>-16</v>
      </c>
      <c r="AJ28" s="338">
        <v>-11</v>
      </c>
      <c r="AK28" s="482">
        <f t="shared" si="24"/>
        <v>-31.3</v>
      </c>
      <c r="AL28" s="482">
        <f t="shared" si="13"/>
        <v>12.840629809999999</v>
      </c>
      <c r="AM28" s="482">
        <f t="shared" si="13"/>
        <v>5.2430000000000021</v>
      </c>
      <c r="AN28" s="482">
        <f t="shared" si="11"/>
        <v>-59.2</v>
      </c>
      <c r="AO28" s="482"/>
      <c r="AP28" s="482"/>
      <c r="AQ28" s="482"/>
    </row>
    <row r="29" spans="1:43" s="457" customFormat="1" ht="18.75" customHeight="1" x14ac:dyDescent="0.3">
      <c r="A29" s="480" t="s">
        <v>313</v>
      </c>
      <c r="B29" s="786">
        <v>-91.796999999999997</v>
      </c>
      <c r="C29" s="338">
        <f>SUM(C23:C28)</f>
        <v>-39.192999999999998</v>
      </c>
      <c r="D29" s="482">
        <f t="shared" si="16"/>
        <v>-57.3</v>
      </c>
      <c r="E29" s="785">
        <v>4813.8909999999996</v>
      </c>
      <c r="F29" s="338">
        <f>SUM(F23:F28)</f>
        <v>-1528.0990000000006</v>
      </c>
      <c r="G29" s="482">
        <f t="shared" si="17"/>
        <v>-131.69999999999999</v>
      </c>
      <c r="H29" s="786">
        <v>-61.8</v>
      </c>
      <c r="I29" s="338">
        <f>SUM(I23:I28)</f>
        <v>-77.302999999999997</v>
      </c>
      <c r="J29" s="482">
        <f>IF(H29=0, "    ---- ", IF(ABS(ROUND(100/H29*I29-100,1))&lt;999,ROUND(100/H29*I29-100,1),IF(ROUND(100/H29*I29-100,1)&gt;999,999,-999)))</f>
        <v>25.1</v>
      </c>
      <c r="K29" s="786">
        <v>-502.19999999999993</v>
      </c>
      <c r="L29" s="338">
        <f>SUM(L23:L28)</f>
        <v>-506.9</v>
      </c>
      <c r="M29" s="482">
        <f t="shared" si="18"/>
        <v>0.9</v>
      </c>
      <c r="N29" s="786">
        <v>11</v>
      </c>
      <c r="O29" s="338">
        <f>SUM(O23:O28)</f>
        <v>-2.2513730000000001</v>
      </c>
      <c r="P29" s="482">
        <f>IF(N29=0, "    ---- ", IF(ABS(ROUND(100/N29*O29-100,1))&lt;999,ROUND(100/N29*O29-100,1),IF(ROUND(100/N29*O29-100,1)&gt;999,999,-999)))</f>
        <v>-120.5</v>
      </c>
      <c r="Q29" s="786">
        <v>-21503.249324669996</v>
      </c>
      <c r="R29" s="338">
        <f>SUM(R23:R28)</f>
        <v>-50728.158025799996</v>
      </c>
      <c r="S29" s="482">
        <f t="shared" si="20"/>
        <v>135.9</v>
      </c>
      <c r="T29" s="786">
        <v>-31</v>
      </c>
      <c r="U29" s="338">
        <f>SUM(U23:U28)</f>
        <v>-53.099999999999994</v>
      </c>
      <c r="V29" s="482">
        <f t="shared" si="5"/>
        <v>71.3</v>
      </c>
      <c r="W29" s="786">
        <v>-499</v>
      </c>
      <c r="X29" s="338">
        <f>SUM(X23:X28)</f>
        <v>-1495</v>
      </c>
      <c r="Y29" s="482">
        <f t="shared" si="21"/>
        <v>199.6</v>
      </c>
      <c r="Z29" s="786">
        <v>-2024</v>
      </c>
      <c r="AA29" s="338">
        <f>SUM(AA23:AA28)</f>
        <v>-10306</v>
      </c>
      <c r="AB29" s="482">
        <f t="shared" si="22"/>
        <v>409.2</v>
      </c>
      <c r="AC29" s="786"/>
      <c r="AD29" s="338"/>
      <c r="AE29" s="482"/>
      <c r="AF29" s="786">
        <v>-301.22114496000012</v>
      </c>
      <c r="AG29" s="338">
        <f>SUM(AG23:AG28)</f>
        <v>-2385.37407502</v>
      </c>
      <c r="AH29" s="482">
        <f t="shared" si="23"/>
        <v>691.9</v>
      </c>
      <c r="AI29" s="786">
        <v>1710</v>
      </c>
      <c r="AJ29" s="338">
        <f>SUM(AJ23:AJ28)</f>
        <v>-3501</v>
      </c>
      <c r="AK29" s="482">
        <f t="shared" si="24"/>
        <v>-304.7</v>
      </c>
      <c r="AL29" s="482">
        <f t="shared" si="13"/>
        <v>-18490.376469629995</v>
      </c>
      <c r="AM29" s="482">
        <f t="shared" si="13"/>
        <v>-70620.127100819998</v>
      </c>
      <c r="AN29" s="482">
        <f t="shared" si="11"/>
        <v>281.89999999999998</v>
      </c>
      <c r="AO29" s="482"/>
      <c r="AP29" s="482"/>
      <c r="AQ29" s="482"/>
    </row>
    <row r="30" spans="1:43" s="457" customFormat="1" ht="18.75" customHeight="1" x14ac:dyDescent="0.3">
      <c r="A30" s="480" t="s">
        <v>314</v>
      </c>
      <c r="B30" s="786">
        <v>78.930000000000007</v>
      </c>
      <c r="C30" s="338">
        <v>-3906.8910000000001</v>
      </c>
      <c r="D30" s="482">
        <f>IF(B30=0, "    ---- ", IF(ABS(ROUND(100/B30*C30-100,1))&lt;999,ROUND(100/B30*C30-100,1),IF(ROUND(100/B30*C30-100,1)&gt;999,999,-999)))</f>
        <v>-999</v>
      </c>
      <c r="E30" s="786">
        <v>-2167.1570000000002</v>
      </c>
      <c r="F30" s="338">
        <v>-21762.411</v>
      </c>
      <c r="G30" s="482">
        <f>IF(E30=0, "    ---- ", IF(ABS(ROUND(100/E30*F30-100,1))&lt;999,ROUND(100/E30*F30-100,1),IF(ROUND(100/E30*F30-100,1)&gt;999,999,-999)))</f>
        <v>904.2</v>
      </c>
      <c r="H30" s="786">
        <v>-75.8</v>
      </c>
      <c r="I30" s="338">
        <v>-938.952</v>
      </c>
      <c r="J30" s="481">
        <f t="shared" ref="J30" si="26">IF(H30=0, "    ---- ", IF(ABS(ROUND(100/H30*I30-100,1))&lt;999,ROUND(100/H30*I30-100,1),IF(ROUND(100/H30*I30-100,1)&gt;999,999,-999)))</f>
        <v>999</v>
      </c>
      <c r="K30" s="786">
        <v>-1421.3</v>
      </c>
      <c r="L30" s="338">
        <v>-6028.7</v>
      </c>
      <c r="M30" s="482">
        <f t="shared" si="18"/>
        <v>324.2</v>
      </c>
      <c r="N30" s="786"/>
      <c r="O30" s="338"/>
      <c r="P30" s="482"/>
      <c r="Q30" s="786">
        <v>-58.017110000000002</v>
      </c>
      <c r="R30" s="338">
        <v>-196.71294703999999</v>
      </c>
      <c r="S30" s="482">
        <f t="shared" si="20"/>
        <v>239.1</v>
      </c>
      <c r="T30" s="786">
        <v>-707</v>
      </c>
      <c r="U30" s="338">
        <v>-1520.3</v>
      </c>
      <c r="V30" s="482">
        <f t="shared" si="5"/>
        <v>115</v>
      </c>
      <c r="W30" s="786">
        <v>-391</v>
      </c>
      <c r="X30" s="338">
        <v>-18934</v>
      </c>
      <c r="Y30" s="482">
        <f>IF(W30=0, "    ---- ", IF(ABS(ROUND(100/W30*X30-100,1))&lt;999,ROUND(100/W30*X30-100,1),IF(ROUND(100/W30*X30-100,1)&gt;999,999,-999)))</f>
        <v>999</v>
      </c>
      <c r="Z30" s="786"/>
      <c r="AA30" s="338"/>
      <c r="AB30" s="482"/>
      <c r="AC30" s="786">
        <v>6</v>
      </c>
      <c r="AD30" s="338">
        <v>-464.67669190999999</v>
      </c>
      <c r="AE30" s="482">
        <f>IF(AC30=0, "    ---- ", IF(ABS(ROUND(100/AC30*AD30-100,1))&lt;999,ROUND(100/AC30*AD30-100,1),IF(ROUND(100/AC30*AD30-100,1)&gt;999,999,-999)))</f>
        <v>-999</v>
      </c>
      <c r="AF30" s="786">
        <v>-2704.2842486799996</v>
      </c>
      <c r="AG30" s="338">
        <v>-8372.6570726400005</v>
      </c>
      <c r="AH30" s="482">
        <f>IF(AF30=0, "    ---- ", IF(ABS(ROUND(100/AF30*AG30-100,1))&lt;999,ROUND(100/AF30*AG30-100,1),IF(ROUND(100/AF30*AG30-100,1)&gt;999,999,-999)))</f>
        <v>209.6</v>
      </c>
      <c r="AI30" s="786">
        <v>-4530</v>
      </c>
      <c r="AJ30" s="338">
        <v>-21134</v>
      </c>
      <c r="AK30" s="482">
        <f>IF(AI30=0, "    ---- ", IF(ABS(ROUND(100/AI30*AJ30-100,1))&lt;999,ROUND(100/AI30*AJ30-100,1),IF(ROUND(100/AI30*AJ30-100,1)&gt;999,999,-999)))</f>
        <v>366.5</v>
      </c>
      <c r="AL30" s="482">
        <f t="shared" si="13"/>
        <v>-11975.62835868</v>
      </c>
      <c r="AM30" s="482">
        <f t="shared" si="13"/>
        <v>-82794.624019680006</v>
      </c>
      <c r="AN30" s="482">
        <f t="shared" si="11"/>
        <v>591.4</v>
      </c>
      <c r="AO30" s="482"/>
      <c r="AP30" s="482"/>
      <c r="AQ30" s="482"/>
    </row>
    <row r="31" spans="1:43" s="457" customFormat="1" ht="18.75" customHeight="1" x14ac:dyDescent="0.3">
      <c r="A31" s="480" t="s">
        <v>315</v>
      </c>
      <c r="B31" s="786">
        <v>-7.4420000000000002</v>
      </c>
      <c r="C31" s="338">
        <v>-0.309</v>
      </c>
      <c r="D31" s="482">
        <f>IF(B31=0, "    ---- ", IF(ABS(ROUND(100/B31*C31-100,1))&lt;999,ROUND(100/B31*C31-100,1),IF(ROUND(100/B31*C31-100,1)&gt;999,999,-999)))</f>
        <v>-95.8</v>
      </c>
      <c r="E31" s="786">
        <v>-776.61699999999996</v>
      </c>
      <c r="F31" s="338">
        <v>-1355.318</v>
      </c>
      <c r="G31" s="482">
        <f>IF(E31=0, "    ---- ", IF(ABS(ROUND(100/E31*F31-100,1))&lt;999,ROUND(100/E31*F31-100,1),IF(ROUND(100/E31*F31-100,1)&gt;999,999,-999)))</f>
        <v>74.5</v>
      </c>
      <c r="H31" s="786"/>
      <c r="I31" s="338"/>
      <c r="J31" s="482"/>
      <c r="K31" s="786">
        <v>-20.9</v>
      </c>
      <c r="L31" s="338">
        <v>-26</v>
      </c>
      <c r="M31" s="482">
        <f t="shared" si="18"/>
        <v>24.4</v>
      </c>
      <c r="N31" s="786"/>
      <c r="O31" s="338"/>
      <c r="P31" s="482"/>
      <c r="Q31" s="786">
        <v>-2938.9254759999999</v>
      </c>
      <c r="R31" s="338">
        <v>-10840.900150200001</v>
      </c>
      <c r="S31" s="482">
        <f>IF(Q31=0, "    ---- ", IF(ABS(ROUND(100/Q31*R31-100,1))&lt;999,ROUND(100/Q31*R31-100,1),IF(ROUND(100/Q31*R31-100,1)&gt;999,999,-999)))</f>
        <v>268.89999999999998</v>
      </c>
      <c r="T31" s="786">
        <v>-19.8</v>
      </c>
      <c r="U31" s="338">
        <v>-17</v>
      </c>
      <c r="V31" s="482">
        <f>IF(T31=0, "    ---- ", IF(ABS(ROUND(100/T31*U31-100,1))&lt;999,ROUND(100/T31*U31-100,1),IF(ROUND(100/T31*U31-100,1)&gt;999,999,-999)))</f>
        <v>-14.1</v>
      </c>
      <c r="W31" s="786">
        <v>-115.4</v>
      </c>
      <c r="X31" s="338">
        <v>-103</v>
      </c>
      <c r="Y31" s="482">
        <f>IF(W31=0, "    ---- ", IF(ABS(ROUND(100/W31*X31-100,1))&lt;999,ROUND(100/W31*X31-100,1),IF(ROUND(100/W31*X31-100,1)&gt;999,999,-999)))</f>
        <v>-10.7</v>
      </c>
      <c r="Z31" s="786">
        <v>-1265</v>
      </c>
      <c r="AA31" s="338">
        <v>-309</v>
      </c>
      <c r="AB31" s="482">
        <f>IF(Z31=0, "    ---- ", IF(ABS(ROUND(100/Z31*AA31-100,1))&lt;999,ROUND(100/Z31*AA31-100,1),IF(ROUND(100/Z31*AA31-100,1)&gt;999,999,-999)))</f>
        <v>-75.599999999999994</v>
      </c>
      <c r="AC31" s="786"/>
      <c r="AD31" s="338"/>
      <c r="AE31" s="482"/>
      <c r="AF31" s="786">
        <v>-194.55811548999998</v>
      </c>
      <c r="AG31" s="338">
        <v>-615.51485011</v>
      </c>
      <c r="AH31" s="482">
        <f>IF(AF31=0, "    ---- ", IF(ABS(ROUND(100/AF31*AG31-100,1))&lt;999,ROUND(100/AF31*AG31-100,1),IF(ROUND(100/AF31*AG31-100,1)&gt;999,999,-999)))</f>
        <v>216.4</v>
      </c>
      <c r="AI31" s="786">
        <v>-415</v>
      </c>
      <c r="AJ31" s="338">
        <v>-438</v>
      </c>
      <c r="AK31" s="482">
        <f>IF(AI31=0, "    ---- ", IF(ABS(ROUND(100/AI31*AJ31-100,1))&lt;999,ROUND(100/AI31*AJ31-100,1),IF(ROUND(100/AI31*AJ31-100,1)&gt;999,999,-999)))</f>
        <v>5.5</v>
      </c>
      <c r="AL31" s="482">
        <f t="shared" si="13"/>
        <v>-5753.6425914900001</v>
      </c>
      <c r="AM31" s="482">
        <f t="shared" si="13"/>
        <v>-13705.042000310001</v>
      </c>
      <c r="AN31" s="482">
        <f t="shared" si="11"/>
        <v>138.19999999999999</v>
      </c>
      <c r="AO31" s="482"/>
      <c r="AP31" s="482"/>
      <c r="AQ31" s="482"/>
    </row>
    <row r="32" spans="1:43" s="457" customFormat="1" ht="18.75" customHeight="1" x14ac:dyDescent="0.3">
      <c r="A32" s="480" t="s">
        <v>316</v>
      </c>
      <c r="B32" s="786">
        <v>-204.46</v>
      </c>
      <c r="C32" s="338">
        <v>-207.57499999999999</v>
      </c>
      <c r="D32" s="482">
        <f>IF(B32=0, "    ---- ", IF(ABS(ROUND(100/B32*C32-100,1))&lt;999,ROUND(100/B32*C32-100,1),IF(ROUND(100/B32*C32-100,1)&gt;999,999,-999)))</f>
        <v>1.5</v>
      </c>
      <c r="E32" s="786">
        <v>-1275.463</v>
      </c>
      <c r="F32" s="338">
        <v>-1265.009</v>
      </c>
      <c r="G32" s="482">
        <f>IF(E32=0, "    ---- ", IF(ABS(ROUND(100/E32*F32-100,1))&lt;999,ROUND(100/E32*F32-100,1),IF(ROUND(100/E32*F32-100,1)&gt;999,999,-999)))</f>
        <v>-0.8</v>
      </c>
      <c r="H32" s="890">
        <v>-292.75900000000001</v>
      </c>
      <c r="I32" s="338">
        <v>-273.52300000000002</v>
      </c>
      <c r="J32" s="482">
        <f>IF(H32=0, "    ---- ", IF(ABS(ROUND(100/H32*I32-100,1))&lt;999,ROUND(100/H32*I32-100,1),IF(ROUND(100/H32*I32-100,1)&gt;999,999,-999)))</f>
        <v>-6.6</v>
      </c>
      <c r="K32" s="786">
        <v>-241</v>
      </c>
      <c r="L32" s="338">
        <v>-275.60000000000002</v>
      </c>
      <c r="M32" s="482">
        <f>IF(K32=0, "    ---- ", IF(ABS(ROUND(100/K32*L32-100,1))&lt;999,ROUND(100/K32*L32-100,1),IF(ROUND(100/K32*L32-100,1)&gt;999,999,-999)))</f>
        <v>14.4</v>
      </c>
      <c r="N32" s="786">
        <v>-11</v>
      </c>
      <c r="O32" s="338">
        <v>-9.8598541300000004</v>
      </c>
      <c r="P32" s="482">
        <f>IF(N32=0, "    ---- ", IF(ABS(ROUND(100/N32*O32-100,1))&lt;999,ROUND(100/N32*O32-100,1),IF(ROUND(100/N32*O32-100,1)&gt;999,999,-999)))</f>
        <v>-10.4</v>
      </c>
      <c r="Q32" s="786">
        <v>-1096.9088078499999</v>
      </c>
      <c r="R32" s="338">
        <v>-1129.0813230599999</v>
      </c>
      <c r="S32" s="482">
        <f>IF(Q32=0, "    ---- ", IF(ABS(ROUND(100/Q32*R32-100,1))&lt;999,ROUND(100/Q32*R32-100,1),IF(ROUND(100/Q32*R32-100,1)&gt;999,999,-999)))</f>
        <v>2.9</v>
      </c>
      <c r="T32" s="786">
        <v>-67.099999999999994</v>
      </c>
      <c r="U32" s="338">
        <v>-70.3</v>
      </c>
      <c r="V32" s="482">
        <f>IF(T32=0, "    ---- ", IF(ABS(ROUND(100/T32*U32-100,1))&lt;999,ROUND(100/T32*U32-100,1),IF(ROUND(100/T32*U32-100,1)&gt;999,999,-999)))</f>
        <v>4.8</v>
      </c>
      <c r="W32" s="786">
        <v>-627</v>
      </c>
      <c r="X32" s="338">
        <v>-666</v>
      </c>
      <c r="Y32" s="482">
        <f>IF(W32=0, "    ---- ", IF(ABS(ROUND(100/W32*X32-100,1))&lt;999,ROUND(100/W32*X32-100,1),IF(ROUND(100/W32*X32-100,1)&gt;999,999,-999)))</f>
        <v>6.2</v>
      </c>
      <c r="Z32" s="786">
        <v>-161</v>
      </c>
      <c r="AA32" s="338">
        <v>-165</v>
      </c>
      <c r="AB32" s="482">
        <f>IF(Z32=0, "    ---- ", IF(ABS(ROUND(100/Z32*AA32-100,1))&lt;999,ROUND(100/Z32*AA32-100,1),IF(ROUND(100/Z32*AA32-100,1)&gt;999,999,-999)))</f>
        <v>2.5</v>
      </c>
      <c r="AC32" s="786">
        <v>3</v>
      </c>
      <c r="AD32" s="338">
        <v>2.8598383100000002</v>
      </c>
      <c r="AE32" s="482">
        <f>IF(AC32=0, "    ---- ", IF(ABS(ROUND(100/AC32*AD32-100,1))&lt;999,ROUND(100/AC32*AD32-100,1),IF(ROUND(100/AC32*AD32-100,1)&gt;999,999,-999)))</f>
        <v>-4.7</v>
      </c>
      <c r="AF32" s="786">
        <v>-1134.2003764251997</v>
      </c>
      <c r="AG32" s="338">
        <v>-1115.9861599770002</v>
      </c>
      <c r="AH32" s="482">
        <f>IF(AF32=0, "    ---- ", IF(ABS(ROUND(100/AF32*AG32-100,1))&lt;999,ROUND(100/AF32*AG32-100,1),IF(ROUND(100/AF32*AG32-100,1)&gt;999,999,-999)))</f>
        <v>-1.6</v>
      </c>
      <c r="AI32" s="786">
        <v>-1456</v>
      </c>
      <c r="AJ32" s="338">
        <v>-1509</v>
      </c>
      <c r="AK32" s="482">
        <f>IF(AI32=0, "    ---- ", IF(ABS(ROUND(100/AI32*AJ32-100,1))&lt;999,ROUND(100/AI32*AJ32-100,1),IF(ROUND(100/AI32*AJ32-100,1)&gt;999,999,-999)))</f>
        <v>3.6</v>
      </c>
      <c r="AL32" s="482">
        <f t="shared" si="13"/>
        <v>-6555.8911842751995</v>
      </c>
      <c r="AM32" s="482">
        <f t="shared" si="13"/>
        <v>-6677.0744830370004</v>
      </c>
      <c r="AN32" s="482">
        <f t="shared" si="11"/>
        <v>1.8</v>
      </c>
      <c r="AO32" s="482"/>
      <c r="AP32" s="482"/>
      <c r="AQ32" s="482"/>
    </row>
    <row r="33" spans="1:43" s="494" customFormat="1" ht="18.75" customHeight="1" x14ac:dyDescent="0.3">
      <c r="A33" s="480" t="s">
        <v>317</v>
      </c>
      <c r="B33" s="196"/>
      <c r="C33" s="393"/>
      <c r="D33" s="486"/>
      <c r="E33" s="196">
        <v>-25.427</v>
      </c>
      <c r="F33" s="393">
        <v>-70.33</v>
      </c>
      <c r="G33" s="486">
        <f>IF(E33=0, "    ---- ", IF(ABS(ROUND(100/E33*F33-100,1))&lt;999,ROUND(100/E33*F33-100,1),IF(ROUND(100/E33*F33-100,1)&gt;999,999,-999)))</f>
        <v>176.6</v>
      </c>
      <c r="H33" s="890"/>
      <c r="I33" s="393"/>
      <c r="J33" s="486"/>
      <c r="K33" s="196"/>
      <c r="L33" s="393"/>
      <c r="M33" s="486"/>
      <c r="N33" s="196"/>
      <c r="O33" s="393"/>
      <c r="P33" s="486"/>
      <c r="Q33" s="196">
        <v>-1058.9443100000001</v>
      </c>
      <c r="R33" s="338">
        <v>-1118.9196460000001</v>
      </c>
      <c r="S33" s="486">
        <f>IF(Q33=0, "    ---- ", IF(ABS(ROUND(100/Q33*R33-100,1))&lt;999,ROUND(100/Q33*R33-100,1),IF(ROUND(100/Q33*R33-100,1)&gt;999,999,-999)))</f>
        <v>5.7</v>
      </c>
      <c r="T33" s="196">
        <v>-4.0999999999999996</v>
      </c>
      <c r="U33" s="393">
        <v>-8.4</v>
      </c>
      <c r="V33" s="486">
        <f>IF(T33=0, "    ---- ", IF(ABS(ROUND(100/T33*U33-100,1))&lt;999,ROUND(100/T33*U33-100,1),IF(ROUND(100/T33*U33-100,1)&gt;999,999,-999)))</f>
        <v>104.9</v>
      </c>
      <c r="W33" s="196">
        <v>-17.399999999999999</v>
      </c>
      <c r="X33" s="393">
        <v>-35.486992289999996</v>
      </c>
      <c r="Y33" s="486">
        <f>IF(W33=0, "    ---- ", IF(ABS(ROUND(100/W33*X33-100,1))&lt;999,ROUND(100/W33*X33-100,1),IF(ROUND(100/W33*X33-100,1)&gt;999,999,-999)))</f>
        <v>103.9</v>
      </c>
      <c r="Z33" s="196"/>
      <c r="AA33" s="393"/>
      <c r="AB33" s="486"/>
      <c r="AC33" s="196"/>
      <c r="AD33" s="393"/>
      <c r="AE33" s="486"/>
      <c r="AF33" s="196">
        <v>-7.836897089999999</v>
      </c>
      <c r="AG33" s="393">
        <v>-8.1817872799999947</v>
      </c>
      <c r="AH33" s="486">
        <f>IF(AF33=0, "    ---- ", IF(ABS(ROUND(100/AF33*AG33-100,1))&lt;999,ROUND(100/AF33*AG33-100,1),IF(ROUND(100/AF33*AG33-100,1)&gt;999,999,-999)))</f>
        <v>4.4000000000000004</v>
      </c>
      <c r="AI33" s="196">
        <v>-157</v>
      </c>
      <c r="AJ33" s="393">
        <v>-368</v>
      </c>
      <c r="AK33" s="486">
        <f>IF(AI33=0, "    ---- ", IF(ABS(ROUND(100/AI33*AJ33-100,1))&lt;999,ROUND(100/AI33*AJ33-100,1),IF(ROUND(100/AI33*AJ33-100,1)&gt;999,999,-999)))</f>
        <v>134.4</v>
      </c>
      <c r="AL33" s="482">
        <f t="shared" si="13"/>
        <v>-1270.7082070900001</v>
      </c>
      <c r="AM33" s="482">
        <f t="shared" si="13"/>
        <v>-1609.31842557</v>
      </c>
      <c r="AN33" s="486">
        <f t="shared" si="11"/>
        <v>26.6</v>
      </c>
      <c r="AO33" s="486"/>
      <c r="AP33" s="486"/>
      <c r="AQ33" s="486"/>
    </row>
    <row r="34" spans="1:43" s="497" customFormat="1" ht="18.75" customHeight="1" x14ac:dyDescent="0.3">
      <c r="A34" s="495" t="s">
        <v>318</v>
      </c>
      <c r="B34" s="199">
        <v>62.499000000000052</v>
      </c>
      <c r="C34" s="399">
        <f>SUM(C14+C15+C16+C17+C21+C29+C30+C31+C32+C33)</f>
        <v>162.17999999999893</v>
      </c>
      <c r="D34" s="496">
        <f>IF(B34=0, "    ---- ", IF(ABS(ROUND(100/B34*C34-100,1))&lt;999,ROUND(100/B34*C34-100,1),IF(ROUND(100/B34*C34-100,1)&gt;999,999,-999)))</f>
        <v>159.5</v>
      </c>
      <c r="E34" s="847">
        <v>1081.1610000000005</v>
      </c>
      <c r="F34" s="399">
        <f>SUM(F14+F15+F16+F17+F21+F29+F30+F31+F32+F33)</f>
        <v>1218.8619999999964</v>
      </c>
      <c r="G34" s="496">
        <f>IF(E34=0, "    ---- ", IF(ABS(ROUND(100/E34*F34-100,1))&lt;999,ROUND(100/E34*F34-100,1),IF(ROUND(100/E34*F34-100,1)&gt;999,999,-999)))</f>
        <v>12.7</v>
      </c>
      <c r="H34" s="759">
        <f>SUM(H14+H15+H16+H17+H21+H29+H30+H31+H32+H33)</f>
        <v>39.240999999999985</v>
      </c>
      <c r="I34" s="399">
        <f>SUM(I14+I15+I16+I17+I21+I29+I30+I31+I32+I33)</f>
        <v>141.96699999999998</v>
      </c>
      <c r="J34" s="496">
        <f>IF(H34=0, "    ---- ", IF(ABS(ROUND(100/H34*I34-100,1))&lt;999,ROUND(100/H34*I34-100,1),IF(ROUND(100/H34*I34-100,1)&gt;999,999,-999)))</f>
        <v>261.8</v>
      </c>
      <c r="K34" s="199">
        <v>160.30000000000143</v>
      </c>
      <c r="L34" s="399">
        <f>SUM(L14+L15+L16+L17+L21+L29+L30+L31+L32+L33)</f>
        <v>192.50000000000125</v>
      </c>
      <c r="M34" s="496">
        <f>IF(K34=0, "    ---- ", IF(ABS(ROUND(100/K34*L34-100,1))&lt;999,ROUND(100/K34*L34-100,1),IF(ROUND(100/K34*L34-100,1)&gt;999,999,-999)))</f>
        <v>20.100000000000001</v>
      </c>
      <c r="N34" s="199">
        <v>18</v>
      </c>
      <c r="O34" s="399">
        <f>SUM(O14+O15+O16+O17+O21+O29+O30+O31+O32+O33)</f>
        <v>3.4587879799999985</v>
      </c>
      <c r="P34" s="496">
        <f>IF(N34=0, "    ---- ", IF(ABS(ROUND(100/N34*O34-100,1))&lt;999,ROUND(100/N34*O34-100,1),IF(ROUND(100/N34*O34-100,1)&gt;999,999,-999)))</f>
        <v>-80.8</v>
      </c>
      <c r="Q34" s="199">
        <v>1315.3697012700061</v>
      </c>
      <c r="R34" s="399">
        <f>SUM(R14+R15+R16+R17+R21+R29+R30+R31+R32+R33)</f>
        <v>1469.7094998599971</v>
      </c>
      <c r="S34" s="496">
        <f>IF(Q34=0, "    ---- ", IF(ABS(ROUND(100/Q34*R34-100,1))&lt;999,ROUND(100/Q34*R34-100,1),IF(ROUND(100/Q34*R34-100,1)&gt;999,999,-999)))</f>
        <v>11.7</v>
      </c>
      <c r="T34" s="199">
        <v>-27.999999999999766</v>
      </c>
      <c r="U34" s="399">
        <f>SUM(U14+U15+U16+U17+U21+U29+U30+U31+U32+U33)</f>
        <v>-27.400000000000041</v>
      </c>
      <c r="V34" s="496">
        <f>IF(T34=0, "    ---- ", IF(ABS(ROUND(100/T34*U34-100,1))&lt;999,ROUND(100/T34*U34-100,1),IF(ROUND(100/T34*U34-100,1)&gt;999,999,-999)))</f>
        <v>-2.1</v>
      </c>
      <c r="W34" s="199">
        <v>579.9999999999992</v>
      </c>
      <c r="X34" s="399">
        <f>SUM(X14+X15+X16+X17+X21+X29+X30+X31+X32+X33)</f>
        <v>618.51300771000001</v>
      </c>
      <c r="Y34" s="496">
        <f>IF(W34=0, "    ---- ", IF(ABS(ROUND(100/W34*X34-100,1))&lt;999,ROUND(100/W34*X34-100,1),IF(ROUND(100/W34*X34-100,1)&gt;999,999,-999)))</f>
        <v>6.6</v>
      </c>
      <c r="Z34" s="199">
        <v>658</v>
      </c>
      <c r="AA34" s="399">
        <f>SUM(AA14+AA15+AA16+AA17+AA21+AA29+AA30+AA31+AA32+AA33)</f>
        <v>468</v>
      </c>
      <c r="AB34" s="496">
        <f>IF(Z34=0, "    ---- ", IF(ABS(ROUND(100/Z34*AA34-100,1))&lt;999,ROUND(100/Z34*AA34-100,1),IF(ROUND(100/Z34*AA34-100,1)&gt;999,999,-999)))</f>
        <v>-28.9</v>
      </c>
      <c r="AC34" s="199">
        <v>13</v>
      </c>
      <c r="AD34" s="399">
        <f>SUM(AD14+AD15+AD16+AD17+AD21+AD29+AD30+AD31+AD32+AD33)</f>
        <v>12.583274640000027</v>
      </c>
      <c r="AE34" s="496">
        <f>IF(AC34=0, "    ---- ", IF(ABS(ROUND(100/AC34*AD34-100,1))&lt;999,ROUND(100/AC34*AD34-100,1),IF(ROUND(100/AC34*AD34-100,1)&gt;999,999,-999)))</f>
        <v>-3.2</v>
      </c>
      <c r="AF34" s="199">
        <v>545.82719138479877</v>
      </c>
      <c r="AG34" s="399">
        <f>SUM(AG14+AG15+AG16+AG17+AG21+AG29+AG30+AG31+AG32+AG33)</f>
        <v>381.00782609300632</v>
      </c>
      <c r="AH34" s="496">
        <f>IF(AF34=0, "    ---- ", IF(ABS(ROUND(100/AF34*AG34-100,1))&lt;999,ROUND(100/AF34*AG34-100,1),IF(ROUND(100/AF34*AG34-100,1)&gt;999,999,-999)))</f>
        <v>-30.2</v>
      </c>
      <c r="AI34" s="199">
        <v>1576</v>
      </c>
      <c r="AJ34" s="399">
        <f>SUM(AJ14+AJ15+AJ16+AJ17+AJ21+AJ29+AJ30+AJ31+AJ32+AJ33)</f>
        <v>1180.2000000000044</v>
      </c>
      <c r="AK34" s="496">
        <f>IF(AI34=0, "    ---- ", IF(ABS(ROUND(100/AI34*AJ34-100,1))&lt;999,ROUND(100/AI34*AJ34-100,1),IF(ROUND(100/AI34*AJ34-100,1)&gt;999,999,-999)))</f>
        <v>-25.1</v>
      </c>
      <c r="AL34" s="496">
        <f>B34+E34+H34+K34+Q34+T34+W34+Z34+AF34+AI34</f>
        <v>5990.3978926548061</v>
      </c>
      <c r="AM34" s="496">
        <f>C34+F34+I34+L34+R34+U34+X34+AA34+AG34+AJ34</f>
        <v>5805.5393336630041</v>
      </c>
      <c r="AN34" s="496">
        <f t="shared" si="11"/>
        <v>-3.1</v>
      </c>
      <c r="AO34" s="496"/>
      <c r="AP34" s="496"/>
      <c r="AQ34" s="496"/>
    </row>
    <row r="35" spans="1:43" s="497" customFormat="1" ht="18.75" customHeight="1" x14ac:dyDescent="0.3">
      <c r="A35" s="498"/>
      <c r="B35" s="787"/>
      <c r="C35" s="499"/>
      <c r="D35" s="500"/>
      <c r="E35" s="787"/>
      <c r="F35" s="499"/>
      <c r="G35" s="500"/>
      <c r="H35" s="891"/>
      <c r="I35" s="499"/>
      <c r="J35" s="500"/>
      <c r="K35" s="787"/>
      <c r="L35" s="499"/>
      <c r="M35" s="500"/>
      <c r="N35" s="787"/>
      <c r="O35" s="499"/>
      <c r="P35" s="500"/>
      <c r="Q35" s="787"/>
      <c r="R35" s="499"/>
      <c r="S35" s="500"/>
      <c r="T35" s="787"/>
      <c r="U35" s="499"/>
      <c r="V35" s="500"/>
      <c r="W35" s="787"/>
      <c r="X35" s="499"/>
      <c r="Y35" s="500"/>
      <c r="Z35" s="787"/>
      <c r="AA35" s="499"/>
      <c r="AB35" s="500"/>
      <c r="AC35" s="787"/>
      <c r="AD35" s="499"/>
      <c r="AE35" s="500"/>
      <c r="AF35" s="787"/>
      <c r="AG35" s="499"/>
      <c r="AH35" s="501"/>
      <c r="AI35" s="787"/>
      <c r="AJ35" s="499"/>
      <c r="AK35" s="501"/>
      <c r="AL35" s="501"/>
      <c r="AM35" s="501"/>
      <c r="AN35" s="501"/>
      <c r="AO35" s="502"/>
      <c r="AP35" s="503"/>
      <c r="AQ35" s="504"/>
    </row>
    <row r="36" spans="1:43" s="497" customFormat="1" ht="18.75" customHeight="1" x14ac:dyDescent="0.3">
      <c r="A36" s="472" t="s">
        <v>319</v>
      </c>
      <c r="B36" s="787"/>
      <c r="C36" s="499"/>
      <c r="D36" s="500"/>
      <c r="E36" s="787"/>
      <c r="F36" s="499"/>
      <c r="G36" s="500"/>
      <c r="H36" s="891"/>
      <c r="I36" s="499"/>
      <c r="J36" s="500"/>
      <c r="K36" s="787"/>
      <c r="L36" s="499"/>
      <c r="M36" s="500"/>
      <c r="N36" s="787"/>
      <c r="O36" s="499"/>
      <c r="P36" s="500"/>
      <c r="Q36" s="787"/>
      <c r="R36" s="499"/>
      <c r="S36" s="500"/>
      <c r="T36" s="787"/>
      <c r="U36" s="499"/>
      <c r="V36" s="500"/>
      <c r="W36" s="787"/>
      <c r="X36" s="499"/>
      <c r="Y36" s="500"/>
      <c r="Z36" s="787"/>
      <c r="AA36" s="499"/>
      <c r="AB36" s="500"/>
      <c r="AC36" s="787"/>
      <c r="AD36" s="499"/>
      <c r="AE36" s="500"/>
      <c r="AF36" s="787"/>
      <c r="AG36" s="499"/>
      <c r="AH36" s="500"/>
      <c r="AI36" s="787"/>
      <c r="AJ36" s="499"/>
      <c r="AK36" s="500"/>
      <c r="AL36" s="500"/>
      <c r="AM36" s="500"/>
      <c r="AN36" s="500"/>
      <c r="AO36" s="505"/>
      <c r="AP36" s="506"/>
      <c r="AQ36" s="507"/>
    </row>
    <row r="37" spans="1:43" s="509" customFormat="1" ht="18.75" customHeight="1" x14ac:dyDescent="0.3">
      <c r="A37" s="480" t="s">
        <v>320</v>
      </c>
      <c r="B37" s="788">
        <v>3.6280000000000001</v>
      </c>
      <c r="C37" s="483">
        <v>12.04</v>
      </c>
      <c r="D37" s="482">
        <f t="shared" ref="D37:D43" si="27">IF(B37=0, "    ---- ", IF(ABS(ROUND(100/B37*C37-100,1))&lt;999,ROUND(100/B37*C37-100,1),IF(ROUND(100/B37*C37-100,1)&gt;999,999,-999)))</f>
        <v>231.9</v>
      </c>
      <c r="E37" s="788">
        <v>777.197</v>
      </c>
      <c r="F37" s="483">
        <v>934.16499999999996</v>
      </c>
      <c r="G37" s="482">
        <f t="shared" ref="G37:G44" si="28">IF(E37=0, "    ---- ", IF(ABS(ROUND(100/E37*F37-100,1))&lt;999,ROUND(100/E37*F37-100,1),IF(ROUND(100/E37*F37-100,1)&gt;999,999,-999)))</f>
        <v>20.2</v>
      </c>
      <c r="H37" s="892">
        <v>1</v>
      </c>
      <c r="I37" s="483">
        <v>15.965</v>
      </c>
      <c r="J37" s="482">
        <f t="shared" ref="J37:J43" si="29">IF(H37=0, "    ---- ", IF(ABS(ROUND(100/H37*I37-100,1))&lt;999,ROUND(100/H37*I37-100,1),IF(ROUND(100/H37*I37-100,1)&gt;999,999,-999)))</f>
        <v>999</v>
      </c>
      <c r="K37" s="788">
        <v>11.4</v>
      </c>
      <c r="L37" s="483">
        <v>17.7</v>
      </c>
      <c r="M37" s="482">
        <f t="shared" ref="M37:M44" si="30">IF(K37=0, "    ---- ", IF(ABS(ROUND(100/K37*L37-100,1))&lt;999,ROUND(100/K37*L37-100,1),IF(ROUND(100/K37*L37-100,1)&gt;999,999,-999)))</f>
        <v>55.3</v>
      </c>
      <c r="N37" s="788">
        <v>2</v>
      </c>
      <c r="O37" s="483">
        <v>2.3202096800000001</v>
      </c>
      <c r="P37" s="482">
        <f t="shared" ref="P37:P43" si="31">IF(N37=0, "    ---- ", IF(ABS(ROUND(100/N37*O37-100,1))&lt;999,ROUND(100/N37*O37-100,1),IF(ROUND(100/N37*O37-100,1)&gt;999,999,-999)))</f>
        <v>16</v>
      </c>
      <c r="Q37" s="788">
        <v>1456.1911625599998</v>
      </c>
      <c r="R37" s="338">
        <v>1524.9987356600002</v>
      </c>
      <c r="S37" s="482">
        <f t="shared" ref="S37:S44" si="32">IF(Q37=0, "    ---- ", IF(ABS(ROUND(100/Q37*R37-100,1))&lt;999,ROUND(100/Q37*R37-100,1),IF(ROUND(100/Q37*R37-100,1)&gt;999,999,-999)))</f>
        <v>4.7</v>
      </c>
      <c r="T37" s="788">
        <v>5.7</v>
      </c>
      <c r="U37" s="483">
        <v>14.9</v>
      </c>
      <c r="V37" s="482">
        <f t="shared" ref="V37:V44" si="33">IF(T37=0, "    ---- ", IF(ABS(ROUND(100/T37*U37-100,1))&lt;999,ROUND(100/T37*U37-100,1),IF(ROUND(100/T37*U37-100,1)&gt;999,999,-999)))</f>
        <v>161.4</v>
      </c>
      <c r="W37" s="788">
        <v>78</v>
      </c>
      <c r="X37" s="483">
        <v>136</v>
      </c>
      <c r="Y37" s="482">
        <f t="shared" ref="Y37:Y44" si="34">IF(W37=0, "    ---- ", IF(ABS(ROUND(100/W37*X37-100,1))&lt;999,ROUND(100/W37*X37-100,1),IF(ROUND(100/W37*X37-100,1)&gt;999,999,-999)))</f>
        <v>74.400000000000006</v>
      </c>
      <c r="Z37" s="788">
        <v>215</v>
      </c>
      <c r="AA37" s="483">
        <v>636</v>
      </c>
      <c r="AB37" s="482">
        <f t="shared" ref="AB37:AB43" si="35">IF(Z37=0, "    ---- ", IF(ABS(ROUND(100/Z37*AA37-100,1))&lt;999,ROUND(100/Z37*AA37-100,1),IF(ROUND(100/Z37*AA37-100,1)&gt;999,999,-999)))</f>
        <v>195.8</v>
      </c>
      <c r="AC37" s="788"/>
      <c r="AD37" s="483">
        <v>0.99284868000000004</v>
      </c>
      <c r="AE37" s="500" t="str">
        <f>IF(AC37=0, "    ---- ", IF(ABS(ROUND(100/AC37*AD37-100,1))&lt;999,ROUND(100/AC37*AD37-100,1),IF(ROUND(100/AC37*AD37-100,1)&gt;999,999,-999)))</f>
        <v xml:space="preserve">    ---- </v>
      </c>
      <c r="AF37" s="788">
        <v>168.45593326999995</v>
      </c>
      <c r="AG37" s="483">
        <v>706.87449985000001</v>
      </c>
      <c r="AH37" s="482">
        <f t="shared" ref="AH37:AH43" si="36">IF(AF37=0, "    ---- ", IF(ABS(ROUND(100/AF37*AG37-100,1))&lt;999,ROUND(100/AF37*AG37-100,1),IF(ROUND(100/AF37*AG37-100,1)&gt;999,999,-999)))</f>
        <v>319.60000000000002</v>
      </c>
      <c r="AI37" s="788">
        <v>1350</v>
      </c>
      <c r="AJ37" s="483">
        <v>1394</v>
      </c>
      <c r="AK37" s="482">
        <f t="shared" ref="AK37:AK44" si="37">IF(AI37=0, "    ---- ", IF(ABS(ROUND(100/AI37*AJ37-100,1))&lt;999,ROUND(100/AI37*AJ37-100,1),IF(ROUND(100/AI37*AJ37-100,1)&gt;999,999,-999)))</f>
        <v>3.3</v>
      </c>
      <c r="AL37" s="482">
        <f t="shared" ref="AL37:AM39" si="38">B37+E37+H37+K37+Q37+T37+W37+Z37+AF37+AI37</f>
        <v>4066.5720958299999</v>
      </c>
      <c r="AM37" s="482">
        <f t="shared" si="38"/>
        <v>5392.6432355100005</v>
      </c>
      <c r="AN37" s="482">
        <f t="shared" si="11"/>
        <v>32.6</v>
      </c>
      <c r="AO37" s="485"/>
      <c r="AP37" s="508"/>
      <c r="AQ37" s="487"/>
    </row>
    <row r="38" spans="1:43" s="509" customFormat="1" ht="18.75" customHeight="1" x14ac:dyDescent="0.3">
      <c r="A38" s="480" t="s">
        <v>321</v>
      </c>
      <c r="B38" s="788"/>
      <c r="C38" s="483"/>
      <c r="D38" s="482"/>
      <c r="E38" s="788">
        <v>14.457000000000001</v>
      </c>
      <c r="F38" s="483">
        <v>12.528</v>
      </c>
      <c r="G38" s="482">
        <f t="shared" si="28"/>
        <v>-13.3</v>
      </c>
      <c r="H38" s="892">
        <v>4.2000000000000003E-2</v>
      </c>
      <c r="I38" s="483">
        <v>5.3999999999999999E-2</v>
      </c>
      <c r="J38" s="482">
        <f t="shared" si="29"/>
        <v>28.6</v>
      </c>
      <c r="K38" s="788">
        <v>6.8</v>
      </c>
      <c r="L38" s="483"/>
      <c r="M38" s="482">
        <f t="shared" si="30"/>
        <v>-100</v>
      </c>
      <c r="N38" s="788"/>
      <c r="O38" s="483"/>
      <c r="P38" s="482"/>
      <c r="Q38" s="788">
        <v>5.6020662000000003</v>
      </c>
      <c r="R38" s="338">
        <v>15.854324160000001</v>
      </c>
      <c r="S38" s="482">
        <f t="shared" si="32"/>
        <v>183</v>
      </c>
      <c r="T38" s="788">
        <v>2</v>
      </c>
      <c r="U38" s="483">
        <v>5.2</v>
      </c>
      <c r="V38" s="482">
        <f t="shared" si="33"/>
        <v>160</v>
      </c>
      <c r="W38" s="788">
        <v>7</v>
      </c>
      <c r="X38" s="483">
        <v>7</v>
      </c>
      <c r="Y38" s="482">
        <f t="shared" si="34"/>
        <v>0</v>
      </c>
      <c r="Z38" s="788">
        <v>8</v>
      </c>
      <c r="AA38" s="483">
        <v>11</v>
      </c>
      <c r="AB38" s="482">
        <f t="shared" si="35"/>
        <v>37.5</v>
      </c>
      <c r="AC38" s="788"/>
      <c r="AD38" s="483"/>
      <c r="AE38" s="482"/>
      <c r="AF38" s="788">
        <v>2.6739375600000002</v>
      </c>
      <c r="AG38" s="483">
        <v>189.82608758000001</v>
      </c>
      <c r="AH38" s="482">
        <f t="shared" si="36"/>
        <v>999</v>
      </c>
      <c r="AI38" s="788">
        <v>105</v>
      </c>
      <c r="AJ38" s="483">
        <v>22</v>
      </c>
      <c r="AK38" s="482">
        <f t="shared" si="37"/>
        <v>-79</v>
      </c>
      <c r="AL38" s="482">
        <f t="shared" si="38"/>
        <v>151.57500376000002</v>
      </c>
      <c r="AM38" s="482">
        <f t="shared" si="38"/>
        <v>263.46241173999999</v>
      </c>
      <c r="AN38" s="482">
        <f t="shared" si="11"/>
        <v>73.8</v>
      </c>
      <c r="AO38" s="482"/>
      <c r="AP38" s="510"/>
      <c r="AQ38" s="482"/>
    </row>
    <row r="39" spans="1:43" s="509" customFormat="1" ht="18.75" customHeight="1" x14ac:dyDescent="0.3">
      <c r="A39" s="480" t="s">
        <v>322</v>
      </c>
      <c r="B39" s="788"/>
      <c r="C39" s="483"/>
      <c r="D39" s="482"/>
      <c r="E39" s="788">
        <v>-209.72200000000001</v>
      </c>
      <c r="F39" s="483">
        <v>-323.38499999999999</v>
      </c>
      <c r="G39" s="482">
        <f t="shared" si="28"/>
        <v>54.2</v>
      </c>
      <c r="H39" s="892"/>
      <c r="I39" s="483"/>
      <c r="J39" s="482"/>
      <c r="K39" s="788">
        <v>-12.1</v>
      </c>
      <c r="L39" s="483">
        <v>-13.4</v>
      </c>
      <c r="M39" s="482">
        <f t="shared" si="30"/>
        <v>10.7</v>
      </c>
      <c r="N39" s="788"/>
      <c r="O39" s="483"/>
      <c r="P39" s="482"/>
      <c r="Q39" s="788">
        <v>-352.52553112999999</v>
      </c>
      <c r="R39" s="338">
        <v>-373.56421135000005</v>
      </c>
      <c r="S39" s="482">
        <f t="shared" si="32"/>
        <v>6</v>
      </c>
      <c r="T39" s="788">
        <v>-0.5</v>
      </c>
      <c r="U39" s="483">
        <v>-5.3</v>
      </c>
      <c r="V39" s="482">
        <f t="shared" si="33"/>
        <v>960</v>
      </c>
      <c r="W39" s="788">
        <v>-87.9</v>
      </c>
      <c r="X39" s="483">
        <v>-107</v>
      </c>
      <c r="Y39" s="482">
        <f t="shared" si="34"/>
        <v>21.7</v>
      </c>
      <c r="Z39" s="788">
        <v>-91</v>
      </c>
      <c r="AA39" s="483">
        <v>-95</v>
      </c>
      <c r="AB39" s="482">
        <f t="shared" si="35"/>
        <v>4.4000000000000004</v>
      </c>
      <c r="AC39" s="788"/>
      <c r="AD39" s="483"/>
      <c r="AE39" s="482"/>
      <c r="AF39" s="788">
        <v>-72.291478554800008</v>
      </c>
      <c r="AG39" s="483">
        <v>-237.25031105299999</v>
      </c>
      <c r="AH39" s="482">
        <f t="shared" si="36"/>
        <v>228.2</v>
      </c>
      <c r="AI39" s="788">
        <v>-436</v>
      </c>
      <c r="AJ39" s="483">
        <v>-427</v>
      </c>
      <c r="AK39" s="482">
        <f t="shared" si="37"/>
        <v>-2.1</v>
      </c>
      <c r="AL39" s="482">
        <f t="shared" si="38"/>
        <v>-1262.0390096848</v>
      </c>
      <c r="AM39" s="482">
        <f t="shared" si="38"/>
        <v>-1581.899522403</v>
      </c>
      <c r="AN39" s="482">
        <f t="shared" si="11"/>
        <v>25.3</v>
      </c>
      <c r="AO39" s="482"/>
      <c r="AP39" s="510"/>
      <c r="AQ39" s="482"/>
    </row>
    <row r="40" spans="1:43" s="512" customFormat="1" ht="18.75" customHeight="1" x14ac:dyDescent="0.3">
      <c r="A40" s="498" t="s">
        <v>323</v>
      </c>
      <c r="B40" s="787">
        <v>3.6280000000000001</v>
      </c>
      <c r="C40" s="499">
        <f>SUM(C37:C39)</f>
        <v>12.04</v>
      </c>
      <c r="D40" s="500">
        <f t="shared" si="27"/>
        <v>231.9</v>
      </c>
      <c r="E40" s="787">
        <v>581.93200000000002</v>
      </c>
      <c r="F40" s="499">
        <f>SUM(F37:F39)</f>
        <v>623.30799999999999</v>
      </c>
      <c r="G40" s="500">
        <f t="shared" si="28"/>
        <v>7.1</v>
      </c>
      <c r="H40" s="891">
        <v>1.042</v>
      </c>
      <c r="I40" s="499">
        <f>SUM(I37:I39)</f>
        <v>16.018999999999998</v>
      </c>
      <c r="J40" s="500">
        <f t="shared" si="29"/>
        <v>999</v>
      </c>
      <c r="K40" s="787">
        <v>6.1</v>
      </c>
      <c r="L40" s="499">
        <f>SUM(L37:L39)</f>
        <v>4.2999999999999989</v>
      </c>
      <c r="M40" s="500">
        <f t="shared" si="30"/>
        <v>-29.5</v>
      </c>
      <c r="N40" s="787">
        <v>2</v>
      </c>
      <c r="O40" s="499">
        <f>SUM(O37:O39)</f>
        <v>2.3202096800000001</v>
      </c>
      <c r="P40" s="500">
        <f t="shared" si="31"/>
        <v>16</v>
      </c>
      <c r="Q40" s="787">
        <v>1109.2676976299999</v>
      </c>
      <c r="R40" s="499">
        <f>SUM(R37:R39)</f>
        <v>1167.2888484700002</v>
      </c>
      <c r="S40" s="500">
        <f t="shared" si="32"/>
        <v>5.2</v>
      </c>
      <c r="T40" s="787">
        <v>7.2</v>
      </c>
      <c r="U40" s="499">
        <f>SUM(U37:U39)</f>
        <v>14.8</v>
      </c>
      <c r="V40" s="500">
        <f t="shared" si="33"/>
        <v>105.6</v>
      </c>
      <c r="W40" s="787">
        <v>-2.9000000000000057</v>
      </c>
      <c r="X40" s="499">
        <f>SUM(X37:X39)</f>
        <v>36</v>
      </c>
      <c r="Y40" s="500">
        <f t="shared" si="34"/>
        <v>-999</v>
      </c>
      <c r="Z40" s="787">
        <v>132</v>
      </c>
      <c r="AA40" s="499">
        <f>SUM(AA37:AA39)</f>
        <v>552</v>
      </c>
      <c r="AB40" s="500">
        <f t="shared" si="35"/>
        <v>318.2</v>
      </c>
      <c r="AC40" s="787">
        <v>0</v>
      </c>
      <c r="AD40" s="499">
        <f>SUM(AD37:AD39)</f>
        <v>0.99284868000000004</v>
      </c>
      <c r="AE40" s="500" t="str">
        <f>IF(AC40=0, "    ---- ", IF(ABS(ROUND(100/AC40*AD40-100,1))&lt;999,ROUND(100/AC40*AD40-100,1),IF(ROUND(100/AC40*AD40-100,1)&gt;999,999,-999)))</f>
        <v xml:space="preserve">    ---- </v>
      </c>
      <c r="AF40" s="787">
        <v>98.838392275199951</v>
      </c>
      <c r="AG40" s="499">
        <f>SUM(AG37:AG39)</f>
        <v>659.45027637700002</v>
      </c>
      <c r="AH40" s="500">
        <f t="shared" si="36"/>
        <v>567.20000000000005</v>
      </c>
      <c r="AI40" s="787">
        <v>1019</v>
      </c>
      <c r="AJ40" s="499">
        <f>SUM(AJ37:AJ39)</f>
        <v>989</v>
      </c>
      <c r="AK40" s="500">
        <f t="shared" si="37"/>
        <v>-2.9</v>
      </c>
      <c r="AL40" s="500">
        <f>B40+E40+H40+K40+Q40+T40+W40+Z40+AF40+AI40</f>
        <v>2956.1080899052004</v>
      </c>
      <c r="AM40" s="500">
        <f>C40+F40+I40+L40+R40+U40+X40+AA40+AG40+AJ40</f>
        <v>4074.2061248470004</v>
      </c>
      <c r="AN40" s="500">
        <f t="shared" si="11"/>
        <v>37.799999999999997</v>
      </c>
      <c r="AO40" s="500"/>
      <c r="AP40" s="511"/>
      <c r="AQ40" s="500"/>
    </row>
    <row r="41" spans="1:43" s="512" customFormat="1" ht="18.75" customHeight="1" x14ac:dyDescent="0.3">
      <c r="A41" s="498" t="s">
        <v>324</v>
      </c>
      <c r="B41" s="787">
        <v>66.127000000000052</v>
      </c>
      <c r="C41" s="499">
        <f>C34+C40</f>
        <v>174.21999999999892</v>
      </c>
      <c r="D41" s="500">
        <f t="shared" si="27"/>
        <v>163.5</v>
      </c>
      <c r="E41" s="787">
        <v>1663.0930000000005</v>
      </c>
      <c r="F41" s="499">
        <f>F34+F40</f>
        <v>1842.1699999999964</v>
      </c>
      <c r="G41" s="500">
        <f t="shared" si="28"/>
        <v>10.8</v>
      </c>
      <c r="H41" s="499">
        <f>H34+H40</f>
        <v>40.282999999999987</v>
      </c>
      <c r="I41" s="499">
        <f>I34+I40</f>
        <v>157.98599999999999</v>
      </c>
      <c r="J41" s="500">
        <f t="shared" si="29"/>
        <v>292.2</v>
      </c>
      <c r="K41" s="787">
        <v>166.40000000000143</v>
      </c>
      <c r="L41" s="499">
        <f>L34+L40</f>
        <v>196.80000000000126</v>
      </c>
      <c r="M41" s="500">
        <f t="shared" si="30"/>
        <v>18.3</v>
      </c>
      <c r="N41" s="787">
        <v>20</v>
      </c>
      <c r="O41" s="499">
        <f>O34+O40</f>
        <v>5.7789976599999981</v>
      </c>
      <c r="P41" s="500">
        <f t="shared" si="31"/>
        <v>-71.099999999999994</v>
      </c>
      <c r="Q41" s="787">
        <v>2424.6373989000058</v>
      </c>
      <c r="R41" s="499">
        <f>R34+R40</f>
        <v>2636.9983483299975</v>
      </c>
      <c r="S41" s="500">
        <f t="shared" si="32"/>
        <v>8.8000000000000007</v>
      </c>
      <c r="T41" s="787">
        <v>-20.799999999999766</v>
      </c>
      <c r="U41" s="499">
        <f>U34+U40</f>
        <v>-12.600000000000041</v>
      </c>
      <c r="V41" s="500">
        <f t="shared" si="33"/>
        <v>-39.4</v>
      </c>
      <c r="W41" s="787">
        <v>577.09999999999923</v>
      </c>
      <c r="X41" s="499">
        <f>X34+X40</f>
        <v>654.51300771000001</v>
      </c>
      <c r="Y41" s="500">
        <f t="shared" si="34"/>
        <v>13.4</v>
      </c>
      <c r="Z41" s="787">
        <v>790</v>
      </c>
      <c r="AA41" s="499">
        <f>AA34+AA40</f>
        <v>1020</v>
      </c>
      <c r="AB41" s="500">
        <f t="shared" si="35"/>
        <v>29.1</v>
      </c>
      <c r="AC41" s="787">
        <v>13</v>
      </c>
      <c r="AD41" s="499">
        <f>AD34+AD40</f>
        <v>13.576123320000027</v>
      </c>
      <c r="AE41" s="500">
        <f>IF(AC41=0, "    ---- ", IF(ABS(ROUND(100/AC41*AD41-100,1))&lt;999,ROUND(100/AC41*AD41-100,1),IF(ROUND(100/AC41*AD41-100,1)&gt;999,999,-999)))</f>
        <v>4.4000000000000004</v>
      </c>
      <c r="AF41" s="787">
        <v>644.66558365999867</v>
      </c>
      <c r="AG41" s="499">
        <f>AG34+AG40</f>
        <v>1040.4581024700065</v>
      </c>
      <c r="AH41" s="500">
        <f t="shared" si="36"/>
        <v>61.4</v>
      </c>
      <c r="AI41" s="787">
        <v>2595</v>
      </c>
      <c r="AJ41" s="499">
        <f>AJ34+AJ40</f>
        <v>2169.2000000000044</v>
      </c>
      <c r="AK41" s="500">
        <f t="shared" si="37"/>
        <v>-16.399999999999999</v>
      </c>
      <c r="AL41" s="500">
        <f>B41+E41+H41+K41+Q41+T41+W41+Z41+AF41+AI41</f>
        <v>8946.5059825600056</v>
      </c>
      <c r="AM41" s="500">
        <f>C41+F41+I41+L41+R41+U41+X41+AA41+AG41+AJ41</f>
        <v>9879.7454585100058</v>
      </c>
      <c r="AN41" s="500">
        <f t="shared" si="11"/>
        <v>10.4</v>
      </c>
      <c r="AO41" s="500"/>
      <c r="AP41" s="511"/>
      <c r="AQ41" s="500"/>
    </row>
    <row r="42" spans="1:43" s="509" customFormat="1" ht="18.75" customHeight="1" x14ac:dyDescent="0.3">
      <c r="A42" s="480" t="s">
        <v>325</v>
      </c>
      <c r="B42" s="788">
        <v>-16.587</v>
      </c>
      <c r="C42" s="483">
        <v>-43.411999999999999</v>
      </c>
      <c r="D42" s="482">
        <f t="shared" si="27"/>
        <v>161.69999999999999</v>
      </c>
      <c r="E42" s="788">
        <v>-94.438999999999993</v>
      </c>
      <c r="F42" s="483">
        <v>-379.91899999999998</v>
      </c>
      <c r="G42" s="482">
        <f t="shared" si="28"/>
        <v>302.3</v>
      </c>
      <c r="H42" s="892">
        <v>-12.489000000000001</v>
      </c>
      <c r="I42" s="483">
        <v>-34.417000000000002</v>
      </c>
      <c r="J42" s="482">
        <f t="shared" si="29"/>
        <v>175.6</v>
      </c>
      <c r="K42" s="788">
        <v>-41.3</v>
      </c>
      <c r="L42" s="483">
        <v>-48.6</v>
      </c>
      <c r="M42" s="482">
        <f t="shared" si="30"/>
        <v>17.7</v>
      </c>
      <c r="N42" s="788">
        <v>-5</v>
      </c>
      <c r="O42" s="483">
        <v>-1.5927100000000001</v>
      </c>
      <c r="P42" s="482">
        <f t="shared" si="31"/>
        <v>-68.099999999999994</v>
      </c>
      <c r="Q42" s="788">
        <v>-627.31012641250004</v>
      </c>
      <c r="R42" s="338">
        <v>-529.62840500000004</v>
      </c>
      <c r="S42" s="482">
        <f>IF(Q42=0, "    ---- ", IF(ABS(ROUND(100/Q42*R42-100,1))&lt;999,ROUND(100/Q42*R42-100,1),IF(ROUND(100/Q42*R42-100,1)&gt;999,999,-999)))</f>
        <v>-15.6</v>
      </c>
      <c r="T42" s="788"/>
      <c r="U42" s="483"/>
      <c r="V42" s="482"/>
      <c r="W42" s="788">
        <v>-145.36000000000001</v>
      </c>
      <c r="X42" s="483">
        <v>-275</v>
      </c>
      <c r="Y42" s="482">
        <f t="shared" si="34"/>
        <v>89.2</v>
      </c>
      <c r="Z42" s="788">
        <v>-105</v>
      </c>
      <c r="AA42" s="483">
        <f>-173-4</f>
        <v>-177</v>
      </c>
      <c r="AB42" s="482">
        <f t="shared" si="35"/>
        <v>68.599999999999994</v>
      </c>
      <c r="AC42" s="788">
        <v>-2</v>
      </c>
      <c r="AD42" s="483">
        <v>-2.9882590000000002</v>
      </c>
      <c r="AE42" s="482">
        <f>IF(AC42=0, "    ---- ", IF(ABS(ROUND(100/AC42*AD42-100,1))&lt;999,ROUND(100/AC42*AD42-100,1),IF(ROUND(100/AC42*AD42-100,1)&gt;999,999,-999)))</f>
        <v>49.4</v>
      </c>
      <c r="AF42" s="788">
        <v>42.747843550000013</v>
      </c>
      <c r="AG42" s="483">
        <v>-96.796109999999999</v>
      </c>
      <c r="AH42" s="482">
        <f t="shared" si="36"/>
        <v>-326.39999999999998</v>
      </c>
      <c r="AI42" s="788">
        <v>1087</v>
      </c>
      <c r="AJ42" s="483">
        <v>-322.39999999999998</v>
      </c>
      <c r="AK42" s="482">
        <f t="shared" si="37"/>
        <v>-129.69999999999999</v>
      </c>
      <c r="AL42" s="482">
        <f t="shared" ref="AL42:AM42" si="39">B42+E42+H42+K42+Q42+T42+W42+Z42+AF42+AI42</f>
        <v>87.262717137499976</v>
      </c>
      <c r="AM42" s="482">
        <f t="shared" si="39"/>
        <v>-1907.1725149999997</v>
      </c>
      <c r="AN42" s="482">
        <f t="shared" si="11"/>
        <v>-999</v>
      </c>
      <c r="AO42" s="482"/>
      <c r="AP42" s="510"/>
      <c r="AQ42" s="482"/>
    </row>
    <row r="43" spans="1:43" s="512" customFormat="1" ht="18.75" customHeight="1" x14ac:dyDescent="0.3">
      <c r="A43" s="498" t="s">
        <v>326</v>
      </c>
      <c r="B43" s="787">
        <v>49.540000000000049</v>
      </c>
      <c r="C43" s="499">
        <f>C41+C42</f>
        <v>130.80799999999891</v>
      </c>
      <c r="D43" s="500">
        <f t="shared" si="27"/>
        <v>164</v>
      </c>
      <c r="E43" s="787">
        <v>1568.6540000000005</v>
      </c>
      <c r="F43" s="499">
        <f>F41+F42</f>
        <v>1462.2509999999966</v>
      </c>
      <c r="G43" s="500">
        <f t="shared" si="28"/>
        <v>-6.8</v>
      </c>
      <c r="H43" s="893">
        <f>H41+H42</f>
        <v>27.793999999999986</v>
      </c>
      <c r="I43" s="499">
        <f>I41+I42</f>
        <v>123.56899999999999</v>
      </c>
      <c r="J43" s="500">
        <f t="shared" si="29"/>
        <v>344.6</v>
      </c>
      <c r="K43" s="787">
        <v>125.10000000000143</v>
      </c>
      <c r="L43" s="499">
        <f>L41+L42</f>
        <v>148.20000000000127</v>
      </c>
      <c r="M43" s="500">
        <f t="shared" si="30"/>
        <v>18.5</v>
      </c>
      <c r="N43" s="787">
        <v>15</v>
      </c>
      <c r="O43" s="499">
        <f>O41+O42</f>
        <v>4.1862876599999979</v>
      </c>
      <c r="P43" s="500">
        <f t="shared" si="31"/>
        <v>-72.099999999999994</v>
      </c>
      <c r="Q43" s="787">
        <v>1797.3272724875058</v>
      </c>
      <c r="R43" s="499">
        <f>R41+R42</f>
        <v>2107.3699433299976</v>
      </c>
      <c r="S43" s="500">
        <f t="shared" si="32"/>
        <v>17.3</v>
      </c>
      <c r="T43" s="787">
        <v>-20.799999999999766</v>
      </c>
      <c r="U43" s="499">
        <f>U41+U42</f>
        <v>-12.600000000000041</v>
      </c>
      <c r="V43" s="500">
        <f t="shared" si="33"/>
        <v>-39.4</v>
      </c>
      <c r="W43" s="787">
        <v>431.73999999999921</v>
      </c>
      <c r="X43" s="499">
        <f>X41+X42</f>
        <v>379.51300771000001</v>
      </c>
      <c r="Y43" s="500">
        <f t="shared" si="34"/>
        <v>-12.1</v>
      </c>
      <c r="Z43" s="787">
        <v>685</v>
      </c>
      <c r="AA43" s="499">
        <f>AA41+AA42</f>
        <v>843</v>
      </c>
      <c r="AB43" s="500">
        <f t="shared" si="35"/>
        <v>23.1</v>
      </c>
      <c r="AC43" s="787">
        <v>11</v>
      </c>
      <c r="AD43" s="499">
        <f>AD41+AD42</f>
        <v>10.587864320000026</v>
      </c>
      <c r="AE43" s="500">
        <f>IF(AC43=0, "    ---- ", IF(ABS(ROUND(100/AC43*AD43-100,1))&lt;999,ROUND(100/AC43*AD43-100,1),IF(ROUND(100/AC43*AD43-100,1)&gt;999,999,-999)))</f>
        <v>-3.7</v>
      </c>
      <c r="AF43" s="787">
        <v>687.41342720999864</v>
      </c>
      <c r="AG43" s="499">
        <f>AG41+AG42</f>
        <v>943.66199247000645</v>
      </c>
      <c r="AH43" s="500">
        <f t="shared" si="36"/>
        <v>37.299999999999997</v>
      </c>
      <c r="AI43" s="787">
        <v>3682</v>
      </c>
      <c r="AJ43" s="499">
        <f>AJ41+AJ42</f>
        <v>1846.8000000000043</v>
      </c>
      <c r="AK43" s="500">
        <f t="shared" si="37"/>
        <v>-49.8</v>
      </c>
      <c r="AL43" s="500">
        <f>B43+E43+H43+K43+Q43+T43+W43+Z43+AF43+AI43</f>
        <v>9033.7686996975062</v>
      </c>
      <c r="AM43" s="500">
        <f>C43+F43+I43+L43+R43+U43+X43+AA43+AG43+AJ43</f>
        <v>7972.5729435100038</v>
      </c>
      <c r="AN43" s="500">
        <f t="shared" si="11"/>
        <v>-11.7</v>
      </c>
      <c r="AO43" s="500"/>
      <c r="AP43" s="511"/>
      <c r="AQ43" s="500"/>
    </row>
    <row r="44" spans="1:43" s="509" customFormat="1" ht="18.75" customHeight="1" x14ac:dyDescent="0.3">
      <c r="A44" s="480" t="s">
        <v>327</v>
      </c>
      <c r="B44" s="788"/>
      <c r="C44" s="483"/>
      <c r="D44" s="482"/>
      <c r="E44" s="788">
        <v>-5.4820000000000002</v>
      </c>
      <c r="F44" s="483">
        <v>4.0659999999999998</v>
      </c>
      <c r="G44" s="482">
        <f t="shared" si="28"/>
        <v>-174.2</v>
      </c>
      <c r="H44" s="892">
        <v>1.2E-2</v>
      </c>
      <c r="I44" s="483">
        <v>3.7999999999999999E-2</v>
      </c>
      <c r="J44" s="482"/>
      <c r="K44" s="788">
        <v>-1</v>
      </c>
      <c r="L44" s="483">
        <v>-0.6</v>
      </c>
      <c r="M44" s="482">
        <f t="shared" si="30"/>
        <v>-40</v>
      </c>
      <c r="N44" s="788"/>
      <c r="O44" s="483"/>
      <c r="P44" s="482"/>
      <c r="Q44" s="788">
        <v>-17.559576287499997</v>
      </c>
      <c r="R44" s="338">
        <v>144.86146249999999</v>
      </c>
      <c r="S44" s="482">
        <f t="shared" si="32"/>
        <v>-925</v>
      </c>
      <c r="T44" s="788">
        <v>-0.3</v>
      </c>
      <c r="U44" s="483">
        <v>2.2000000000000002</v>
      </c>
      <c r="V44" s="482">
        <f t="shared" si="33"/>
        <v>-833.3</v>
      </c>
      <c r="W44" s="788">
        <v>7.7</v>
      </c>
      <c r="X44" s="483">
        <v>-21</v>
      </c>
      <c r="Y44" s="482">
        <f t="shared" si="34"/>
        <v>-372.7</v>
      </c>
      <c r="Z44" s="788"/>
      <c r="AA44" s="483">
        <v>16</v>
      </c>
      <c r="AB44" s="482"/>
      <c r="AC44" s="788"/>
      <c r="AD44" s="483"/>
      <c r="AE44" s="482"/>
      <c r="AF44" s="788"/>
      <c r="AG44" s="483"/>
      <c r="AH44" s="482"/>
      <c r="AI44" s="788">
        <v>-1</v>
      </c>
      <c r="AJ44" s="483">
        <v>-30.4</v>
      </c>
      <c r="AK44" s="482">
        <f t="shared" si="37"/>
        <v>999</v>
      </c>
      <c r="AL44" s="482">
        <f t="shared" ref="AL44:AM44" si="40">B44+E44+H44+K44+Q44+T44+W44+Z44+AF44+AI44</f>
        <v>-17.629576287500001</v>
      </c>
      <c r="AM44" s="482">
        <f t="shared" si="40"/>
        <v>115.16546249999996</v>
      </c>
      <c r="AN44" s="482">
        <f t="shared" si="11"/>
        <v>-753.3</v>
      </c>
      <c r="AO44" s="482"/>
      <c r="AP44" s="510"/>
      <c r="AQ44" s="482"/>
    </row>
    <row r="45" spans="1:43" s="512" customFormat="1" ht="18.75" customHeight="1" x14ac:dyDescent="0.3">
      <c r="A45" s="495" t="s">
        <v>328</v>
      </c>
      <c r="B45" s="789">
        <v>49.540000000000049</v>
      </c>
      <c r="C45" s="513">
        <f>C43+C44</f>
        <v>130.80799999999891</v>
      </c>
      <c r="D45" s="496">
        <f>IF(B45=0, "    ---- ", IF(ABS(ROUND(100/B45*C45-100,1))&lt;999,ROUND(100/B45*C45-100,1),IF(ROUND(100/B45*C45-100,1)&gt;999,999,-999)))</f>
        <v>164</v>
      </c>
      <c r="E45" s="847">
        <v>1563.1720000000005</v>
      </c>
      <c r="F45" s="513">
        <f>F43+F44</f>
        <v>1466.3169999999966</v>
      </c>
      <c r="G45" s="496">
        <f>IF(E45=0, "    ---- ", IF(ABS(ROUND(100/E45*F45-100,1))&lt;999,ROUND(100/E45*F45-100,1),IF(ROUND(100/E45*F45-100,1)&gt;999,999,-999)))</f>
        <v>-6.2</v>
      </c>
      <c r="H45" s="894">
        <f>H43+H44</f>
        <v>27.805999999999987</v>
      </c>
      <c r="I45" s="513">
        <f>I43+I44</f>
        <v>123.60699999999999</v>
      </c>
      <c r="J45" s="496">
        <f>IF(H45=0, "    ---- ", IF(ABS(ROUND(100/H45*I45-100,1))&lt;999,ROUND(100/H45*I45-100,1),IF(ROUND(100/H45*I45-100,1)&gt;999,999,-999)))</f>
        <v>344.5</v>
      </c>
      <c r="K45" s="789">
        <v>124.10000000000143</v>
      </c>
      <c r="L45" s="513">
        <f>L43+L44</f>
        <v>147.60000000000127</v>
      </c>
      <c r="M45" s="496">
        <f>IF(K45=0, "    ---- ", IF(ABS(ROUND(100/K45*L45-100,1))&lt;999,ROUND(100/K45*L45-100,1),IF(ROUND(100/K45*L45-100,1)&gt;999,999,-999)))</f>
        <v>18.899999999999999</v>
      </c>
      <c r="N45" s="789">
        <v>15</v>
      </c>
      <c r="O45" s="513">
        <f>O43+O44</f>
        <v>4.1862876599999979</v>
      </c>
      <c r="P45" s="496">
        <f>IF(N45=0, "    ---- ", IF(ABS(ROUND(100/N45*O45-100,1))&lt;999,ROUND(100/N45*O45-100,1),IF(ROUND(100/N45*O45-100,1)&gt;999,999,-999)))</f>
        <v>-72.099999999999994</v>
      </c>
      <c r="Q45" s="789">
        <v>1779.7676962000057</v>
      </c>
      <c r="R45" s="513">
        <f>R43+R44</f>
        <v>2252.2314058299976</v>
      </c>
      <c r="S45" s="496">
        <f>IF(Q45=0, "    ---- ", IF(ABS(ROUND(100/Q45*R45-100,1))&lt;999,ROUND(100/Q45*R45-100,1),IF(ROUND(100/Q45*R45-100,1)&gt;999,999,-999)))</f>
        <v>26.5</v>
      </c>
      <c r="T45" s="789">
        <v>-21.099999999999767</v>
      </c>
      <c r="U45" s="513">
        <f>U43+U44</f>
        <v>-10.400000000000041</v>
      </c>
      <c r="V45" s="496">
        <f>IF(T45=0, "    ---- ", IF(ABS(ROUND(100/T45*U45-100,1))&lt;999,ROUND(100/T45*U45-100,1),IF(ROUND(100/T45*U45-100,1)&gt;999,999,-999)))</f>
        <v>-50.7</v>
      </c>
      <c r="W45" s="789">
        <v>439.4399999999992</v>
      </c>
      <c r="X45" s="513">
        <f>X43+X44</f>
        <v>358.51300771000001</v>
      </c>
      <c r="Y45" s="496">
        <f>IF(W45=0, "    ---- ", IF(ABS(ROUND(100/W45*X45-100,1))&lt;999,ROUND(100/W45*X45-100,1),IF(ROUND(100/W45*X45-100,1)&gt;999,999,-999)))</f>
        <v>-18.399999999999999</v>
      </c>
      <c r="Z45" s="789">
        <v>685</v>
      </c>
      <c r="AA45" s="513">
        <f>AA43+AA44</f>
        <v>859</v>
      </c>
      <c r="AB45" s="496">
        <f>IF(Z45=0, "    ---- ", IF(ABS(ROUND(100/Z45*AA45-100,1))&lt;999,ROUND(100/Z45*AA45-100,1),IF(ROUND(100/Z45*AA45-100,1)&gt;999,999,-999)))</f>
        <v>25.4</v>
      </c>
      <c r="AC45" s="789">
        <v>11</v>
      </c>
      <c r="AD45" s="513">
        <f>AD43+AD44</f>
        <v>10.587864320000026</v>
      </c>
      <c r="AE45" s="496">
        <f>IF(AC45=0, "    ---- ", IF(ABS(ROUND(100/AC45*AD45-100,1))&lt;999,ROUND(100/AC45*AD45-100,1),IF(ROUND(100/AC45*AD45-100,1)&gt;999,999,-999)))</f>
        <v>-3.7</v>
      </c>
      <c r="AF45" s="789">
        <v>687.41342720999864</v>
      </c>
      <c r="AG45" s="513">
        <f>AG43+AG44</f>
        <v>943.66199247000645</v>
      </c>
      <c r="AH45" s="496">
        <f>IF(AF45=0, "    ---- ", IF(ABS(ROUND(100/AF45*AG45-100,1))&lt;999,ROUND(100/AF45*AG45-100,1),IF(ROUND(100/AF45*AG45-100,1)&gt;999,999,-999)))</f>
        <v>37.299999999999997</v>
      </c>
      <c r="AI45" s="789">
        <v>3681</v>
      </c>
      <c r="AJ45" s="513">
        <f>AJ43+AJ44</f>
        <v>1816.4000000000042</v>
      </c>
      <c r="AK45" s="496">
        <f>IF(AI45=0, "    ---- ", IF(ABS(ROUND(100/AI45*AJ45-100,1))&lt;999,ROUND(100/AI45*AJ45-100,1),IF(ROUND(100/AI45*AJ45-100,1)&gt;999,999,-999)))</f>
        <v>-50.7</v>
      </c>
      <c r="AL45" s="496">
        <f>B45+E45+H45+K45+Q45+T45+W45+Z45+AF45+AI45</f>
        <v>9016.1391234100047</v>
      </c>
      <c r="AM45" s="496">
        <f>C45+F45+I45+L45+R45+U45+X45+AA45+AG45+AJ45</f>
        <v>8087.7384060100057</v>
      </c>
      <c r="AN45" s="496">
        <f t="shared" si="11"/>
        <v>-10.3</v>
      </c>
      <c r="AO45" s="514"/>
      <c r="AP45" s="515"/>
      <c r="AQ45" s="516"/>
    </row>
    <row r="46" spans="1:43" s="512" customFormat="1" ht="18.75" customHeight="1" x14ac:dyDescent="0.3">
      <c r="A46" s="517"/>
      <c r="B46" s="790"/>
      <c r="C46" s="518"/>
      <c r="D46" s="519"/>
      <c r="E46" s="790"/>
      <c r="F46" s="518"/>
      <c r="G46" s="519"/>
      <c r="H46" s="895"/>
      <c r="I46" s="518"/>
      <c r="J46" s="519"/>
      <c r="K46" s="790"/>
      <c r="L46" s="518"/>
      <c r="M46" s="519"/>
      <c r="N46" s="790"/>
      <c r="O46" s="518"/>
      <c r="P46" s="519"/>
      <c r="Q46" s="518"/>
      <c r="R46" s="518"/>
      <c r="S46" s="519"/>
      <c r="T46" s="790"/>
      <c r="U46" s="518"/>
      <c r="V46" s="519"/>
      <c r="W46" s="790"/>
      <c r="X46" s="518"/>
      <c r="Y46" s="519"/>
      <c r="Z46" s="790"/>
      <c r="AA46" s="518"/>
      <c r="AB46" s="519"/>
      <c r="AC46" s="790"/>
      <c r="AD46" s="518"/>
      <c r="AE46" s="519"/>
      <c r="AF46" s="790"/>
      <c r="AG46" s="518"/>
      <c r="AH46" s="519"/>
      <c r="AI46" s="790"/>
      <c r="AJ46" s="518"/>
      <c r="AK46" s="519"/>
      <c r="AL46" s="519"/>
      <c r="AM46" s="519"/>
      <c r="AN46" s="519"/>
      <c r="AO46" s="520"/>
      <c r="AP46" s="520"/>
      <c r="AQ46" s="521"/>
    </row>
    <row r="47" spans="1:43" s="523" customFormat="1" ht="18.75" customHeight="1" x14ac:dyDescent="0.3">
      <c r="A47" s="941" t="s">
        <v>329</v>
      </c>
      <c r="B47" s="176"/>
      <c r="C47" s="791"/>
      <c r="D47" s="176"/>
      <c r="E47" s="176"/>
      <c r="F47" s="791"/>
      <c r="G47" s="176"/>
      <c r="H47" s="177"/>
      <c r="I47" s="791"/>
      <c r="J47" s="176"/>
      <c r="K47" s="176"/>
      <c r="L47" s="791"/>
      <c r="M47" s="176"/>
      <c r="N47" s="176"/>
      <c r="O47" s="791"/>
      <c r="P47" s="176"/>
      <c r="Q47" s="176"/>
      <c r="R47" s="791"/>
      <c r="S47" s="176"/>
      <c r="T47" s="176"/>
      <c r="U47" s="791"/>
      <c r="V47" s="176"/>
      <c r="W47" s="176"/>
      <c r="X47" s="791"/>
      <c r="Y47" s="176"/>
      <c r="Z47" s="176"/>
      <c r="AA47" s="791"/>
      <c r="AB47" s="176"/>
      <c r="AC47" s="176"/>
      <c r="AD47" s="791"/>
      <c r="AE47" s="176"/>
      <c r="AF47" s="176"/>
      <c r="AG47" s="791"/>
      <c r="AH47" s="176"/>
      <c r="AI47" s="176"/>
      <c r="AJ47" s="791"/>
      <c r="AK47" s="176"/>
      <c r="AL47" s="941"/>
      <c r="AM47" s="941"/>
      <c r="AN47" s="177"/>
      <c r="AO47" s="941"/>
      <c r="AP47" s="941"/>
      <c r="AQ47" s="941"/>
    </row>
    <row r="48" spans="1:43" s="524" customFormat="1" ht="18.75" customHeight="1" x14ac:dyDescent="0.3">
      <c r="A48" s="941" t="s">
        <v>330</v>
      </c>
      <c r="B48" s="176"/>
      <c r="C48" s="791"/>
      <c r="D48" s="176"/>
      <c r="E48" s="176"/>
      <c r="F48" s="791"/>
      <c r="G48" s="176"/>
      <c r="H48" s="177"/>
      <c r="I48" s="791"/>
      <c r="J48" s="176"/>
      <c r="K48" s="176"/>
      <c r="L48" s="791"/>
      <c r="M48" s="176"/>
      <c r="N48" s="176"/>
      <c r="O48" s="791"/>
      <c r="P48" s="176"/>
      <c r="Q48" s="176"/>
      <c r="R48" s="791"/>
      <c r="S48" s="176"/>
      <c r="T48" s="176"/>
      <c r="U48" s="791"/>
      <c r="V48" s="176"/>
      <c r="W48" s="176"/>
      <c r="X48" s="791"/>
      <c r="Y48" s="176"/>
      <c r="Z48" s="176"/>
      <c r="AA48" s="791"/>
      <c r="AB48" s="176"/>
      <c r="AC48" s="176"/>
      <c r="AD48" s="791"/>
      <c r="AE48" s="176"/>
      <c r="AF48" s="176"/>
      <c r="AG48" s="791"/>
      <c r="AH48" s="176"/>
      <c r="AI48" s="176"/>
      <c r="AJ48" s="791"/>
      <c r="AK48" s="176"/>
      <c r="AL48" s="500"/>
      <c r="AM48" s="500"/>
      <c r="AN48" s="486"/>
      <c r="AO48" s="941"/>
      <c r="AP48" s="941"/>
      <c r="AQ48" s="941"/>
    </row>
    <row r="49" spans="1:43" s="524" customFormat="1" ht="18.75" customHeight="1" x14ac:dyDescent="0.3">
      <c r="A49" s="941" t="s">
        <v>331</v>
      </c>
      <c r="B49" s="176"/>
      <c r="C49" s="791"/>
      <c r="D49" s="176"/>
      <c r="E49" s="176"/>
      <c r="F49" s="791"/>
      <c r="G49" s="176"/>
      <c r="H49" s="177">
        <v>35</v>
      </c>
      <c r="I49" s="791"/>
      <c r="J49" s="482">
        <f t="shared" ref="J49" si="41">IF(H49=0, "    ---- ", IF(ABS(ROUND(100/H49*I49-100,1))&lt;999,ROUND(100/H49*I49-100,1),IF(ROUND(100/H49*I49-100,1)&gt;999,999,-999)))</f>
        <v>-100</v>
      </c>
      <c r="K49" s="176"/>
      <c r="L49" s="791"/>
      <c r="M49" s="176"/>
      <c r="N49" s="176"/>
      <c r="O49" s="791"/>
      <c r="P49" s="176"/>
      <c r="Q49" s="176"/>
      <c r="R49" s="791"/>
      <c r="S49" s="176"/>
      <c r="T49" s="176"/>
      <c r="U49" s="791"/>
      <c r="V49" s="176"/>
      <c r="W49" s="176"/>
      <c r="X49" s="791"/>
      <c r="Y49" s="176"/>
      <c r="Z49" s="176"/>
      <c r="AA49" s="791"/>
      <c r="AB49" s="176"/>
      <c r="AC49" s="176"/>
      <c r="AD49" s="791"/>
      <c r="AE49" s="176"/>
      <c r="AF49" s="176"/>
      <c r="AG49" s="791"/>
      <c r="AH49" s="176"/>
      <c r="AI49" s="176"/>
      <c r="AJ49" s="791"/>
      <c r="AK49" s="176"/>
      <c r="AL49" s="500">
        <f t="shared" ref="AL49:AM56" si="42">B49+E49+H49+K49+Q49+T49+W49+Z49+AF49+AI49</f>
        <v>35</v>
      </c>
      <c r="AM49" s="500">
        <f t="shared" si="42"/>
        <v>0</v>
      </c>
      <c r="AN49" s="486">
        <f t="shared" ref="AN49:AN50" si="43">IF(AL49=0, "    ---- ", IF(ABS(ROUND(100/AL49*AM49-100,1))&lt;999,ROUND(100/AL49*AM49-100,1),IF(ROUND(100/AL49*AM49-100,1)&gt;999,999,-999)))</f>
        <v>-100</v>
      </c>
      <c r="AO49" s="941"/>
      <c r="AP49" s="941"/>
      <c r="AQ49" s="941"/>
    </row>
    <row r="50" spans="1:43" s="524" customFormat="1" ht="18.75" customHeight="1" x14ac:dyDescent="0.3">
      <c r="A50" s="941" t="s">
        <v>332</v>
      </c>
      <c r="B50" s="176"/>
      <c r="C50" s="791"/>
      <c r="D50" s="176"/>
      <c r="E50" s="176"/>
      <c r="F50" s="791"/>
      <c r="G50" s="176"/>
      <c r="H50" s="177"/>
      <c r="I50" s="791"/>
      <c r="J50" s="176"/>
      <c r="K50" s="176"/>
      <c r="L50" s="791"/>
      <c r="M50" s="176"/>
      <c r="N50" s="176"/>
      <c r="O50" s="791"/>
      <c r="P50" s="176"/>
      <c r="Q50" s="176"/>
      <c r="R50" s="791"/>
      <c r="S50" s="176"/>
      <c r="T50" s="176">
        <v>21</v>
      </c>
      <c r="U50" s="791">
        <v>10.3</v>
      </c>
      <c r="V50" s="482">
        <f t="shared" ref="V50" si="44">IF(T50=0, "    ---- ", IF(ABS(ROUND(100/T50*U50-100,1))&lt;999,ROUND(100/T50*U50-100,1),IF(ROUND(100/T50*U50-100,1)&gt;999,999,-999)))</f>
        <v>-51</v>
      </c>
      <c r="W50" s="176"/>
      <c r="X50" s="791"/>
      <c r="Y50" s="176"/>
      <c r="Z50" s="176"/>
      <c r="AA50" s="791"/>
      <c r="AB50" s="176"/>
      <c r="AC50" s="176"/>
      <c r="AD50" s="791"/>
      <c r="AE50" s="176"/>
      <c r="AF50" s="176"/>
      <c r="AG50" s="791"/>
      <c r="AH50" s="176"/>
      <c r="AI50" s="176"/>
      <c r="AJ50" s="791"/>
      <c r="AK50" s="176"/>
      <c r="AL50" s="500">
        <f t="shared" si="42"/>
        <v>21</v>
      </c>
      <c r="AM50" s="500">
        <f t="shared" si="42"/>
        <v>10.3</v>
      </c>
      <c r="AN50" s="486">
        <f t="shared" si="43"/>
        <v>-51</v>
      </c>
      <c r="AO50" s="941"/>
      <c r="AP50" s="941"/>
      <c r="AQ50" s="941"/>
    </row>
    <row r="51" spans="1:43" s="524" customFormat="1" ht="18.75" customHeight="1" x14ac:dyDescent="0.3">
      <c r="A51" s="941" t="s">
        <v>333</v>
      </c>
      <c r="B51" s="176"/>
      <c r="C51" s="791"/>
      <c r="D51" s="482"/>
      <c r="E51" s="176"/>
      <c r="F51" s="791"/>
      <c r="G51" s="482"/>
      <c r="H51" s="896">
        <f>H49+H50</f>
        <v>35</v>
      </c>
      <c r="I51" s="791">
        <f>I49+I50</f>
        <v>0</v>
      </c>
      <c r="J51" s="482">
        <f t="shared" ref="J51" si="45">IF(H51=0, "    ---- ", IF(ABS(ROUND(100/H51*I51-100,1))&lt;999,ROUND(100/H51*I51-100,1),IF(ROUND(100/H51*I51-100,1)&gt;999,999,-999)))</f>
        <v>-100</v>
      </c>
      <c r="K51" s="176"/>
      <c r="L51" s="791"/>
      <c r="M51" s="482"/>
      <c r="N51" s="176"/>
      <c r="O51" s="791"/>
      <c r="P51" s="482"/>
      <c r="Q51" s="176"/>
      <c r="R51" s="791"/>
      <c r="S51" s="482"/>
      <c r="T51" s="176">
        <v>21</v>
      </c>
      <c r="U51" s="791">
        <f t="shared" ref="U51" si="46">U49+U50</f>
        <v>10.3</v>
      </c>
      <c r="V51" s="482">
        <f t="shared" ref="V51" si="47">IF(T51=0, "    ---- ", IF(ABS(ROUND(100/T51*U51-100,1))&lt;999,ROUND(100/T51*U51-100,1),IF(ROUND(100/T51*U51-100,1)&gt;999,999,-999)))</f>
        <v>-51</v>
      </c>
      <c r="W51" s="176"/>
      <c r="X51" s="791"/>
      <c r="Y51" s="482"/>
      <c r="Z51" s="176"/>
      <c r="AA51" s="791"/>
      <c r="AB51" s="482"/>
      <c r="AC51" s="176"/>
      <c r="AD51" s="791"/>
      <c r="AE51" s="482"/>
      <c r="AF51" s="176"/>
      <c r="AG51" s="791"/>
      <c r="AH51" s="482"/>
      <c r="AI51" s="176"/>
      <c r="AJ51" s="791"/>
      <c r="AK51" s="482"/>
      <c r="AL51" s="500">
        <f t="shared" si="42"/>
        <v>56</v>
      </c>
      <c r="AM51" s="500">
        <f t="shared" si="42"/>
        <v>10.3</v>
      </c>
      <c r="AN51" s="486">
        <f t="shared" ref="AN51:AN53" si="48">IF(AL51=0, "    ---- ", IF(ABS(ROUND(100/AL51*AM51-100,1))&lt;999,ROUND(100/AL51*AM51-100,1),IF(ROUND(100/AL51*AM51-100,1)&gt;999,999,-999)))</f>
        <v>-81.599999999999994</v>
      </c>
      <c r="AO51" s="941"/>
      <c r="AP51" s="941"/>
      <c r="AQ51" s="941"/>
    </row>
    <row r="52" spans="1:43" s="524" customFormat="1" ht="18.75" customHeight="1" x14ac:dyDescent="0.3">
      <c r="A52" s="941" t="s">
        <v>334</v>
      </c>
      <c r="B52" s="176"/>
      <c r="C52" s="791"/>
      <c r="D52" s="176"/>
      <c r="E52" s="176"/>
      <c r="F52" s="791"/>
      <c r="G52" s="176"/>
      <c r="H52" s="177"/>
      <c r="I52" s="791"/>
      <c r="J52" s="176"/>
      <c r="K52" s="176"/>
      <c r="L52" s="791"/>
      <c r="M52" s="176"/>
      <c r="N52" s="176"/>
      <c r="O52" s="791"/>
      <c r="P52" s="176"/>
      <c r="Q52" s="176"/>
      <c r="R52" s="791"/>
      <c r="S52" s="176"/>
      <c r="T52" s="176"/>
      <c r="U52" s="791"/>
      <c r="V52" s="176"/>
      <c r="W52" s="176"/>
      <c r="X52" s="791"/>
      <c r="Y52" s="176"/>
      <c r="Z52" s="176"/>
      <c r="AA52" s="791"/>
      <c r="AB52" s="176"/>
      <c r="AC52" s="176"/>
      <c r="AD52" s="791"/>
      <c r="AE52" s="176"/>
      <c r="AF52" s="176"/>
      <c r="AG52" s="791"/>
      <c r="AH52" s="176"/>
      <c r="AI52" s="176"/>
      <c r="AJ52" s="791"/>
      <c r="AK52" s="176"/>
      <c r="AL52" s="500"/>
      <c r="AM52" s="500"/>
      <c r="AN52" s="486"/>
      <c r="AO52" s="941"/>
      <c r="AP52" s="941"/>
      <c r="AQ52" s="941"/>
    </row>
    <row r="53" spans="1:43" s="524" customFormat="1" ht="18.75" customHeight="1" x14ac:dyDescent="0.3">
      <c r="A53" s="941" t="s">
        <v>335</v>
      </c>
      <c r="B53" s="176"/>
      <c r="C53" s="791"/>
      <c r="D53" s="176"/>
      <c r="E53" s="176">
        <v>1405</v>
      </c>
      <c r="F53" s="791">
        <v>1337</v>
      </c>
      <c r="G53" s="482">
        <f t="shared" ref="G53:G57" si="49">IF(E53=0, "    ---- ", IF(ABS(ROUND(100/E53*F53-100,1))&lt;999,ROUND(100/E53*F53-100,1),IF(ROUND(100/E53*F53-100,1)&gt;999,999,-999)))</f>
        <v>-4.8</v>
      </c>
      <c r="H53" s="177"/>
      <c r="I53" s="791">
        <v>42</v>
      </c>
      <c r="J53" s="482" t="str">
        <f t="shared" ref="J53" si="50">IF(H53=0, "    ---- ", IF(ABS(ROUND(100/H53*I53-100,1))&lt;999,ROUND(100/H53*I53-100,1),IF(ROUND(100/H53*I53-100,1)&gt;999,999,-999)))</f>
        <v xml:space="preserve">    ---- </v>
      </c>
      <c r="K53" s="176">
        <v>100</v>
      </c>
      <c r="L53" s="791">
        <v>0</v>
      </c>
      <c r="M53" s="482">
        <f t="shared" ref="M53:M57" si="51">IF(K53=0, "    ---- ", IF(ABS(ROUND(100/K53*L53-100,1))&lt;999,ROUND(100/K53*L53-100,1),IF(ROUND(100/K53*L53-100,1)&gt;999,999,-999)))</f>
        <v>-100</v>
      </c>
      <c r="N53" s="176"/>
      <c r="O53" s="791"/>
      <c r="P53" s="176"/>
      <c r="Q53" s="176"/>
      <c r="R53" s="791"/>
      <c r="S53" s="176"/>
      <c r="T53" s="176"/>
      <c r="U53" s="791"/>
      <c r="V53" s="176"/>
      <c r="W53" s="176"/>
      <c r="X53" s="791"/>
      <c r="Y53" s="176"/>
      <c r="Z53" s="176"/>
      <c r="AA53" s="791"/>
      <c r="AB53" s="176"/>
      <c r="AC53" s="176"/>
      <c r="AD53" s="791"/>
      <c r="AE53" s="176"/>
      <c r="AF53" s="176"/>
      <c r="AG53" s="791"/>
      <c r="AH53" s="176"/>
      <c r="AI53" s="176">
        <v>3200</v>
      </c>
      <c r="AJ53" s="791">
        <v>2200</v>
      </c>
      <c r="AK53" s="482">
        <f t="shared" ref="AK53" si="52">IF(AI53=0, "    ---- ", IF(ABS(ROUND(100/AI53*AJ53-100,1))&lt;999,ROUND(100/AI53*AJ53-100,1),IF(ROUND(100/AI53*AJ53-100,1)&gt;999,999,-999)))</f>
        <v>-31.3</v>
      </c>
      <c r="AL53" s="500">
        <f t="shared" si="42"/>
        <v>4705</v>
      </c>
      <c r="AM53" s="500">
        <f t="shared" si="42"/>
        <v>3579</v>
      </c>
      <c r="AN53" s="486">
        <f t="shared" si="48"/>
        <v>-23.9</v>
      </c>
      <c r="AO53" s="941"/>
      <c r="AP53" s="941"/>
      <c r="AQ53" s="941"/>
    </row>
    <row r="54" spans="1:43" s="524" customFormat="1" ht="18.75" customHeight="1" x14ac:dyDescent="0.3">
      <c r="A54" s="941" t="s">
        <v>336</v>
      </c>
      <c r="B54" s="176"/>
      <c r="C54" s="791"/>
      <c r="D54" s="176"/>
      <c r="E54" s="176"/>
      <c r="F54" s="791"/>
      <c r="G54" s="176"/>
      <c r="H54" s="177"/>
      <c r="I54" s="791"/>
      <c r="J54" s="176"/>
      <c r="K54" s="176"/>
      <c r="L54" s="791"/>
      <c r="M54" s="176"/>
      <c r="N54" s="176"/>
      <c r="O54" s="791"/>
      <c r="P54" s="176"/>
      <c r="Q54" s="176"/>
      <c r="R54" s="791"/>
      <c r="S54" s="176"/>
      <c r="T54" s="176"/>
      <c r="U54" s="791"/>
      <c r="V54" s="176"/>
      <c r="W54" s="176"/>
      <c r="X54" s="791"/>
      <c r="Y54" s="176"/>
      <c r="Z54" s="176"/>
      <c r="AA54" s="791"/>
      <c r="AB54" s="176"/>
      <c r="AC54" s="176"/>
      <c r="AD54" s="791"/>
      <c r="AE54" s="176"/>
      <c r="AF54" s="176"/>
      <c r="AG54" s="791"/>
      <c r="AH54" s="176"/>
      <c r="AI54" s="176"/>
      <c r="AJ54" s="791"/>
      <c r="AK54" s="176"/>
      <c r="AL54" s="500"/>
      <c r="AM54" s="500"/>
      <c r="AN54" s="486"/>
      <c r="AO54" s="941"/>
      <c r="AP54" s="941"/>
      <c r="AQ54" s="941"/>
    </row>
    <row r="55" spans="1:43" s="524" customFormat="1" ht="18.75" customHeight="1" x14ac:dyDescent="0.3">
      <c r="A55" s="941" t="s">
        <v>337</v>
      </c>
      <c r="B55" s="176">
        <v>49.5</v>
      </c>
      <c r="C55" s="791">
        <v>130.80699999999999</v>
      </c>
      <c r="D55" s="482">
        <f t="shared" ref="D55:D57" si="53">IF(B55=0, "    ---- ", IF(ABS(ROUND(100/B55*C55-100,1))&lt;999,ROUND(100/B55*C55-100,1),IF(ROUND(100/B55*C55-100,1)&gt;999,999,-999)))</f>
        <v>164.3</v>
      </c>
      <c r="E55" s="176">
        <v>158</v>
      </c>
      <c r="F55" s="791">
        <f>114+6+9</f>
        <v>129</v>
      </c>
      <c r="G55" s="482">
        <f t="shared" si="49"/>
        <v>-18.399999999999999</v>
      </c>
      <c r="H55" s="177">
        <v>62.966999999999999</v>
      </c>
      <c r="I55" s="791">
        <v>81.608000000000004</v>
      </c>
      <c r="J55" s="482">
        <f t="shared" ref="J55:J57" si="54">IF(H55=0, "    ---- ", IF(ABS(ROUND(100/H55*I55-100,1))&lt;999,ROUND(100/H55*I55-100,1),IF(ROUND(100/H55*I55-100,1)&gt;999,999,-999)))</f>
        <v>29.6</v>
      </c>
      <c r="K55" s="176">
        <v>24.3</v>
      </c>
      <c r="L55" s="791">
        <v>148</v>
      </c>
      <c r="M55" s="482">
        <f t="shared" si="51"/>
        <v>509.1</v>
      </c>
      <c r="N55" s="176"/>
      <c r="O55" s="791"/>
      <c r="P55" s="482"/>
      <c r="Q55" s="176"/>
      <c r="R55" s="791"/>
      <c r="S55" s="482"/>
      <c r="T55" s="176"/>
      <c r="U55" s="791"/>
      <c r="V55" s="482"/>
      <c r="W55" s="176"/>
      <c r="X55" s="791"/>
      <c r="Y55" s="482"/>
      <c r="Z55" s="176">
        <v>685</v>
      </c>
      <c r="AA55" s="791"/>
      <c r="AB55" s="482">
        <f t="shared" ref="AB55:AB57" si="55">IF(Z55=0, "    ---- ", IF(ABS(ROUND(100/Z55*AA55-100,1))&lt;999,ROUND(100/Z55*AA55-100,1),IF(ROUND(100/Z55*AA55-100,1)&gt;999,999,-999)))</f>
        <v>-100</v>
      </c>
      <c r="AC55" s="176"/>
      <c r="AD55" s="791"/>
      <c r="AE55" s="482" t="str">
        <f t="shared" ref="AE55:AE57" si="56">IF(AC55=0, "    ---- ", IF(ABS(ROUND(100/AC55*AD55-100,1))&lt;999,ROUND(100/AC55*AD55-100,1),IF(ROUND(100/AC55*AD55-100,1)&gt;999,999,-999)))</f>
        <v xml:space="preserve">    ---- </v>
      </c>
      <c r="AF55" s="176">
        <v>-687.37400000000002</v>
      </c>
      <c r="AG55" s="791">
        <v>-943.66200000000003</v>
      </c>
      <c r="AH55" s="482">
        <f t="shared" ref="AH55:AH57" si="57">IF(AF55=0, "    ---- ", IF(ABS(ROUND(100/AF55*AG55-100,1))&lt;999,ROUND(100/AF55*AG55-100,1),IF(ROUND(100/AF55*AG55-100,1)&gt;999,999,-999)))</f>
        <v>37.299999999999997</v>
      </c>
      <c r="AI55" s="176">
        <v>481</v>
      </c>
      <c r="AJ55" s="791">
        <f>-2200+1816</f>
        <v>-384</v>
      </c>
      <c r="AK55" s="482">
        <f t="shared" ref="AK55:AK57" si="58">IF(AI55=0, "    ---- ", IF(ABS(ROUND(100/AI55*AJ55-100,1))&lt;999,ROUND(100/AI55*AJ55-100,1),IF(ROUND(100/AI55*AJ55-100,1)&gt;999,999,-999)))</f>
        <v>-179.8</v>
      </c>
      <c r="AL55" s="500">
        <f t="shared" si="42"/>
        <v>773.39300000000003</v>
      </c>
      <c r="AM55" s="500">
        <f t="shared" si="42"/>
        <v>-838.24700000000007</v>
      </c>
      <c r="AN55" s="486">
        <f t="shared" ref="AN55:AN57" si="59">IF(AL55=0, "    ---- ", IF(ABS(ROUND(100/AL55*AM55-100,1))&lt;999,ROUND(100/AL55*AM55-100,1),IF(ROUND(100/AL55*AM55-100,1)&gt;999,999,-999)))</f>
        <v>-208.4</v>
      </c>
      <c r="AO55" s="941"/>
      <c r="AP55" s="941"/>
      <c r="AQ55" s="941"/>
    </row>
    <row r="56" spans="1:43" s="524" customFormat="1" ht="18.75" customHeight="1" x14ac:dyDescent="0.3">
      <c r="A56" s="941" t="s">
        <v>338</v>
      </c>
      <c r="B56" s="176">
        <v>49.5</v>
      </c>
      <c r="C56" s="791">
        <f>C53+C54+C55</f>
        <v>130.80699999999999</v>
      </c>
      <c r="D56" s="482">
        <f t="shared" si="53"/>
        <v>164.3</v>
      </c>
      <c r="E56" s="176">
        <v>1563</v>
      </c>
      <c r="F56" s="791">
        <f t="shared" ref="F56" si="60">F53+F54+F55</f>
        <v>1466</v>
      </c>
      <c r="G56" s="482">
        <f t="shared" si="49"/>
        <v>-6.2</v>
      </c>
      <c r="H56" s="896">
        <f t="shared" ref="H56:I56" si="61">H53+H54+H55</f>
        <v>62.966999999999999</v>
      </c>
      <c r="I56" s="791">
        <f t="shared" si="61"/>
        <v>123.608</v>
      </c>
      <c r="J56" s="482">
        <f t="shared" si="54"/>
        <v>96.3</v>
      </c>
      <c r="K56" s="176">
        <v>124.3</v>
      </c>
      <c r="L56" s="791">
        <f t="shared" ref="L56" si="62">L53+L54+L55</f>
        <v>148</v>
      </c>
      <c r="M56" s="482">
        <f t="shared" si="51"/>
        <v>19.100000000000001</v>
      </c>
      <c r="N56" s="176">
        <v>0</v>
      </c>
      <c r="O56" s="791">
        <f t="shared" ref="O56" si="63">O53+O54+O55</f>
        <v>0</v>
      </c>
      <c r="P56" s="482" t="str">
        <f t="shared" ref="P56:P57" si="64">IF(N56=0, "    ---- ", IF(ABS(ROUND(100/N56*O56-100,1))&lt;999,ROUND(100/N56*O56-100,1),IF(ROUND(100/N56*O56-100,1)&gt;999,999,-999)))</f>
        <v xml:space="preserve">    ---- </v>
      </c>
      <c r="Q56" s="176"/>
      <c r="R56" s="791"/>
      <c r="S56" s="482"/>
      <c r="T56" s="176">
        <v>0</v>
      </c>
      <c r="U56" s="791">
        <f t="shared" ref="U56" si="65">U53+U54+U55</f>
        <v>0</v>
      </c>
      <c r="V56" s="482" t="str">
        <f t="shared" ref="V56:V57" si="66">IF(T56=0, "    ---- ", IF(ABS(ROUND(100/T56*U56-100,1))&lt;999,ROUND(100/T56*U56-100,1),IF(ROUND(100/T56*U56-100,1)&gt;999,999,-999)))</f>
        <v xml:space="preserve">    ---- </v>
      </c>
      <c r="W56" s="176">
        <v>0</v>
      </c>
      <c r="X56" s="791">
        <f t="shared" ref="X56" si="67">X53+X54+X55</f>
        <v>0</v>
      </c>
      <c r="Y56" s="482" t="str">
        <f t="shared" ref="Y56:Y57" si="68">IF(W56=0, "    ---- ", IF(ABS(ROUND(100/W56*X56-100,1))&lt;999,ROUND(100/W56*X56-100,1),IF(ROUND(100/W56*X56-100,1)&gt;999,999,-999)))</f>
        <v xml:space="preserve">    ---- </v>
      </c>
      <c r="Z56" s="176">
        <v>685</v>
      </c>
      <c r="AA56" s="791">
        <f t="shared" ref="AA56" si="69">AA53+AA54+AA55</f>
        <v>0</v>
      </c>
      <c r="AB56" s="482">
        <f t="shared" si="55"/>
        <v>-100</v>
      </c>
      <c r="AC56" s="176">
        <v>0</v>
      </c>
      <c r="AD56" s="791">
        <f t="shared" ref="AD56" si="70">AD53+AD54+AD55</f>
        <v>0</v>
      </c>
      <c r="AE56" s="482" t="str">
        <f t="shared" si="56"/>
        <v xml:space="preserve">    ---- </v>
      </c>
      <c r="AF56" s="176">
        <v>-687.37400000000002</v>
      </c>
      <c r="AG56" s="791">
        <f t="shared" ref="AG56" si="71">AG53+AG54+AG55</f>
        <v>-943.66200000000003</v>
      </c>
      <c r="AH56" s="482">
        <f t="shared" si="57"/>
        <v>37.299999999999997</v>
      </c>
      <c r="AI56" s="176">
        <v>3681</v>
      </c>
      <c r="AJ56" s="791">
        <f t="shared" ref="AJ56" si="72">AJ53+AJ54+AJ55</f>
        <v>1816</v>
      </c>
      <c r="AK56" s="482">
        <f t="shared" si="58"/>
        <v>-50.7</v>
      </c>
      <c r="AL56" s="500">
        <f t="shared" si="42"/>
        <v>5478.393</v>
      </c>
      <c r="AM56" s="500">
        <f t="shared" si="42"/>
        <v>2740.7529999999997</v>
      </c>
      <c r="AN56" s="486">
        <f t="shared" si="59"/>
        <v>-50</v>
      </c>
      <c r="AO56" s="941"/>
      <c r="AP56" s="941"/>
      <c r="AQ56" s="941"/>
    </row>
    <row r="57" spans="1:43" s="523" customFormat="1" ht="18.75" customHeight="1" x14ac:dyDescent="0.3">
      <c r="A57" s="942" t="s">
        <v>339</v>
      </c>
      <c r="B57" s="792">
        <v>49.5</v>
      </c>
      <c r="C57" s="793">
        <f>C51+C56</f>
        <v>130.80699999999999</v>
      </c>
      <c r="D57" s="734">
        <f t="shared" si="53"/>
        <v>164.3</v>
      </c>
      <c r="E57" s="792">
        <v>1563</v>
      </c>
      <c r="F57" s="793">
        <f t="shared" ref="F57" si="73">F51+F56</f>
        <v>1466</v>
      </c>
      <c r="G57" s="734">
        <f t="shared" si="49"/>
        <v>-6.2</v>
      </c>
      <c r="H57" s="897">
        <f t="shared" ref="H57:I57" si="74">H51+H56</f>
        <v>97.966999999999999</v>
      </c>
      <c r="I57" s="793">
        <f t="shared" si="74"/>
        <v>123.608</v>
      </c>
      <c r="J57" s="734">
        <f t="shared" si="54"/>
        <v>26.2</v>
      </c>
      <c r="K57" s="792">
        <v>124.3</v>
      </c>
      <c r="L57" s="793">
        <f t="shared" ref="L57" si="75">L51+L56</f>
        <v>148</v>
      </c>
      <c r="M57" s="734">
        <f t="shared" si="51"/>
        <v>19.100000000000001</v>
      </c>
      <c r="N57" s="792">
        <v>0</v>
      </c>
      <c r="O57" s="793">
        <f t="shared" ref="O57" si="76">O51+O56</f>
        <v>0</v>
      </c>
      <c r="P57" s="734" t="str">
        <f t="shared" si="64"/>
        <v xml:space="preserve">    ---- </v>
      </c>
      <c r="Q57" s="792"/>
      <c r="R57" s="793"/>
      <c r="S57" s="734"/>
      <c r="T57" s="792">
        <v>21</v>
      </c>
      <c r="U57" s="793">
        <f t="shared" ref="U57" si="77">U51+U56</f>
        <v>10.3</v>
      </c>
      <c r="V57" s="734">
        <f t="shared" si="66"/>
        <v>-51</v>
      </c>
      <c r="W57" s="792">
        <v>0</v>
      </c>
      <c r="X57" s="793">
        <f t="shared" ref="X57" si="78">X51+X56</f>
        <v>0</v>
      </c>
      <c r="Y57" s="734" t="str">
        <f t="shared" si="68"/>
        <v xml:space="preserve">    ---- </v>
      </c>
      <c r="Z57" s="792">
        <v>685</v>
      </c>
      <c r="AA57" s="793">
        <f t="shared" ref="AA57" si="79">AA51+AA56</f>
        <v>0</v>
      </c>
      <c r="AB57" s="734">
        <f t="shared" si="55"/>
        <v>-100</v>
      </c>
      <c r="AC57" s="792">
        <v>0</v>
      </c>
      <c r="AD57" s="793">
        <f t="shared" ref="AD57" si="80">AD51+AD56</f>
        <v>0</v>
      </c>
      <c r="AE57" s="734" t="str">
        <f t="shared" si="56"/>
        <v xml:space="preserve">    ---- </v>
      </c>
      <c r="AF57" s="792">
        <v>-687.37400000000002</v>
      </c>
      <c r="AG57" s="793">
        <f t="shared" ref="AG57" si="81">AG51+AG56</f>
        <v>-943.66200000000003</v>
      </c>
      <c r="AH57" s="734">
        <f t="shared" si="57"/>
        <v>37.299999999999997</v>
      </c>
      <c r="AI57" s="792">
        <v>3681</v>
      </c>
      <c r="AJ57" s="793">
        <f t="shared" ref="AJ57" si="82">AJ51+AJ56</f>
        <v>1816</v>
      </c>
      <c r="AK57" s="734">
        <f t="shared" si="58"/>
        <v>-50.7</v>
      </c>
      <c r="AL57" s="496">
        <f>B57+E57+H57+K57+Q57+T57+W57+Z57+AF57+AI57</f>
        <v>5534.393</v>
      </c>
      <c r="AM57" s="496">
        <f>C57+F57+I57+L57+R57+U57+X57+AA57+AG57+AJ57</f>
        <v>2751.0529999999999</v>
      </c>
      <c r="AN57" s="670">
        <f t="shared" si="59"/>
        <v>-50.3</v>
      </c>
      <c r="AO57" s="942"/>
      <c r="AP57" s="942"/>
      <c r="AQ57" s="942"/>
    </row>
    <row r="58" spans="1:43" s="526" customFormat="1" ht="18.75" customHeight="1" x14ac:dyDescent="0.3">
      <c r="A58" s="509" t="s">
        <v>257</v>
      </c>
      <c r="B58" s="509"/>
      <c r="C58" s="525"/>
      <c r="D58" s="525"/>
      <c r="E58" s="525"/>
      <c r="F58" s="525"/>
      <c r="G58" s="525"/>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M58" s="525"/>
      <c r="AN58" s="525"/>
      <c r="AO58" s="525"/>
      <c r="AP58" s="525"/>
    </row>
    <row r="59" spans="1:43" s="526" customFormat="1" ht="18.75" customHeight="1" x14ac:dyDescent="0.3">
      <c r="A59" s="509" t="s">
        <v>258</v>
      </c>
    </row>
    <row r="60" spans="1:43" s="526" customFormat="1" ht="18.75" customHeight="1" x14ac:dyDescent="0.3">
      <c r="A60" s="509" t="s">
        <v>259</v>
      </c>
    </row>
    <row r="61" spans="1:43" s="526" customFormat="1" ht="18.75" x14ac:dyDescent="0.3"/>
  </sheetData>
  <mergeCells count="26">
    <mergeCell ref="AC6:AE6"/>
    <mergeCell ref="AF6:AH6"/>
    <mergeCell ref="AI6:AK6"/>
    <mergeCell ref="AL6:AN6"/>
    <mergeCell ref="AO6:AQ6"/>
    <mergeCell ref="AO5:AQ5"/>
    <mergeCell ref="B6:D6"/>
    <mergeCell ref="E6:G6"/>
    <mergeCell ref="H6:J6"/>
    <mergeCell ref="K6:M6"/>
    <mergeCell ref="N6:P6"/>
    <mergeCell ref="Q6:S6"/>
    <mergeCell ref="T6:V6"/>
    <mergeCell ref="W6:Y6"/>
    <mergeCell ref="Z6:AB6"/>
    <mergeCell ref="T5:V5"/>
    <mergeCell ref="Z5:AB5"/>
    <mergeCell ref="AF5:AH5"/>
    <mergeCell ref="AI5:AK5"/>
    <mergeCell ref="AL5:AN5"/>
    <mergeCell ref="B5:D5"/>
    <mergeCell ref="E5:G5"/>
    <mergeCell ref="H5:J5"/>
    <mergeCell ref="K5:M5"/>
    <mergeCell ref="N5:P5"/>
    <mergeCell ref="Q5:S5"/>
  </mergeCells>
  <conditionalFormatting sqref="AO29:AP29 K29:L29 B29:C29 Z29:AA29 AI29:AJ29 W29:X29 E29:F29 H29:I29 N29:O29 AC29:AD29 T29:U29 AF29:AG29">
    <cfRule type="expression" dxfId="160" priority="1464">
      <formula>#REF! ="30≠24+25+26+27+28+29"</formula>
    </cfRule>
  </conditionalFormatting>
  <conditionalFormatting sqref="AO34:AP34 K34:L34 B34:C34 Z34:AA34 AI34:AJ34 W34:X34 E34:F34 H34:I34 N34:O34 AC34:AD34 T34:U34 AF34:AG34 AL34:AM34">
    <cfRule type="expression" dxfId="159" priority="1465">
      <formula>#REF! ="35≠14+15+16+17+22+30+31+32+33+34"</formula>
    </cfRule>
  </conditionalFormatting>
  <conditionalFormatting sqref="AO45:AP45 K45:L45 B45:C45 Z45:AA45 AI45:AJ45 W45:X45 E45:F45 H45:I45 N45:O45 AC45:AD45 T45:U45 AF45:AG45 AL45:AM45 AL57:AM57">
    <cfRule type="expression" dxfId="158" priority="1467">
      <formula>#REF! ="46≠35+38+39+40+43+45"</formula>
    </cfRule>
  </conditionalFormatting>
  <conditionalFormatting sqref="K14:L14 B14:C14 Z14:AA14 AI14:AJ14 W14:X14 E14:F14 H14:I14 N14:O14 AC14:AD14 T14:U14 AF14:AG14">
    <cfRule type="expression" dxfId="157" priority="1469">
      <formula>#REF! ="14≠11+12+13"</formula>
    </cfRule>
  </conditionalFormatting>
  <conditionalFormatting sqref="K21:L21 B21:C21 Z21:AA21 AI21:AJ21 W21:X21 E21:F21 H21:I21 N21:O21 AC21:AD21 T21:U21 AF21:AG21">
    <cfRule type="expression" dxfId="156" priority="1470">
      <formula>#REF! ="22≠19+20+21"</formula>
    </cfRule>
  </conditionalFormatting>
  <conditionalFormatting sqref="Q14:R14">
    <cfRule type="expression" dxfId="155" priority="5">
      <formula>Q$63 ="14≠11+12+13"</formula>
    </cfRule>
  </conditionalFormatting>
  <conditionalFormatting sqref="Q21:R21">
    <cfRule type="expression" dxfId="154" priority="4">
      <formula>Q$64 ="22≠19+20+21"</formula>
    </cfRule>
  </conditionalFormatting>
  <conditionalFormatting sqref="Q29:R29">
    <cfRule type="expression" dxfId="153" priority="3">
      <formula>Q$65 ="30≠24+25+26+27+28+29"</formula>
    </cfRule>
  </conditionalFormatting>
  <conditionalFormatting sqref="Q34:R34">
    <cfRule type="expression" dxfId="152" priority="2">
      <formula>Q$66 ="35≠14+15+16+17+22+30+31+32+33+34"</formula>
    </cfRule>
  </conditionalFormatting>
  <conditionalFormatting sqref="Q45:R45">
    <cfRule type="expression" dxfId="151" priority="1">
      <formula>Q$67 ="46≠35+38+39+40+43+45"</formula>
    </cfRule>
  </conditionalFormatting>
  <hyperlinks>
    <hyperlink ref="B1" location="Innhold!A1" display="Tilbake" xr:uid="{00000000-0004-0000-1E00-000000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R190"/>
  <sheetViews>
    <sheetView showGridLines="0" zoomScale="60" zoomScaleNormal="60" workbookViewId="0">
      <pane xSplit="1" ySplit="9" topLeftCell="B10" activePane="bottomRight" state="frozen"/>
      <selection activeCell="AU39" sqref="AU39"/>
      <selection pane="topRight" activeCell="AU39" sqref="AU39"/>
      <selection pane="bottomLeft" activeCell="AU39" sqref="AU39"/>
      <selection pane="bottomRight" activeCell="A5" sqref="A5"/>
    </sheetView>
  </sheetViews>
  <sheetFormatPr baseColWidth="10" defaultColWidth="11.42578125" defaultRowHeight="12.75" x14ac:dyDescent="0.2"/>
  <cols>
    <col min="1" max="1" width="68.5703125" style="530" customWidth="1"/>
    <col min="2" max="43" width="11.7109375" style="530" customWidth="1"/>
    <col min="44" max="44" width="14.7109375" style="530" bestFit="1" customWidth="1"/>
    <col min="45" max="16384" width="11.42578125" style="530"/>
  </cols>
  <sheetData>
    <row r="1" spans="1:44" ht="20.25" customHeight="1" x14ac:dyDescent="0.3">
      <c r="A1" s="528" t="s">
        <v>176</v>
      </c>
      <c r="B1" s="420" t="s">
        <v>52</v>
      </c>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row>
    <row r="2" spans="1:44" ht="20.100000000000001" customHeight="1" x14ac:dyDescent="0.3">
      <c r="A2" s="531" t="s">
        <v>263</v>
      </c>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row>
    <row r="3" spans="1:44" ht="20.100000000000001" customHeight="1" x14ac:dyDescent="0.3">
      <c r="A3" s="532" t="s">
        <v>370</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529"/>
      <c r="AR3" s="529"/>
    </row>
    <row r="4" spans="1:44" ht="20.100000000000001" customHeight="1" x14ac:dyDescent="0.3">
      <c r="A4" s="533" t="s">
        <v>371</v>
      </c>
      <c r="B4" s="529"/>
      <c r="C4" s="529"/>
      <c r="D4" s="529"/>
      <c r="E4" s="529"/>
      <c r="F4" s="529"/>
      <c r="G4" s="529"/>
      <c r="H4" s="529"/>
      <c r="I4" s="529"/>
      <c r="J4" s="529"/>
      <c r="K4" s="529"/>
      <c r="L4" s="529"/>
      <c r="M4" s="529"/>
      <c r="N4" s="529"/>
      <c r="O4" s="529"/>
      <c r="P4" s="529"/>
      <c r="Q4" s="529"/>
      <c r="R4" s="529"/>
      <c r="S4" s="529"/>
      <c r="T4" s="529"/>
      <c r="U4" s="529"/>
      <c r="V4" s="529"/>
      <c r="W4" s="529"/>
      <c r="X4" s="529"/>
      <c r="Y4" s="529"/>
      <c r="Z4" s="529"/>
      <c r="AA4" s="529"/>
      <c r="AB4" s="529"/>
      <c r="AC4" s="529"/>
      <c r="AD4" s="529"/>
      <c r="AE4" s="529"/>
      <c r="AF4" s="529"/>
      <c r="AG4" s="529"/>
      <c r="AH4" s="529"/>
      <c r="AI4" s="529"/>
      <c r="AJ4" s="529"/>
      <c r="AK4" s="529"/>
      <c r="AL4" s="529"/>
      <c r="AM4" s="529"/>
      <c r="AN4" s="529"/>
      <c r="AO4" s="529"/>
      <c r="AP4" s="529"/>
      <c r="AQ4" s="529"/>
      <c r="AR4" s="529"/>
    </row>
    <row r="5" spans="1:44" ht="18.75" customHeight="1" x14ac:dyDescent="0.3">
      <c r="A5" s="534" t="s">
        <v>367</v>
      </c>
      <c r="B5" s="535"/>
      <c r="C5" s="535"/>
      <c r="D5" s="536"/>
      <c r="E5" s="537"/>
      <c r="F5" s="535"/>
      <c r="G5" s="536"/>
      <c r="H5" s="537"/>
      <c r="I5" s="535"/>
      <c r="J5" s="536"/>
      <c r="K5" s="535"/>
      <c r="L5" s="535"/>
      <c r="M5" s="535"/>
      <c r="N5" s="537"/>
      <c r="O5" s="535"/>
      <c r="P5" s="536"/>
      <c r="Q5" s="537"/>
      <c r="R5" s="535"/>
      <c r="S5" s="536"/>
      <c r="T5" s="537"/>
      <c r="U5" s="535"/>
      <c r="V5" s="536"/>
      <c r="W5" s="537"/>
      <c r="X5" s="535"/>
      <c r="Y5" s="536"/>
      <c r="Z5" s="537"/>
      <c r="AA5" s="535"/>
      <c r="AB5" s="536"/>
      <c r="AC5" s="537"/>
      <c r="AD5" s="535"/>
      <c r="AE5" s="536"/>
      <c r="AF5" s="537"/>
      <c r="AG5" s="535"/>
      <c r="AH5" s="536"/>
      <c r="AI5" s="537"/>
      <c r="AJ5" s="535"/>
      <c r="AK5" s="536"/>
      <c r="AL5" s="537"/>
      <c r="AM5" s="535"/>
      <c r="AN5" s="536"/>
      <c r="AO5" s="537"/>
      <c r="AP5" s="535"/>
      <c r="AQ5" s="536"/>
      <c r="AR5" s="529"/>
    </row>
    <row r="6" spans="1:44" ht="18.75" customHeight="1" x14ac:dyDescent="0.3">
      <c r="A6" s="538" t="s">
        <v>104</v>
      </c>
      <c r="B6" s="994" t="s">
        <v>179</v>
      </c>
      <c r="C6" s="995"/>
      <c r="D6" s="996"/>
      <c r="E6" s="994" t="s">
        <v>180</v>
      </c>
      <c r="F6" s="995"/>
      <c r="G6" s="996"/>
      <c r="H6" s="994" t="s">
        <v>181</v>
      </c>
      <c r="I6" s="995"/>
      <c r="J6" s="996"/>
      <c r="K6" s="994" t="s">
        <v>182</v>
      </c>
      <c r="L6" s="995"/>
      <c r="M6" s="996"/>
      <c r="N6" s="994" t="s">
        <v>183</v>
      </c>
      <c r="O6" s="995"/>
      <c r="P6" s="996"/>
      <c r="Q6" s="934" t="s">
        <v>183</v>
      </c>
      <c r="R6" s="935"/>
      <c r="S6" s="936"/>
      <c r="T6" s="994" t="s">
        <v>63</v>
      </c>
      <c r="U6" s="995"/>
      <c r="V6" s="996"/>
      <c r="W6" s="855"/>
      <c r="X6" s="856"/>
      <c r="Y6" s="857"/>
      <c r="Z6" s="994" t="s">
        <v>184</v>
      </c>
      <c r="AA6" s="995"/>
      <c r="AB6" s="996"/>
      <c r="AC6" s="883"/>
      <c r="AD6" s="884"/>
      <c r="AE6" s="885"/>
      <c r="AF6" s="994"/>
      <c r="AG6" s="995"/>
      <c r="AH6" s="996"/>
      <c r="AI6" s="994" t="s">
        <v>75</v>
      </c>
      <c r="AJ6" s="995"/>
      <c r="AK6" s="996"/>
      <c r="AL6" s="991" t="s">
        <v>2</v>
      </c>
      <c r="AM6" s="992"/>
      <c r="AN6" s="993"/>
      <c r="AO6" s="994" t="s">
        <v>2</v>
      </c>
      <c r="AP6" s="995"/>
      <c r="AQ6" s="996"/>
      <c r="AR6" s="529"/>
    </row>
    <row r="7" spans="1:44" ht="21" customHeight="1" x14ac:dyDescent="0.3">
      <c r="A7" s="539"/>
      <c r="B7" s="997" t="s">
        <v>185</v>
      </c>
      <c r="C7" s="998"/>
      <c r="D7" s="999"/>
      <c r="E7" s="997" t="s">
        <v>186</v>
      </c>
      <c r="F7" s="998"/>
      <c r="G7" s="999"/>
      <c r="H7" s="997" t="s">
        <v>186</v>
      </c>
      <c r="I7" s="998"/>
      <c r="J7" s="999"/>
      <c r="K7" s="997" t="s">
        <v>187</v>
      </c>
      <c r="L7" s="998"/>
      <c r="M7" s="999"/>
      <c r="N7" s="997" t="s">
        <v>93</v>
      </c>
      <c r="O7" s="998"/>
      <c r="P7" s="999"/>
      <c r="Q7" s="997" t="s">
        <v>63</v>
      </c>
      <c r="R7" s="998"/>
      <c r="S7" s="999"/>
      <c r="T7" s="997" t="s">
        <v>188</v>
      </c>
      <c r="U7" s="998"/>
      <c r="V7" s="999"/>
      <c r="W7" s="997" t="s">
        <v>68</v>
      </c>
      <c r="X7" s="998"/>
      <c r="Y7" s="999"/>
      <c r="Z7" s="997" t="s">
        <v>185</v>
      </c>
      <c r="AA7" s="998"/>
      <c r="AB7" s="999"/>
      <c r="AC7" s="997" t="s">
        <v>74</v>
      </c>
      <c r="AD7" s="998"/>
      <c r="AE7" s="999"/>
      <c r="AF7" s="997" t="s">
        <v>70</v>
      </c>
      <c r="AG7" s="998"/>
      <c r="AH7" s="999"/>
      <c r="AI7" s="997" t="s">
        <v>186</v>
      </c>
      <c r="AJ7" s="998"/>
      <c r="AK7" s="999"/>
      <c r="AL7" s="1000" t="s">
        <v>291</v>
      </c>
      <c r="AM7" s="1001"/>
      <c r="AN7" s="1002"/>
      <c r="AO7" s="1003" t="s">
        <v>292</v>
      </c>
      <c r="AP7" s="1004"/>
      <c r="AQ7" s="1005"/>
      <c r="AR7" s="529"/>
    </row>
    <row r="8" spans="1:44" ht="18.75" customHeight="1" x14ac:dyDescent="0.3">
      <c r="A8" s="539"/>
      <c r="B8" s="540"/>
      <c r="C8" s="540"/>
      <c r="D8" s="541" t="s">
        <v>83</v>
      </c>
      <c r="E8" s="540"/>
      <c r="F8" s="540"/>
      <c r="G8" s="541" t="s">
        <v>83</v>
      </c>
      <c r="H8" s="540"/>
      <c r="I8" s="540"/>
      <c r="J8" s="541" t="s">
        <v>83</v>
      </c>
      <c r="K8" s="540"/>
      <c r="L8" s="540"/>
      <c r="M8" s="541" t="s">
        <v>83</v>
      </c>
      <c r="N8" s="540"/>
      <c r="O8" s="540"/>
      <c r="P8" s="541" t="s">
        <v>83</v>
      </c>
      <c r="Q8" s="540"/>
      <c r="R8" s="540"/>
      <c r="S8" s="541" t="s">
        <v>83</v>
      </c>
      <c r="T8" s="540"/>
      <c r="U8" s="540"/>
      <c r="V8" s="541" t="s">
        <v>83</v>
      </c>
      <c r="W8" s="540"/>
      <c r="X8" s="540"/>
      <c r="Y8" s="541" t="s">
        <v>83</v>
      </c>
      <c r="Z8" s="540"/>
      <c r="AA8" s="540"/>
      <c r="AB8" s="541" t="s">
        <v>83</v>
      </c>
      <c r="AC8" s="540"/>
      <c r="AD8" s="540"/>
      <c r="AE8" s="541" t="s">
        <v>83</v>
      </c>
      <c r="AF8" s="540"/>
      <c r="AG8" s="540"/>
      <c r="AH8" s="541" t="s">
        <v>83</v>
      </c>
      <c r="AI8" s="540"/>
      <c r="AJ8" s="540"/>
      <c r="AK8" s="541" t="s">
        <v>83</v>
      </c>
      <c r="AL8" s="540"/>
      <c r="AM8" s="540"/>
      <c r="AN8" s="541" t="s">
        <v>83</v>
      </c>
      <c r="AO8" s="540"/>
      <c r="AP8" s="540"/>
      <c r="AQ8" s="541" t="s">
        <v>83</v>
      </c>
      <c r="AR8" s="529"/>
    </row>
    <row r="9" spans="1:44" ht="18.75" customHeight="1" x14ac:dyDescent="0.3">
      <c r="A9" s="542" t="s">
        <v>293</v>
      </c>
      <c r="B9" s="543">
        <v>2018</v>
      </c>
      <c r="C9" s="543">
        <v>2019</v>
      </c>
      <c r="D9" s="544" t="s">
        <v>85</v>
      </c>
      <c r="E9" s="842">
        <v>2018</v>
      </c>
      <c r="F9" s="842">
        <v>2019</v>
      </c>
      <c r="G9" s="544" t="s">
        <v>85</v>
      </c>
      <c r="H9" s="543">
        <v>2018</v>
      </c>
      <c r="I9" s="543">
        <v>2019</v>
      </c>
      <c r="J9" s="544" t="s">
        <v>85</v>
      </c>
      <c r="K9" s="543">
        <v>2018</v>
      </c>
      <c r="L9" s="543">
        <v>2019</v>
      </c>
      <c r="M9" s="544" t="s">
        <v>85</v>
      </c>
      <c r="N9" s="842">
        <v>2018</v>
      </c>
      <c r="O9" s="842">
        <v>2019</v>
      </c>
      <c r="P9" s="544" t="s">
        <v>85</v>
      </c>
      <c r="Q9" s="543">
        <v>2018</v>
      </c>
      <c r="R9" s="543">
        <v>2019</v>
      </c>
      <c r="S9" s="544" t="s">
        <v>85</v>
      </c>
      <c r="T9" s="842">
        <v>2018</v>
      </c>
      <c r="U9" s="842">
        <v>2019</v>
      </c>
      <c r="V9" s="544" t="s">
        <v>85</v>
      </c>
      <c r="W9" s="842">
        <v>2018</v>
      </c>
      <c r="X9" s="842">
        <v>2019</v>
      </c>
      <c r="Y9" s="544" t="s">
        <v>85</v>
      </c>
      <c r="Z9" s="842">
        <v>2018</v>
      </c>
      <c r="AA9" s="842">
        <v>2019</v>
      </c>
      <c r="AB9" s="544" t="s">
        <v>85</v>
      </c>
      <c r="AC9" s="842">
        <v>2018</v>
      </c>
      <c r="AD9" s="842">
        <v>2019</v>
      </c>
      <c r="AE9" s="544" t="s">
        <v>85</v>
      </c>
      <c r="AF9" s="842">
        <v>2018</v>
      </c>
      <c r="AG9" s="842">
        <v>2019</v>
      </c>
      <c r="AH9" s="544" t="s">
        <v>85</v>
      </c>
      <c r="AI9" s="842">
        <v>2018</v>
      </c>
      <c r="AJ9" s="842">
        <v>2019</v>
      </c>
      <c r="AK9" s="544" t="s">
        <v>85</v>
      </c>
      <c r="AL9" s="842">
        <v>2018</v>
      </c>
      <c r="AM9" s="842">
        <v>2019</v>
      </c>
      <c r="AN9" s="544" t="s">
        <v>85</v>
      </c>
      <c r="AO9" s="842">
        <v>2018</v>
      </c>
      <c r="AP9" s="842">
        <v>2019</v>
      </c>
      <c r="AQ9" s="544" t="s">
        <v>85</v>
      </c>
      <c r="AR9" s="529"/>
    </row>
    <row r="10" spans="1:44" ht="18.75" customHeight="1" x14ac:dyDescent="0.3">
      <c r="A10" s="545"/>
      <c r="B10" s="794"/>
      <c r="C10" s="795"/>
      <c r="D10" s="547"/>
      <c r="E10" s="879"/>
      <c r="F10" s="795"/>
      <c r="G10" s="548"/>
      <c r="H10" s="898"/>
      <c r="I10" s="549"/>
      <c r="J10" s="548"/>
      <c r="K10" s="794"/>
      <c r="L10" s="795"/>
      <c r="M10" s="547"/>
      <c r="N10" s="794"/>
      <c r="O10" s="795"/>
      <c r="P10" s="548"/>
      <c r="Q10" s="546"/>
      <c r="R10" s="549"/>
      <c r="S10" s="548"/>
      <c r="T10" s="794"/>
      <c r="U10" s="795"/>
      <c r="V10" s="548"/>
      <c r="W10" s="794"/>
      <c r="X10" s="795"/>
      <c r="Y10" s="548"/>
      <c r="Z10" s="546"/>
      <c r="AA10" s="549"/>
      <c r="AB10" s="548"/>
      <c r="AC10" s="794"/>
      <c r="AD10" s="795"/>
      <c r="AE10" s="548"/>
      <c r="AF10" s="925"/>
      <c r="AG10" s="795"/>
      <c r="AH10" s="548"/>
      <c r="AI10" s="794"/>
      <c r="AJ10" s="795"/>
      <c r="AK10" s="548"/>
      <c r="AL10" s="547"/>
      <c r="AM10" s="547"/>
      <c r="AN10" s="548"/>
      <c r="AO10" s="549"/>
      <c r="AP10" s="549"/>
      <c r="AQ10" s="548"/>
      <c r="AR10" s="529"/>
    </row>
    <row r="11" spans="1:44" s="529" customFormat="1" ht="18.75" customHeight="1" x14ac:dyDescent="0.3">
      <c r="A11" s="550" t="s">
        <v>372</v>
      </c>
      <c r="B11" s="801"/>
      <c r="C11" s="797"/>
      <c r="D11" s="552"/>
      <c r="E11" s="801"/>
      <c r="F11" s="797"/>
      <c r="G11" s="553"/>
      <c r="H11" s="899"/>
      <c r="I11" s="566"/>
      <c r="J11" s="553"/>
      <c r="K11" s="796"/>
      <c r="L11" s="797"/>
      <c r="M11" s="552"/>
      <c r="N11" s="796"/>
      <c r="O11" s="797"/>
      <c r="P11" s="553"/>
      <c r="Q11" s="551"/>
      <c r="R11" s="566"/>
      <c r="S11" s="553"/>
      <c r="T11" s="796"/>
      <c r="U11" s="797"/>
      <c r="V11" s="553"/>
      <c r="W11" s="874"/>
      <c r="X11" s="797"/>
      <c r="Y11" s="554"/>
      <c r="Z11" s="551"/>
      <c r="AA11" s="566"/>
      <c r="AB11" s="553"/>
      <c r="AC11" s="796"/>
      <c r="AD11" s="797"/>
      <c r="AE11" s="553"/>
      <c r="AF11" s="801"/>
      <c r="AG11" s="797"/>
      <c r="AH11" s="553"/>
      <c r="AI11" s="796"/>
      <c r="AJ11" s="797"/>
      <c r="AK11" s="553"/>
      <c r="AL11" s="552"/>
      <c r="AM11" s="552"/>
      <c r="AN11" s="553"/>
      <c r="AO11" s="555"/>
      <c r="AP11" s="555"/>
      <c r="AQ11" s="553"/>
    </row>
    <row r="12" spans="1:44" s="529" customFormat="1" ht="18.75" customHeight="1" x14ac:dyDescent="0.3">
      <c r="A12" s="556" t="s">
        <v>373</v>
      </c>
      <c r="B12" s="800"/>
      <c r="C12" s="799"/>
      <c r="D12" s="558"/>
      <c r="E12" s="800">
        <v>0</v>
      </c>
      <c r="F12" s="799">
        <v>66.902000000000001</v>
      </c>
      <c r="G12" s="559" t="str">
        <f>IF(E12=0, "    ---- ", IF(ABS(ROUND(100/E12*F12-100,1))&lt;999,ROUND(100/E12*F12-100,1),IF(ROUND(100/E12*F12-100,1)&gt;999,999,-999)))</f>
        <v xml:space="preserve">    ---- </v>
      </c>
      <c r="H12" s="900"/>
      <c r="I12" s="564"/>
      <c r="J12" s="560"/>
      <c r="K12" s="798"/>
      <c r="L12" s="799"/>
      <c r="M12" s="558"/>
      <c r="N12" s="798"/>
      <c r="O12" s="799"/>
      <c r="P12" s="560"/>
      <c r="Q12" s="388"/>
      <c r="R12" s="564"/>
      <c r="S12" s="560"/>
      <c r="T12" s="798"/>
      <c r="U12" s="799"/>
      <c r="V12" s="560"/>
      <c r="W12" s="875">
        <v>7.0952793831827528</v>
      </c>
      <c r="X12" s="799">
        <v>11.571219999155</v>
      </c>
      <c r="Y12" s="559">
        <f t="shared" ref="Y12:Y58" si="0">IF(W12=0, "    ---- ", IF(ABS(ROUND(100/W12*X12-100,1))&lt;999,ROUND(100/W12*X12-100,1),IF(ROUND(100/W12*X12-100,1)&gt;999,999,-999)))</f>
        <v>63.1</v>
      </c>
      <c r="Z12" s="388"/>
      <c r="AA12" s="564"/>
      <c r="AB12" s="560"/>
      <c r="AC12" s="798"/>
      <c r="AD12" s="799"/>
      <c r="AE12" s="560"/>
      <c r="AF12" s="800">
        <v>13.345000000000001</v>
      </c>
      <c r="AG12" s="799">
        <v>31</v>
      </c>
      <c r="AH12" s="559">
        <f>IF(AF12=0, "    ---- ", IF(ABS(ROUND(100/AF12*AG12-100,1))&lt;999,ROUND(100/AF12*AG12-100,1),IF(ROUND(100/AF12*AG12-100,1)&gt;999,999,-999)))</f>
        <v>132.30000000000001</v>
      </c>
      <c r="AI12" s="868">
        <v>-7.4</v>
      </c>
      <c r="AJ12" s="799">
        <v>7</v>
      </c>
      <c r="AK12" s="559">
        <f>IF(AI12=0, "    ---- ", IF(ABS(ROUND(100/AI12*AJ12-100,1))&lt;999,ROUND(100/AI12*AJ12-100,1),IF(ROUND(100/AI12*AJ12-100,1)&gt;999,999,-999)))</f>
        <v>-194.6</v>
      </c>
      <c r="AL12" s="561">
        <f>B12+E12+H12+K12+Q12+T12+W12+Z12+AF12+AI12</f>
        <v>13.040279383182755</v>
      </c>
      <c r="AM12" s="561">
        <f>C12+F12+I12+L12+R12+U12+X12+AA12+AG12+AJ12</f>
        <v>116.47321999915501</v>
      </c>
      <c r="AN12" s="559">
        <f t="shared" ref="AN12:AN22" si="1">IF(AL12=0, "    ---- ", IF(ABS(ROUND(100/AL12*AM12-100,1))&lt;999,ROUND(100/AL12*AM12-100,1),IF(ROUND(100/AL12*AM12-100,1)&gt;999,999,-999)))</f>
        <v>793.2</v>
      </c>
      <c r="AO12" s="561">
        <f>+B12+E12+H12+K12+N12+Q12+T12+W12+Z12+AC12+AF12+AI12</f>
        <v>13.040279383182755</v>
      </c>
      <c r="AP12" s="561">
        <f>+C12+F12+I12+L12+O12+R12+U12+X12+AA12+AD12+AG12+AJ12</f>
        <v>116.47321999915501</v>
      </c>
      <c r="AQ12" s="559">
        <f t="shared" ref="AQ12:AQ22" si="2">IF(AO12=0, "    ---- ", IF(ABS(ROUND(100/AO12*AP12-100,1))&lt;999,ROUND(100/AO12*AP12-100,1),IF(ROUND(100/AO12*AP12-100,1)&gt;999,999,-999)))</f>
        <v>793.2</v>
      </c>
    </row>
    <row r="13" spans="1:44" s="529" customFormat="1" ht="18.75" customHeight="1" x14ac:dyDescent="0.3">
      <c r="A13" s="556" t="s">
        <v>374</v>
      </c>
      <c r="B13" s="800"/>
      <c r="C13" s="799"/>
      <c r="D13" s="558"/>
      <c r="E13" s="800"/>
      <c r="F13" s="799">
        <v>-5.8</v>
      </c>
      <c r="G13" s="559" t="str">
        <f>IF(E13=0, "    ---- ", IF(ABS(ROUND(100/E13*F13-100,1))&lt;999,ROUND(100/E13*F13-100,1),IF(ROUND(100/E13*F13-100,1)&gt;999,999,-999)))</f>
        <v xml:space="preserve">    ---- </v>
      </c>
      <c r="H13" s="900"/>
      <c r="I13" s="564"/>
      <c r="J13" s="560"/>
      <c r="K13" s="798"/>
      <c r="L13" s="799"/>
      <c r="M13" s="558"/>
      <c r="N13" s="798"/>
      <c r="O13" s="799"/>
      <c r="P13" s="560"/>
      <c r="Q13" s="388"/>
      <c r="R13" s="564"/>
      <c r="S13" s="560"/>
      <c r="T13" s="798"/>
      <c r="U13" s="799"/>
      <c r="V13" s="560"/>
      <c r="W13" s="875">
        <v>-7.0952793831827528</v>
      </c>
      <c r="X13" s="799">
        <v>-11.571219999155</v>
      </c>
      <c r="Y13" s="559">
        <f t="shared" si="0"/>
        <v>63.1</v>
      </c>
      <c r="Z13" s="388"/>
      <c r="AA13" s="564"/>
      <c r="AB13" s="560"/>
      <c r="AC13" s="798"/>
      <c r="AD13" s="799"/>
      <c r="AE13" s="560"/>
      <c r="AF13" s="800"/>
      <c r="AG13" s="799"/>
      <c r="AH13" s="559"/>
      <c r="AI13" s="868">
        <v>1.3</v>
      </c>
      <c r="AJ13" s="799">
        <v>1</v>
      </c>
      <c r="AK13" s="559">
        <f>IF(AI13=0, "    ---- ", IF(ABS(ROUND(100/AI13*AJ13-100,1))&lt;999,ROUND(100/AI13*AJ13-100,1),IF(ROUND(100/AI13*AJ13-100,1)&gt;999,999,-999)))</f>
        <v>-23.1</v>
      </c>
      <c r="AL13" s="561">
        <f t="shared" ref="AL13:AM58" si="3">B13+E13+H13+K13+Q13+T13+W13+Z13+AF13+AI13</f>
        <v>-5.7952793831827529</v>
      </c>
      <c r="AM13" s="561">
        <f t="shared" si="3"/>
        <v>-16.371219999154999</v>
      </c>
      <c r="AN13" s="559">
        <f t="shared" si="1"/>
        <v>182.5</v>
      </c>
      <c r="AO13" s="561">
        <f t="shared" ref="AO13:AP20" si="4">+B13+E13+H13+K13+N13+Q13+T13+W13+Z13+AC13+AF13+AI13</f>
        <v>-5.7952793831827529</v>
      </c>
      <c r="AP13" s="561">
        <f t="shared" si="4"/>
        <v>-16.371219999154999</v>
      </c>
      <c r="AQ13" s="559">
        <f t="shared" si="2"/>
        <v>182.5</v>
      </c>
    </row>
    <row r="14" spans="1:44" s="529" customFormat="1" ht="18.75" customHeight="1" x14ac:dyDescent="0.3">
      <c r="A14" s="556" t="s">
        <v>375</v>
      </c>
      <c r="B14" s="800"/>
      <c r="C14" s="799"/>
      <c r="D14" s="558"/>
      <c r="E14" s="800">
        <v>28</v>
      </c>
      <c r="F14" s="799">
        <v>23.254000000000001</v>
      </c>
      <c r="G14" s="559">
        <f>IF(E14=0, "    ---- ", IF(ABS(ROUND(100/E14*F14-100,1))&lt;999,ROUND(100/E14*F14-100,1),IF(ROUND(100/E14*F14-100,1)&gt;999,999,-999)))</f>
        <v>-17</v>
      </c>
      <c r="H14" s="900"/>
      <c r="I14" s="564"/>
      <c r="J14" s="560"/>
      <c r="K14" s="798"/>
      <c r="L14" s="799"/>
      <c r="M14" s="558"/>
      <c r="N14" s="798"/>
      <c r="O14" s="799"/>
      <c r="P14" s="560"/>
      <c r="Q14" s="388"/>
      <c r="R14" s="564"/>
      <c r="S14" s="560"/>
      <c r="T14" s="798"/>
      <c r="U14" s="799"/>
      <c r="V14" s="560"/>
      <c r="W14" s="875">
        <v>4.7729642393528113</v>
      </c>
      <c r="X14" s="799">
        <v>2.8042403250731547</v>
      </c>
      <c r="Y14" s="559">
        <f t="shared" si="0"/>
        <v>-41.2</v>
      </c>
      <c r="Z14" s="388"/>
      <c r="AA14" s="564"/>
      <c r="AB14" s="560"/>
      <c r="AC14" s="798"/>
      <c r="AD14" s="799"/>
      <c r="AE14" s="560"/>
      <c r="AF14" s="800">
        <v>-6.3419999999999996</v>
      </c>
      <c r="AG14" s="799">
        <v>-4</v>
      </c>
      <c r="AH14" s="559">
        <f>IF(AF14=0, "    ---- ", IF(ABS(ROUND(100/AF14*AG14-100,1))&lt;999,ROUND(100/AF14*AG14-100,1),IF(ROUND(100/AF14*AG14-100,1)&gt;999,999,-999)))</f>
        <v>-36.9</v>
      </c>
      <c r="AI14" s="868">
        <v>0.8</v>
      </c>
      <c r="AJ14" s="799">
        <v>1</v>
      </c>
      <c r="AK14" s="559">
        <f>IF(AI14=0, "    ---- ", IF(ABS(ROUND(100/AI14*AJ14-100,1))&lt;999,ROUND(100/AI14*AJ14-100,1),IF(ROUND(100/AI14*AJ14-100,1)&gt;999,999,-999)))</f>
        <v>25</v>
      </c>
      <c r="AL14" s="561">
        <f t="shared" si="3"/>
        <v>27.230964239352812</v>
      </c>
      <c r="AM14" s="561">
        <f t="shared" si="3"/>
        <v>23.058240325073157</v>
      </c>
      <c r="AN14" s="559">
        <f t="shared" si="1"/>
        <v>-15.3</v>
      </c>
      <c r="AO14" s="561">
        <f t="shared" si="4"/>
        <v>27.230964239352812</v>
      </c>
      <c r="AP14" s="561">
        <f t="shared" si="4"/>
        <v>23.058240325073157</v>
      </c>
      <c r="AQ14" s="559">
        <f t="shared" si="2"/>
        <v>-15.3</v>
      </c>
    </row>
    <row r="15" spans="1:44" s="529" customFormat="1" ht="18.75" customHeight="1" x14ac:dyDescent="0.3">
      <c r="A15" s="556" t="s">
        <v>376</v>
      </c>
      <c r="B15" s="800"/>
      <c r="C15" s="799"/>
      <c r="D15" s="558"/>
      <c r="E15" s="800"/>
      <c r="F15" s="799"/>
      <c r="G15" s="559"/>
      <c r="H15" s="900"/>
      <c r="I15" s="564"/>
      <c r="J15" s="560"/>
      <c r="K15" s="798"/>
      <c r="L15" s="799"/>
      <c r="M15" s="558"/>
      <c r="N15" s="798"/>
      <c r="O15" s="799"/>
      <c r="P15" s="560"/>
      <c r="Q15" s="388"/>
      <c r="R15" s="564"/>
      <c r="S15" s="560"/>
      <c r="T15" s="798"/>
      <c r="U15" s="799"/>
      <c r="V15" s="560"/>
      <c r="W15" s="875"/>
      <c r="X15" s="799"/>
      <c r="Y15" s="559"/>
      <c r="Z15" s="388"/>
      <c r="AA15" s="564"/>
      <c r="AB15" s="560"/>
      <c r="AC15" s="798"/>
      <c r="AD15" s="799"/>
      <c r="AE15" s="560"/>
      <c r="AF15" s="800"/>
      <c r="AG15" s="799"/>
      <c r="AH15" s="559"/>
      <c r="AI15" s="868"/>
      <c r="AJ15" s="799"/>
      <c r="AK15" s="559"/>
      <c r="AL15" s="561">
        <f t="shared" si="3"/>
        <v>0</v>
      </c>
      <c r="AM15" s="561">
        <f t="shared" si="3"/>
        <v>0</v>
      </c>
      <c r="AN15" s="559" t="str">
        <f t="shared" si="1"/>
        <v xml:space="preserve">    ---- </v>
      </c>
      <c r="AO15" s="561">
        <f t="shared" si="4"/>
        <v>0</v>
      </c>
      <c r="AP15" s="561">
        <f t="shared" si="4"/>
        <v>0</v>
      </c>
      <c r="AQ15" s="559" t="str">
        <f t="shared" si="2"/>
        <v xml:space="preserve">    ---- </v>
      </c>
    </row>
    <row r="16" spans="1:44" s="529" customFormat="1" ht="18.75" customHeight="1" x14ac:dyDescent="0.3">
      <c r="A16" s="556" t="s">
        <v>377</v>
      </c>
      <c r="B16" s="800"/>
      <c r="C16" s="799"/>
      <c r="D16" s="558"/>
      <c r="E16" s="800"/>
      <c r="F16" s="799"/>
      <c r="G16" s="559"/>
      <c r="H16" s="900"/>
      <c r="I16" s="564"/>
      <c r="J16" s="560"/>
      <c r="K16" s="798"/>
      <c r="L16" s="799"/>
      <c r="M16" s="558"/>
      <c r="N16" s="798"/>
      <c r="O16" s="799"/>
      <c r="P16" s="560"/>
      <c r="Q16" s="388"/>
      <c r="R16" s="564"/>
      <c r="S16" s="560"/>
      <c r="T16" s="798"/>
      <c r="U16" s="799"/>
      <c r="V16" s="560"/>
      <c r="W16" s="875"/>
      <c r="X16" s="799"/>
      <c r="Y16" s="559"/>
      <c r="Z16" s="388"/>
      <c r="AA16" s="564"/>
      <c r="AB16" s="560"/>
      <c r="AC16" s="798"/>
      <c r="AD16" s="799"/>
      <c r="AE16" s="560"/>
      <c r="AF16" s="800"/>
      <c r="AG16" s="799"/>
      <c r="AH16" s="559"/>
      <c r="AI16" s="868"/>
      <c r="AJ16" s="799"/>
      <c r="AK16" s="559"/>
      <c r="AL16" s="561">
        <f t="shared" si="3"/>
        <v>0</v>
      </c>
      <c r="AM16" s="561">
        <f t="shared" si="3"/>
        <v>0</v>
      </c>
      <c r="AN16" s="559" t="str">
        <f t="shared" si="1"/>
        <v xml:space="preserve">    ---- </v>
      </c>
      <c r="AO16" s="561">
        <f t="shared" si="4"/>
        <v>0</v>
      </c>
      <c r="AP16" s="561">
        <f t="shared" si="4"/>
        <v>0</v>
      </c>
      <c r="AQ16" s="559" t="str">
        <f t="shared" si="2"/>
        <v xml:space="preserve">    ---- </v>
      </c>
    </row>
    <row r="17" spans="1:43" s="529" customFormat="1" ht="18.75" customHeight="1" x14ac:dyDescent="0.3">
      <c r="A17" s="556" t="s">
        <v>378</v>
      </c>
      <c r="B17" s="800"/>
      <c r="C17" s="799"/>
      <c r="D17" s="558"/>
      <c r="E17" s="800">
        <v>10</v>
      </c>
      <c r="F17" s="799">
        <v>26.367999999999999</v>
      </c>
      <c r="G17" s="559">
        <f>IF(E17=0, "    ---- ", IF(ABS(ROUND(100/E17*F17-100,1))&lt;999,ROUND(100/E17*F17-100,1),IF(ROUND(100/E17*F17-100,1)&gt;999,999,-999)))</f>
        <v>163.69999999999999</v>
      </c>
      <c r="H17" s="900"/>
      <c r="I17" s="564"/>
      <c r="J17" s="560"/>
      <c r="K17" s="798"/>
      <c r="L17" s="799"/>
      <c r="M17" s="558"/>
      <c r="N17" s="798"/>
      <c r="O17" s="799"/>
      <c r="P17" s="560"/>
      <c r="Q17" s="388"/>
      <c r="R17" s="564"/>
      <c r="S17" s="560"/>
      <c r="T17" s="798"/>
      <c r="U17" s="799"/>
      <c r="V17" s="560"/>
      <c r="W17" s="875">
        <v>7.9663411428452795</v>
      </c>
      <c r="X17" s="799">
        <v>10.514987968783025</v>
      </c>
      <c r="Y17" s="559">
        <f t="shared" si="0"/>
        <v>32</v>
      </c>
      <c r="Z17" s="388"/>
      <c r="AA17" s="564"/>
      <c r="AB17" s="560"/>
      <c r="AC17" s="798"/>
      <c r="AD17" s="799"/>
      <c r="AE17" s="560"/>
      <c r="AF17" s="800">
        <v>-0.55200000000000005</v>
      </c>
      <c r="AG17" s="799">
        <v>-14</v>
      </c>
      <c r="AH17" s="559">
        <f>IF(AF17=0, "    ---- ", IF(ABS(ROUND(100/AF17*AG17-100,1))&lt;999,ROUND(100/AF17*AG17-100,1),IF(ROUND(100/AF17*AG17-100,1)&gt;999,999,-999)))</f>
        <v>999</v>
      </c>
      <c r="AI17" s="868">
        <v>85</v>
      </c>
      <c r="AJ17" s="799">
        <v>37</v>
      </c>
      <c r="AK17" s="559">
        <f>IF(AI17=0, "    ---- ", IF(ABS(ROUND(100/AI17*AJ17-100,1))&lt;999,ROUND(100/AI17*AJ17-100,1),IF(ROUND(100/AI17*AJ17-100,1)&gt;999,999,-999)))</f>
        <v>-56.5</v>
      </c>
      <c r="AL17" s="561">
        <f t="shared" si="3"/>
        <v>102.41434114284527</v>
      </c>
      <c r="AM17" s="561">
        <f t="shared" si="3"/>
        <v>59.882987968783027</v>
      </c>
      <c r="AN17" s="559">
        <f t="shared" si="1"/>
        <v>-41.5</v>
      </c>
      <c r="AO17" s="561">
        <f t="shared" si="4"/>
        <v>102.41434114284527</v>
      </c>
      <c r="AP17" s="561">
        <f t="shared" si="4"/>
        <v>59.882987968783027</v>
      </c>
      <c r="AQ17" s="559">
        <f t="shared" si="2"/>
        <v>-41.5</v>
      </c>
    </row>
    <row r="18" spans="1:43" s="529" customFormat="1" ht="18.75" customHeight="1" x14ac:dyDescent="0.3">
      <c r="A18" s="556" t="s">
        <v>379</v>
      </c>
      <c r="B18" s="800"/>
      <c r="C18" s="799"/>
      <c r="D18" s="558"/>
      <c r="E18" s="800"/>
      <c r="F18" s="799"/>
      <c r="G18" s="559"/>
      <c r="H18" s="900"/>
      <c r="I18" s="564"/>
      <c r="J18" s="560"/>
      <c r="K18" s="798"/>
      <c r="L18" s="799"/>
      <c r="M18" s="558"/>
      <c r="N18" s="798"/>
      <c r="O18" s="799"/>
      <c r="P18" s="560"/>
      <c r="Q18" s="388"/>
      <c r="R18" s="564"/>
      <c r="S18" s="560"/>
      <c r="T18" s="798"/>
      <c r="U18" s="799"/>
      <c r="V18" s="560"/>
      <c r="W18" s="875"/>
      <c r="X18" s="799"/>
      <c r="Y18" s="559"/>
      <c r="Z18" s="388"/>
      <c r="AA18" s="564"/>
      <c r="AB18" s="560"/>
      <c r="AC18" s="798"/>
      <c r="AD18" s="799"/>
      <c r="AE18" s="560"/>
      <c r="AF18" s="800"/>
      <c r="AG18" s="799"/>
      <c r="AH18" s="559"/>
      <c r="AI18" s="868"/>
      <c r="AJ18" s="799"/>
      <c r="AK18" s="559"/>
      <c r="AL18" s="561">
        <f t="shared" si="3"/>
        <v>0</v>
      </c>
      <c r="AM18" s="561">
        <f t="shared" si="3"/>
        <v>0</v>
      </c>
      <c r="AN18" s="559" t="str">
        <f t="shared" si="1"/>
        <v xml:space="preserve">    ---- </v>
      </c>
      <c r="AO18" s="561">
        <f t="shared" si="4"/>
        <v>0</v>
      </c>
      <c r="AP18" s="561">
        <f t="shared" si="4"/>
        <v>0</v>
      </c>
      <c r="AQ18" s="559" t="str">
        <f t="shared" si="2"/>
        <v xml:space="preserve">    ---- </v>
      </c>
    </row>
    <row r="19" spans="1:43" s="529" customFormat="1" ht="18.75" customHeight="1" x14ac:dyDescent="0.3">
      <c r="A19" s="556" t="s">
        <v>380</v>
      </c>
      <c r="B19" s="800"/>
      <c r="C19" s="799"/>
      <c r="D19" s="558"/>
      <c r="E19" s="800"/>
      <c r="F19" s="799"/>
      <c r="G19" s="559"/>
      <c r="H19" s="900"/>
      <c r="I19" s="564"/>
      <c r="J19" s="560"/>
      <c r="K19" s="798"/>
      <c r="L19" s="799"/>
      <c r="M19" s="558"/>
      <c r="N19" s="798"/>
      <c r="O19" s="799"/>
      <c r="P19" s="560"/>
      <c r="Q19" s="388"/>
      <c r="R19" s="564"/>
      <c r="S19" s="560"/>
      <c r="T19" s="798"/>
      <c r="U19" s="799"/>
      <c r="V19" s="560"/>
      <c r="W19" s="875"/>
      <c r="X19" s="799"/>
      <c r="Y19" s="559"/>
      <c r="Z19" s="388"/>
      <c r="AA19" s="564"/>
      <c r="AB19" s="560"/>
      <c r="AC19" s="798"/>
      <c r="AD19" s="799"/>
      <c r="AE19" s="560"/>
      <c r="AF19" s="800"/>
      <c r="AG19" s="799"/>
      <c r="AH19" s="559"/>
      <c r="AI19" s="868"/>
      <c r="AJ19" s="799"/>
      <c r="AK19" s="559"/>
      <c r="AL19" s="561">
        <f t="shared" si="3"/>
        <v>0</v>
      </c>
      <c r="AM19" s="561">
        <f t="shared" si="3"/>
        <v>0</v>
      </c>
      <c r="AN19" s="559" t="str">
        <f t="shared" si="1"/>
        <v xml:space="preserve">    ---- </v>
      </c>
      <c r="AO19" s="561">
        <f t="shared" si="4"/>
        <v>0</v>
      </c>
      <c r="AP19" s="561">
        <f t="shared" si="4"/>
        <v>0</v>
      </c>
      <c r="AQ19" s="559" t="str">
        <f t="shared" si="2"/>
        <v xml:space="preserve">    ---- </v>
      </c>
    </row>
    <row r="20" spans="1:43" s="563" customFormat="1" ht="18.75" customHeight="1" x14ac:dyDescent="0.3">
      <c r="A20" s="550" t="s">
        <v>381</v>
      </c>
      <c r="B20" s="801"/>
      <c r="C20" s="797"/>
      <c r="D20" s="552"/>
      <c r="E20" s="801">
        <v>38</v>
      </c>
      <c r="F20" s="797">
        <f>SUM(F12:F17)+F19</f>
        <v>110.724</v>
      </c>
      <c r="G20" s="554">
        <f>IF(E20=0, "    ---- ", IF(ABS(ROUND(100/E20*F20-100,1))&lt;999,ROUND(100/E20*F20-100,1),IF(ROUND(100/E20*F20-100,1)&gt;999,999,-999)))</f>
        <v>191.4</v>
      </c>
      <c r="H20" s="899"/>
      <c r="I20" s="566"/>
      <c r="J20" s="553"/>
      <c r="K20" s="796"/>
      <c r="L20" s="797"/>
      <c r="M20" s="552"/>
      <c r="N20" s="796"/>
      <c r="O20" s="797"/>
      <c r="P20" s="553"/>
      <c r="Q20" s="551"/>
      <c r="R20" s="566"/>
      <c r="S20" s="553"/>
      <c r="T20" s="796"/>
      <c r="U20" s="797"/>
      <c r="V20" s="553"/>
      <c r="W20" s="874">
        <v>12.73930538219809</v>
      </c>
      <c r="X20" s="797">
        <f>SUM(X12:X17)+X19</f>
        <v>13.319228293856179</v>
      </c>
      <c r="Y20" s="554">
        <f t="shared" si="0"/>
        <v>4.5999999999999996</v>
      </c>
      <c r="Z20" s="551"/>
      <c r="AA20" s="566"/>
      <c r="AB20" s="553"/>
      <c r="AC20" s="796"/>
      <c r="AD20" s="797">
        <f>SUM(AD12:AD17)+AD19</f>
        <v>0</v>
      </c>
      <c r="AE20" s="553"/>
      <c r="AF20" s="801">
        <v>6.4510000000000005</v>
      </c>
      <c r="AG20" s="797">
        <f>SUM(AG12:AG17)+AG19</f>
        <v>13</v>
      </c>
      <c r="AH20" s="554">
        <f>IF(AF20=0, "    ---- ", IF(ABS(ROUND(100/AF20*AG20-100,1))&lt;999,ROUND(100/AF20*AG20-100,1),IF(ROUND(100/AF20*AG20-100,1)&gt;999,999,-999)))</f>
        <v>101.5</v>
      </c>
      <c r="AI20" s="869">
        <v>79.7</v>
      </c>
      <c r="AJ20" s="797">
        <f>SUM(AJ12:AJ17)+AJ19</f>
        <v>46</v>
      </c>
      <c r="AK20" s="554">
        <f>IF(AI20=0, "    ---- ", IF(ABS(ROUND(100/AI20*AJ20-100,1))&lt;999,ROUND(100/AI20*AJ20-100,1),IF(ROUND(100/AI20*AJ20-100,1)&gt;999,999,-999)))</f>
        <v>-42.3</v>
      </c>
      <c r="AL20" s="562">
        <f t="shared" si="3"/>
        <v>136.89030538219811</v>
      </c>
      <c r="AM20" s="562">
        <f t="shared" si="3"/>
        <v>183.0432282938562</v>
      </c>
      <c r="AN20" s="562">
        <f t="shared" si="1"/>
        <v>33.700000000000003</v>
      </c>
      <c r="AO20" s="554">
        <f t="shared" si="4"/>
        <v>136.89030538219811</v>
      </c>
      <c r="AP20" s="943">
        <f t="shared" si="4"/>
        <v>183.0432282938562</v>
      </c>
      <c r="AQ20" s="943">
        <f t="shared" si="2"/>
        <v>33.700000000000003</v>
      </c>
    </row>
    <row r="21" spans="1:43" s="529" customFormat="1" ht="18.75" customHeight="1" x14ac:dyDescent="0.3">
      <c r="A21" s="556" t="s">
        <v>382</v>
      </c>
      <c r="B21" s="800"/>
      <c r="C21" s="799"/>
      <c r="D21" s="558"/>
      <c r="E21" s="800">
        <v>25</v>
      </c>
      <c r="F21" s="799">
        <v>71.966999999999999</v>
      </c>
      <c r="G21" s="559">
        <f>IF(E21=0, "    ---- ", IF(ABS(ROUND(100/E21*F21-100,1))&lt;999,ROUND(100/E21*F21-100,1),IF(ROUND(100/E21*F21-100,1)&gt;999,999,-999)))</f>
        <v>187.9</v>
      </c>
      <c r="H21" s="900"/>
      <c r="I21" s="564"/>
      <c r="J21" s="560"/>
      <c r="K21" s="798"/>
      <c r="L21" s="799"/>
      <c r="M21" s="558"/>
      <c r="N21" s="798"/>
      <c r="O21" s="799"/>
      <c r="P21" s="560"/>
      <c r="Q21" s="388"/>
      <c r="R21" s="564"/>
      <c r="S21" s="560"/>
      <c r="T21" s="798"/>
      <c r="U21" s="799"/>
      <c r="V21" s="560"/>
      <c r="W21" s="875">
        <v>8.2805484984287592</v>
      </c>
      <c r="X21" s="799">
        <v>8.6574983910065182</v>
      </c>
      <c r="Y21" s="559">
        <f t="shared" si="0"/>
        <v>4.5999999999999996</v>
      </c>
      <c r="Z21" s="388"/>
      <c r="AA21" s="564"/>
      <c r="AB21" s="560"/>
      <c r="AC21" s="798"/>
      <c r="AD21" s="799"/>
      <c r="AE21" s="560"/>
      <c r="AF21" s="800">
        <v>4.1929999999999996</v>
      </c>
      <c r="AG21" s="799">
        <v>8</v>
      </c>
      <c r="AH21" s="559">
        <f>IF(AF21=0, "    ---- ", IF(ABS(ROUND(100/AF21*AG21-100,1))&lt;999,ROUND(100/AF21*AG21-100,1),IF(ROUND(100/AF21*AG21-100,1)&gt;999,999,-999)))</f>
        <v>90.8</v>
      </c>
      <c r="AI21" s="868">
        <v>54.7</v>
      </c>
      <c r="AJ21" s="799">
        <f>1+29</f>
        <v>30</v>
      </c>
      <c r="AK21" s="559">
        <f>IF(AI21=0, "    ---- ", IF(ABS(ROUND(100/AI21*AJ21-100,1))&lt;999,ROUND(100/AI21*AJ21-100,1),IF(ROUND(100/AI21*AJ21-100,1)&gt;999,999,-999)))</f>
        <v>-45.2</v>
      </c>
      <c r="AL21" s="561">
        <f t="shared" si="3"/>
        <v>92.173548498428758</v>
      </c>
      <c r="AM21" s="561">
        <f t="shared" si="3"/>
        <v>118.62449839100651</v>
      </c>
      <c r="AN21" s="559">
        <f t="shared" si="1"/>
        <v>28.7</v>
      </c>
      <c r="AO21" s="561">
        <f t="shared" ref="AO21:AP22" si="5">+B21+E21+H21+K21+N21+Q21+T21+W21+Z21+AC21+AF21+AI21</f>
        <v>92.173548498428758</v>
      </c>
      <c r="AP21" s="561">
        <f t="shared" si="5"/>
        <v>118.62449839100651</v>
      </c>
      <c r="AQ21" s="559">
        <f t="shared" si="2"/>
        <v>28.7</v>
      </c>
    </row>
    <row r="22" spans="1:43" s="529" customFormat="1" ht="18.75" customHeight="1" x14ac:dyDescent="0.3">
      <c r="A22" s="556" t="s">
        <v>383</v>
      </c>
      <c r="B22" s="800"/>
      <c r="C22" s="799"/>
      <c r="D22" s="558"/>
      <c r="E22" s="800">
        <v>13</v>
      </c>
      <c r="F22" s="799">
        <v>38.752000000000002</v>
      </c>
      <c r="G22" s="559">
        <f>IF(E22=0, "    ---- ", IF(ABS(ROUND(100/E22*F22-100,1))&lt;999,ROUND(100/E22*F22-100,1),IF(ROUND(100/E22*F22-100,1)&gt;999,999,-999)))</f>
        <v>198.1</v>
      </c>
      <c r="H22" s="900"/>
      <c r="I22" s="564"/>
      <c r="J22" s="560"/>
      <c r="K22" s="798"/>
      <c r="L22" s="799"/>
      <c r="M22" s="558"/>
      <c r="N22" s="798"/>
      <c r="O22" s="799"/>
      <c r="P22" s="560"/>
      <c r="Q22" s="388"/>
      <c r="R22" s="564"/>
      <c r="S22" s="560"/>
      <c r="T22" s="798"/>
      <c r="U22" s="799"/>
      <c r="V22" s="560"/>
      <c r="W22" s="875">
        <v>4.4587568837693308</v>
      </c>
      <c r="X22" s="799">
        <v>4.661729902849661</v>
      </c>
      <c r="Y22" s="559">
        <f t="shared" si="0"/>
        <v>4.5999999999999996</v>
      </c>
      <c r="Z22" s="388"/>
      <c r="AA22" s="564"/>
      <c r="AB22" s="560"/>
      <c r="AC22" s="798"/>
      <c r="AD22" s="799"/>
      <c r="AE22" s="560"/>
      <c r="AF22" s="800">
        <v>2.258</v>
      </c>
      <c r="AG22" s="799">
        <v>5</v>
      </c>
      <c r="AH22" s="559">
        <f>IF(AF22=0, "    ---- ", IF(ABS(ROUND(100/AF22*AG22-100,1))&lt;999,ROUND(100/AF22*AG22-100,1),IF(ROUND(100/AF22*AG22-100,1)&gt;999,999,-999)))</f>
        <v>121.4</v>
      </c>
      <c r="AI22" s="868">
        <v>25.3</v>
      </c>
      <c r="AJ22" s="799">
        <v>16</v>
      </c>
      <c r="AK22" s="559">
        <f>IF(AI22=0, "    ---- ", IF(ABS(ROUND(100/AI22*AJ22-100,1))&lt;999,ROUND(100/AI22*AJ22-100,1),IF(ROUND(100/AI22*AJ22-100,1)&gt;999,999,-999)))</f>
        <v>-36.799999999999997</v>
      </c>
      <c r="AL22" s="561">
        <f t="shared" si="3"/>
        <v>45.016756883769332</v>
      </c>
      <c r="AM22" s="561">
        <f t="shared" si="3"/>
        <v>64.413729902849667</v>
      </c>
      <c r="AN22" s="559">
        <f t="shared" si="1"/>
        <v>43.1</v>
      </c>
      <c r="AO22" s="561">
        <f t="shared" si="5"/>
        <v>45.016756883769332</v>
      </c>
      <c r="AP22" s="561">
        <f t="shared" si="5"/>
        <v>64.413729902849667</v>
      </c>
      <c r="AQ22" s="559">
        <f t="shared" si="2"/>
        <v>43.1</v>
      </c>
    </row>
    <row r="23" spans="1:43" s="529" customFormat="1" ht="18.75" customHeight="1" x14ac:dyDescent="0.3">
      <c r="A23" s="550" t="s">
        <v>384</v>
      </c>
      <c r="B23" s="801"/>
      <c r="C23" s="797"/>
      <c r="D23" s="552"/>
      <c r="E23" s="801"/>
      <c r="F23" s="797"/>
      <c r="G23" s="554"/>
      <c r="H23" s="899"/>
      <c r="I23" s="566"/>
      <c r="J23" s="553"/>
      <c r="K23" s="796"/>
      <c r="L23" s="797"/>
      <c r="M23" s="552"/>
      <c r="N23" s="796"/>
      <c r="O23" s="797"/>
      <c r="P23" s="553"/>
      <c r="Q23" s="551"/>
      <c r="R23" s="566"/>
      <c r="S23" s="553"/>
      <c r="T23" s="796"/>
      <c r="U23" s="797"/>
      <c r="V23" s="553"/>
      <c r="W23" s="874"/>
      <c r="X23" s="797"/>
      <c r="Y23" s="554"/>
      <c r="Z23" s="551"/>
      <c r="AA23" s="566"/>
      <c r="AB23" s="553"/>
      <c r="AC23" s="796"/>
      <c r="AD23" s="797"/>
      <c r="AE23" s="553"/>
      <c r="AF23" s="801"/>
      <c r="AG23" s="797"/>
      <c r="AH23" s="554"/>
      <c r="AI23" s="869"/>
      <c r="AJ23" s="797"/>
      <c r="AK23" s="554"/>
      <c r="AL23" s="562"/>
      <c r="AM23" s="562"/>
      <c r="AN23" s="554"/>
      <c r="AO23" s="562"/>
      <c r="AP23" s="562"/>
      <c r="AQ23" s="554"/>
    </row>
    <row r="24" spans="1:43" s="529" customFormat="1" ht="18.75" customHeight="1" x14ac:dyDescent="0.3">
      <c r="A24" s="556" t="s">
        <v>373</v>
      </c>
      <c r="B24" s="800"/>
      <c r="C24" s="799"/>
      <c r="D24" s="558"/>
      <c r="E24" s="800">
        <v>99</v>
      </c>
      <c r="F24" s="799">
        <v>234</v>
      </c>
      <c r="G24" s="559">
        <f t="shared" ref="G24:G29" si="6">IF(E24=0, "    ---- ", IF(ABS(ROUND(100/E24*F24-100,1))&lt;999,ROUND(100/E24*F24-100,1),IF(ROUND(100/E24*F24-100,1)&gt;999,999,-999)))</f>
        <v>136.4</v>
      </c>
      <c r="H24" s="900"/>
      <c r="I24" s="564"/>
      <c r="J24" s="560"/>
      <c r="K24" s="798"/>
      <c r="L24" s="799"/>
      <c r="M24" s="558"/>
      <c r="N24" s="798"/>
      <c r="O24" s="799"/>
      <c r="P24" s="560"/>
      <c r="Q24" s="388"/>
      <c r="R24" s="564"/>
      <c r="S24" s="560"/>
      <c r="T24" s="798"/>
      <c r="U24" s="799"/>
      <c r="V24" s="560"/>
      <c r="W24" s="875">
        <v>3.0897052080371297</v>
      </c>
      <c r="X24" s="799">
        <v>1.5672749133162218</v>
      </c>
      <c r="Y24" s="559">
        <f t="shared" si="0"/>
        <v>-49.3</v>
      </c>
      <c r="Z24" s="388"/>
      <c r="AA24" s="564"/>
      <c r="AB24" s="560"/>
      <c r="AC24" s="798"/>
      <c r="AD24" s="799"/>
      <c r="AE24" s="560"/>
      <c r="AF24" s="800">
        <v>3.2</v>
      </c>
      <c r="AG24" s="799">
        <v>-11</v>
      </c>
      <c r="AH24" s="559">
        <f>IF(AF24=0, "    ---- ", IF(ABS(ROUND(100/AF24*AG24-100,1))&lt;999,ROUND(100/AF24*AG24-100,1),IF(ROUND(100/AF24*AG24-100,1)&gt;999,999,-999)))</f>
        <v>-443.8</v>
      </c>
      <c r="AI24" s="868"/>
      <c r="AJ24" s="799"/>
      <c r="AK24" s="560"/>
      <c r="AL24" s="561">
        <f t="shared" si="3"/>
        <v>105.28970520803713</v>
      </c>
      <c r="AM24" s="561">
        <f t="shared" si="3"/>
        <v>224.56727491331623</v>
      </c>
      <c r="AN24" s="559">
        <f t="shared" ref="AN24:AN87" si="7">IF(AL24=0, "    ---- ", IF(ABS(ROUND(100/AL24*AM24-100,1))&lt;999,ROUND(100/AL24*AM24-100,1),IF(ROUND(100/AL24*AM24-100,1)&gt;999,999,-999)))</f>
        <v>113.3</v>
      </c>
      <c r="AO24" s="561">
        <f t="shared" ref="AO24:AP32" si="8">+B24+E24+H24+K24+N24+Q24+T24+W24+Z24+AC24+AF24+AI24</f>
        <v>105.28970520803713</v>
      </c>
      <c r="AP24" s="561">
        <f t="shared" si="8"/>
        <v>224.56727491331623</v>
      </c>
      <c r="AQ24" s="559">
        <f t="shared" ref="AQ24:AQ87" si="9">IF(AO24=0, "    ---- ", IF(ABS(ROUND(100/AO24*AP24-100,1))&lt;999,ROUND(100/AO24*AP24-100,1),IF(ROUND(100/AO24*AP24-100,1)&gt;999,999,-999)))</f>
        <v>113.3</v>
      </c>
    </row>
    <row r="25" spans="1:43" s="529" customFormat="1" ht="18.75" customHeight="1" x14ac:dyDescent="0.3">
      <c r="A25" s="556" t="s">
        <v>374</v>
      </c>
      <c r="B25" s="800"/>
      <c r="C25" s="799"/>
      <c r="D25" s="558"/>
      <c r="E25" s="800">
        <v>-1</v>
      </c>
      <c r="F25" s="799">
        <v>-0.45100000000000001</v>
      </c>
      <c r="G25" s="559">
        <f t="shared" si="6"/>
        <v>-54.9</v>
      </c>
      <c r="H25" s="900"/>
      <c r="I25" s="564"/>
      <c r="J25" s="560"/>
      <c r="K25" s="798"/>
      <c r="L25" s="799"/>
      <c r="M25" s="558"/>
      <c r="N25" s="798"/>
      <c r="O25" s="799"/>
      <c r="P25" s="560"/>
      <c r="Q25" s="388"/>
      <c r="R25" s="564"/>
      <c r="S25" s="560"/>
      <c r="T25" s="798"/>
      <c r="U25" s="799"/>
      <c r="V25" s="560"/>
      <c r="W25" s="875">
        <v>-3.0847415134355027</v>
      </c>
      <c r="X25" s="799">
        <v>-1.5628504978480231</v>
      </c>
      <c r="Y25" s="559">
        <f t="shared" si="0"/>
        <v>-49.3</v>
      </c>
      <c r="Z25" s="388"/>
      <c r="AA25" s="564"/>
      <c r="AB25" s="560"/>
      <c r="AC25" s="798"/>
      <c r="AD25" s="799"/>
      <c r="AE25" s="560"/>
      <c r="AF25" s="800"/>
      <c r="AG25" s="799"/>
      <c r="AH25" s="559"/>
      <c r="AI25" s="868"/>
      <c r="AJ25" s="799"/>
      <c r="AK25" s="560"/>
      <c r="AL25" s="561">
        <f t="shared" si="3"/>
        <v>-4.0847415134355032</v>
      </c>
      <c r="AM25" s="561">
        <f t="shared" si="3"/>
        <v>-2.0138504978480229</v>
      </c>
      <c r="AN25" s="559">
        <f t="shared" si="7"/>
        <v>-50.7</v>
      </c>
      <c r="AO25" s="561">
        <f t="shared" si="8"/>
        <v>-4.0847415134355032</v>
      </c>
      <c r="AP25" s="561">
        <f t="shared" si="8"/>
        <v>-2.0138504978480229</v>
      </c>
      <c r="AQ25" s="559">
        <f t="shared" si="9"/>
        <v>-50.7</v>
      </c>
    </row>
    <row r="26" spans="1:43" s="529" customFormat="1" ht="18.75" customHeight="1" x14ac:dyDescent="0.3">
      <c r="A26" s="556" t="s">
        <v>375</v>
      </c>
      <c r="B26" s="800"/>
      <c r="C26" s="799"/>
      <c r="D26" s="558"/>
      <c r="E26" s="800">
        <v>34</v>
      </c>
      <c r="F26" s="799">
        <v>42.237000000000002</v>
      </c>
      <c r="G26" s="559">
        <f t="shared" si="6"/>
        <v>24.2</v>
      </c>
      <c r="H26" s="900"/>
      <c r="I26" s="564"/>
      <c r="J26" s="560"/>
      <c r="K26" s="798"/>
      <c r="L26" s="799"/>
      <c r="M26" s="558"/>
      <c r="N26" s="798"/>
      <c r="O26" s="799"/>
      <c r="P26" s="560"/>
      <c r="Q26" s="388"/>
      <c r="R26" s="564"/>
      <c r="S26" s="560"/>
      <c r="T26" s="798"/>
      <c r="U26" s="799"/>
      <c r="V26" s="560"/>
      <c r="W26" s="875">
        <v>-1.0843117004939289</v>
      </c>
      <c r="X26" s="799">
        <v>-1.4499785369937859</v>
      </c>
      <c r="Y26" s="559">
        <f t="shared" si="0"/>
        <v>33.700000000000003</v>
      </c>
      <c r="Z26" s="388"/>
      <c r="AA26" s="564"/>
      <c r="AB26" s="560"/>
      <c r="AC26" s="798"/>
      <c r="AD26" s="799"/>
      <c r="AE26" s="560"/>
      <c r="AF26" s="800">
        <v>-0.29499999999999998</v>
      </c>
      <c r="AG26" s="799">
        <v>3</v>
      </c>
      <c r="AH26" s="559">
        <f>IF(AF26=0, "    ---- ", IF(ABS(ROUND(100/AF26*AG26-100,1))&lt;999,ROUND(100/AF26*AG26-100,1),IF(ROUND(100/AF26*AG26-100,1)&gt;999,999,-999)))</f>
        <v>-999</v>
      </c>
      <c r="AI26" s="868"/>
      <c r="AJ26" s="799"/>
      <c r="AK26" s="560"/>
      <c r="AL26" s="561">
        <f t="shared" si="3"/>
        <v>32.620688299506071</v>
      </c>
      <c r="AM26" s="561">
        <f t="shared" si="3"/>
        <v>43.787021463006219</v>
      </c>
      <c r="AN26" s="559">
        <f t="shared" si="7"/>
        <v>34.200000000000003</v>
      </c>
      <c r="AO26" s="561">
        <f t="shared" si="8"/>
        <v>32.620688299506071</v>
      </c>
      <c r="AP26" s="561">
        <f t="shared" si="8"/>
        <v>43.787021463006219</v>
      </c>
      <c r="AQ26" s="559">
        <f t="shared" si="9"/>
        <v>34.200000000000003</v>
      </c>
    </row>
    <row r="27" spans="1:43" s="529" customFormat="1" ht="18.75" customHeight="1" x14ac:dyDescent="0.3">
      <c r="A27" s="556" t="s">
        <v>376</v>
      </c>
      <c r="B27" s="800"/>
      <c r="C27" s="799"/>
      <c r="D27" s="558"/>
      <c r="E27" s="800">
        <v>1</v>
      </c>
      <c r="F27" s="799">
        <v>0.51800000000000002</v>
      </c>
      <c r="G27" s="559">
        <f t="shared" si="6"/>
        <v>-48.2</v>
      </c>
      <c r="H27" s="900"/>
      <c r="I27" s="564"/>
      <c r="J27" s="560"/>
      <c r="K27" s="798"/>
      <c r="L27" s="799"/>
      <c r="M27" s="558"/>
      <c r="N27" s="798"/>
      <c r="O27" s="799"/>
      <c r="P27" s="560"/>
      <c r="Q27" s="388"/>
      <c r="R27" s="564"/>
      <c r="S27" s="560"/>
      <c r="T27" s="798"/>
      <c r="U27" s="799"/>
      <c r="V27" s="560"/>
      <c r="W27" s="875"/>
      <c r="X27" s="799">
        <v>0</v>
      </c>
      <c r="Y27" s="559"/>
      <c r="Z27" s="388"/>
      <c r="AA27" s="564"/>
      <c r="AB27" s="560"/>
      <c r="AC27" s="798"/>
      <c r="AD27" s="799"/>
      <c r="AE27" s="560"/>
      <c r="AF27" s="800"/>
      <c r="AG27" s="799"/>
      <c r="AH27" s="559"/>
      <c r="AI27" s="868"/>
      <c r="AJ27" s="799"/>
      <c r="AK27" s="560"/>
      <c r="AL27" s="561">
        <f t="shared" si="3"/>
        <v>1</v>
      </c>
      <c r="AM27" s="561">
        <f t="shared" si="3"/>
        <v>0.51800000000000002</v>
      </c>
      <c r="AN27" s="559">
        <f t="shared" si="7"/>
        <v>-48.2</v>
      </c>
      <c r="AO27" s="561">
        <f t="shared" si="8"/>
        <v>1</v>
      </c>
      <c r="AP27" s="561">
        <f t="shared" si="8"/>
        <v>0.51800000000000002</v>
      </c>
      <c r="AQ27" s="559">
        <f t="shared" si="9"/>
        <v>-48.2</v>
      </c>
    </row>
    <row r="28" spans="1:43" s="529" customFormat="1" ht="18.75" customHeight="1" x14ac:dyDescent="0.3">
      <c r="A28" s="556" t="s">
        <v>377</v>
      </c>
      <c r="B28" s="800"/>
      <c r="C28" s="799"/>
      <c r="D28" s="558"/>
      <c r="E28" s="800">
        <v>71</v>
      </c>
      <c r="F28" s="799">
        <v>64.242999999999995</v>
      </c>
      <c r="G28" s="559">
        <f t="shared" si="6"/>
        <v>-9.5</v>
      </c>
      <c r="H28" s="900"/>
      <c r="I28" s="564"/>
      <c r="J28" s="560"/>
      <c r="K28" s="798"/>
      <c r="L28" s="799"/>
      <c r="M28" s="558"/>
      <c r="N28" s="798"/>
      <c r="O28" s="799"/>
      <c r="P28" s="560"/>
      <c r="Q28" s="388"/>
      <c r="R28" s="564"/>
      <c r="S28" s="560"/>
      <c r="T28" s="798"/>
      <c r="U28" s="799"/>
      <c r="V28" s="560"/>
      <c r="W28" s="875">
        <v>0.41302044999999993</v>
      </c>
      <c r="X28" s="799">
        <v>0.31797740000000002</v>
      </c>
      <c r="Y28" s="559">
        <f t="shared" si="0"/>
        <v>-23</v>
      </c>
      <c r="Z28" s="388"/>
      <c r="AA28" s="564"/>
      <c r="AB28" s="560"/>
      <c r="AC28" s="798"/>
      <c r="AD28" s="799"/>
      <c r="AE28" s="560"/>
      <c r="AF28" s="800"/>
      <c r="AG28" s="799"/>
      <c r="AH28" s="559"/>
      <c r="AI28" s="868"/>
      <c r="AJ28" s="799"/>
      <c r="AK28" s="560"/>
      <c r="AL28" s="561">
        <f t="shared" si="3"/>
        <v>71.413020450000005</v>
      </c>
      <c r="AM28" s="561">
        <f t="shared" si="3"/>
        <v>64.560977399999999</v>
      </c>
      <c r="AN28" s="559">
        <f t="shared" si="7"/>
        <v>-9.6</v>
      </c>
      <c r="AO28" s="561">
        <f t="shared" si="8"/>
        <v>71.413020450000005</v>
      </c>
      <c r="AP28" s="561">
        <f t="shared" si="8"/>
        <v>64.560977399999999</v>
      </c>
      <c r="AQ28" s="559">
        <f t="shared" si="9"/>
        <v>-9.6</v>
      </c>
    </row>
    <row r="29" spans="1:43" s="529" customFormat="1" ht="18.75" customHeight="1" x14ac:dyDescent="0.3">
      <c r="A29" s="556" t="s">
        <v>378</v>
      </c>
      <c r="B29" s="800"/>
      <c r="C29" s="799"/>
      <c r="D29" s="558"/>
      <c r="E29" s="800">
        <v>114</v>
      </c>
      <c r="F29" s="799">
        <v>100.473</v>
      </c>
      <c r="G29" s="559">
        <f t="shared" si="6"/>
        <v>-11.9</v>
      </c>
      <c r="H29" s="900"/>
      <c r="I29" s="564"/>
      <c r="J29" s="560"/>
      <c r="K29" s="798"/>
      <c r="L29" s="799"/>
      <c r="M29" s="558"/>
      <c r="N29" s="798"/>
      <c r="O29" s="799"/>
      <c r="P29" s="560"/>
      <c r="Q29" s="388"/>
      <c r="R29" s="564"/>
      <c r="S29" s="560"/>
      <c r="T29" s="798"/>
      <c r="U29" s="799"/>
      <c r="V29" s="560"/>
      <c r="W29" s="875">
        <v>2.5323999999999999E-2</v>
      </c>
      <c r="X29" s="799">
        <v>2.3185600000000001E-2</v>
      </c>
      <c r="Y29" s="559">
        <f t="shared" si="0"/>
        <v>-8.4</v>
      </c>
      <c r="Z29" s="388"/>
      <c r="AA29" s="564"/>
      <c r="AB29" s="560"/>
      <c r="AC29" s="798"/>
      <c r="AD29" s="799"/>
      <c r="AE29" s="560"/>
      <c r="AF29" s="800">
        <v>0</v>
      </c>
      <c r="AG29" s="799"/>
      <c r="AH29" s="559" t="str">
        <f>IF(AF29=0, "    ---- ", IF(ABS(ROUND(100/AF29*AG29-100,1))&lt;999,ROUND(100/AF29*AG29-100,1),IF(ROUND(100/AF29*AG29-100,1)&gt;999,999,-999)))</f>
        <v xml:space="preserve">    ---- </v>
      </c>
      <c r="AI29" s="868"/>
      <c r="AJ29" s="799"/>
      <c r="AK29" s="560"/>
      <c r="AL29" s="561">
        <f t="shared" si="3"/>
        <v>114.025324</v>
      </c>
      <c r="AM29" s="561">
        <f t="shared" si="3"/>
        <v>100.4961856</v>
      </c>
      <c r="AN29" s="559">
        <f t="shared" si="7"/>
        <v>-11.9</v>
      </c>
      <c r="AO29" s="561">
        <f t="shared" si="8"/>
        <v>114.025324</v>
      </c>
      <c r="AP29" s="561">
        <f t="shared" si="8"/>
        <v>100.4961856</v>
      </c>
      <c r="AQ29" s="559">
        <f t="shared" si="9"/>
        <v>-11.9</v>
      </c>
    </row>
    <row r="30" spans="1:43" s="529" customFormat="1" ht="18.75" customHeight="1" x14ac:dyDescent="0.3">
      <c r="A30" s="556" t="s">
        <v>379</v>
      </c>
      <c r="B30" s="800"/>
      <c r="C30" s="799"/>
      <c r="D30" s="558"/>
      <c r="E30" s="800"/>
      <c r="F30" s="799"/>
      <c r="G30" s="559"/>
      <c r="H30" s="900"/>
      <c r="I30" s="564"/>
      <c r="J30" s="560"/>
      <c r="K30" s="798"/>
      <c r="L30" s="799"/>
      <c r="M30" s="558"/>
      <c r="N30" s="798"/>
      <c r="O30" s="799"/>
      <c r="P30" s="560"/>
      <c r="Q30" s="388"/>
      <c r="R30" s="564"/>
      <c r="S30" s="560"/>
      <c r="T30" s="798"/>
      <c r="U30" s="799"/>
      <c r="V30" s="560"/>
      <c r="W30" s="875">
        <v>1.1344866677583128E-7</v>
      </c>
      <c r="X30" s="799">
        <v>1.2946588224403003E-7</v>
      </c>
      <c r="Y30" s="559"/>
      <c r="Z30" s="388"/>
      <c r="AA30" s="564"/>
      <c r="AB30" s="560"/>
      <c r="AC30" s="798"/>
      <c r="AD30" s="799"/>
      <c r="AE30" s="560"/>
      <c r="AF30" s="800"/>
      <c r="AG30" s="799"/>
      <c r="AH30" s="559"/>
      <c r="AI30" s="868"/>
      <c r="AJ30" s="799"/>
      <c r="AK30" s="560"/>
      <c r="AL30" s="561">
        <f t="shared" si="3"/>
        <v>1.1344866677583128E-7</v>
      </c>
      <c r="AM30" s="561">
        <f t="shared" si="3"/>
        <v>1.2946588224403003E-7</v>
      </c>
      <c r="AN30" s="559">
        <f t="shared" si="7"/>
        <v>14.1</v>
      </c>
      <c r="AO30" s="561">
        <f t="shared" si="8"/>
        <v>1.1344866677583128E-7</v>
      </c>
      <c r="AP30" s="561">
        <f t="shared" si="8"/>
        <v>1.2946588224403003E-7</v>
      </c>
      <c r="AQ30" s="559">
        <f t="shared" si="9"/>
        <v>14.1</v>
      </c>
    </row>
    <row r="31" spans="1:43" s="529" customFormat="1" ht="18.75" customHeight="1" x14ac:dyDescent="0.3">
      <c r="A31" s="556" t="s">
        <v>380</v>
      </c>
      <c r="B31" s="800"/>
      <c r="C31" s="799"/>
      <c r="D31" s="564"/>
      <c r="E31" s="800"/>
      <c r="F31" s="799"/>
      <c r="G31" s="559"/>
      <c r="H31" s="901"/>
      <c r="I31" s="564"/>
      <c r="J31" s="565"/>
      <c r="K31" s="800"/>
      <c r="L31" s="799"/>
      <c r="M31" s="564"/>
      <c r="N31" s="800"/>
      <c r="O31" s="799"/>
      <c r="P31" s="565"/>
      <c r="Q31" s="388"/>
      <c r="R31" s="564"/>
      <c r="S31" s="565"/>
      <c r="T31" s="800"/>
      <c r="U31" s="799"/>
      <c r="V31" s="565"/>
      <c r="W31" s="875"/>
      <c r="X31" s="799">
        <v>0</v>
      </c>
      <c r="Y31" s="559"/>
      <c r="Z31" s="388"/>
      <c r="AA31" s="564"/>
      <c r="AB31" s="565"/>
      <c r="AC31" s="800"/>
      <c r="AD31" s="799"/>
      <c r="AE31" s="565"/>
      <c r="AF31" s="800"/>
      <c r="AG31" s="799"/>
      <c r="AH31" s="559"/>
      <c r="AI31" s="868"/>
      <c r="AJ31" s="799"/>
      <c r="AK31" s="565"/>
      <c r="AL31" s="561">
        <f t="shared" si="3"/>
        <v>0</v>
      </c>
      <c r="AM31" s="561">
        <f t="shared" si="3"/>
        <v>0</v>
      </c>
      <c r="AN31" s="565" t="str">
        <f t="shared" si="7"/>
        <v xml:space="preserve">    ---- </v>
      </c>
      <c r="AO31" s="561">
        <f t="shared" si="8"/>
        <v>0</v>
      </c>
      <c r="AP31" s="561">
        <f t="shared" si="8"/>
        <v>0</v>
      </c>
      <c r="AQ31" s="559" t="str">
        <f t="shared" si="9"/>
        <v xml:space="preserve">    ---- </v>
      </c>
    </row>
    <row r="32" spans="1:43" s="563" customFormat="1" ht="18.75" customHeight="1" x14ac:dyDescent="0.3">
      <c r="A32" s="550" t="s">
        <v>381</v>
      </c>
      <c r="B32" s="801"/>
      <c r="C32" s="797"/>
      <c r="D32" s="566"/>
      <c r="E32" s="801">
        <v>318</v>
      </c>
      <c r="F32" s="797">
        <f>SUM(F24:F29)+F31</f>
        <v>441.02</v>
      </c>
      <c r="G32" s="554">
        <f>IF(E32=0, "    ---- ", IF(ABS(ROUND(100/E32*F32-100,1))&lt;999,ROUND(100/E32*F32-100,1),IF(ROUND(100/E32*F32-100,1)&gt;999,999,-999)))</f>
        <v>38.700000000000003</v>
      </c>
      <c r="H32" s="902"/>
      <c r="I32" s="566"/>
      <c r="J32" s="567"/>
      <c r="K32" s="801"/>
      <c r="L32" s="797"/>
      <c r="M32" s="566"/>
      <c r="N32" s="801"/>
      <c r="O32" s="797"/>
      <c r="P32" s="567"/>
      <c r="Q32" s="551"/>
      <c r="R32" s="566"/>
      <c r="S32" s="567"/>
      <c r="T32" s="801"/>
      <c r="U32" s="797"/>
      <c r="V32" s="567"/>
      <c r="W32" s="874">
        <v>-0.64100355589230207</v>
      </c>
      <c r="X32" s="797">
        <f>SUM(X24:X29)+X31</f>
        <v>-1.1043911215255873</v>
      </c>
      <c r="Y32" s="554">
        <f t="shared" si="0"/>
        <v>72.3</v>
      </c>
      <c r="Z32" s="551"/>
      <c r="AA32" s="566"/>
      <c r="AB32" s="567"/>
      <c r="AC32" s="801"/>
      <c r="AD32" s="797">
        <f>SUM(AD24:AD29)+AD31</f>
        <v>0</v>
      </c>
      <c r="AE32" s="567"/>
      <c r="AF32" s="801">
        <v>2.9050000000000002</v>
      </c>
      <c r="AG32" s="797">
        <f>SUM(AG24:AG29)+AG31</f>
        <v>-8</v>
      </c>
      <c r="AH32" s="554">
        <f>IF(AF32=0, "    ---- ", IF(ABS(ROUND(100/AF32*AG32-100,1))&lt;999,ROUND(100/AF32*AG32-100,1),IF(ROUND(100/AF32*AG32-100,1)&gt;999,999,-999)))</f>
        <v>-375.4</v>
      </c>
      <c r="AI32" s="869"/>
      <c r="AJ32" s="797"/>
      <c r="AK32" s="567"/>
      <c r="AL32" s="562">
        <f t="shared" si="3"/>
        <v>320.26399644410765</v>
      </c>
      <c r="AM32" s="562">
        <f t="shared" si="3"/>
        <v>431.91560887847442</v>
      </c>
      <c r="AN32" s="567">
        <f t="shared" si="7"/>
        <v>34.9</v>
      </c>
      <c r="AO32" s="554">
        <f t="shared" si="8"/>
        <v>320.26399644410765</v>
      </c>
      <c r="AP32" s="943">
        <f t="shared" si="8"/>
        <v>431.91560887847442</v>
      </c>
      <c r="AQ32" s="567">
        <f t="shared" si="9"/>
        <v>34.9</v>
      </c>
    </row>
    <row r="33" spans="1:44" s="529" customFormat="1" ht="18.75" customHeight="1" x14ac:dyDescent="0.3">
      <c r="A33" s="556" t="s">
        <v>382</v>
      </c>
      <c r="B33" s="800"/>
      <c r="C33" s="799"/>
      <c r="D33" s="564"/>
      <c r="E33" s="800">
        <v>107</v>
      </c>
      <c r="F33" s="799">
        <v>251.345</v>
      </c>
      <c r="G33" s="559">
        <f>IF(E33=0, "    ---- ", IF(ABS(ROUND(100/E33*F33-100,1))&lt;999,ROUND(100/E33*F33-100,1),IF(ROUND(100/E33*F33-100,1)&gt;999,999,-999)))</f>
        <v>134.9</v>
      </c>
      <c r="H33" s="901"/>
      <c r="I33" s="564"/>
      <c r="J33" s="565"/>
      <c r="K33" s="800"/>
      <c r="L33" s="799"/>
      <c r="M33" s="564"/>
      <c r="N33" s="800"/>
      <c r="O33" s="799"/>
      <c r="P33" s="565"/>
      <c r="Q33" s="388"/>
      <c r="R33" s="564"/>
      <c r="S33" s="565"/>
      <c r="T33" s="800"/>
      <c r="U33" s="799"/>
      <c r="V33" s="565"/>
      <c r="W33" s="875">
        <v>1.2662E-2</v>
      </c>
      <c r="X33" s="799">
        <v>1.1592800000000047E-2</v>
      </c>
      <c r="Y33" s="559">
        <f t="shared" si="0"/>
        <v>-8.4</v>
      </c>
      <c r="Z33" s="388"/>
      <c r="AA33" s="564"/>
      <c r="AB33" s="565"/>
      <c r="AC33" s="800"/>
      <c r="AD33" s="799"/>
      <c r="AE33" s="565"/>
      <c r="AF33" s="800"/>
      <c r="AG33" s="799"/>
      <c r="AH33" s="559"/>
      <c r="AI33" s="868"/>
      <c r="AJ33" s="799"/>
      <c r="AK33" s="565"/>
      <c r="AL33" s="561">
        <f t="shared" si="3"/>
        <v>107.01266200000001</v>
      </c>
      <c r="AM33" s="561">
        <f t="shared" si="3"/>
        <v>251.35659279999999</v>
      </c>
      <c r="AN33" s="565">
        <f t="shared" si="7"/>
        <v>134.9</v>
      </c>
      <c r="AO33" s="561">
        <f t="shared" ref="AO33:AP34" si="10">+B33+E33+H33+K33+N33+Q33+T33+W33+Z33+AC33+AF33+AI33</f>
        <v>107.01266200000001</v>
      </c>
      <c r="AP33" s="561">
        <f t="shared" si="10"/>
        <v>251.35659279999999</v>
      </c>
      <c r="AQ33" s="565">
        <f t="shared" si="9"/>
        <v>134.9</v>
      </c>
    </row>
    <row r="34" spans="1:44" s="529" customFormat="1" ht="18.75" customHeight="1" x14ac:dyDescent="0.3">
      <c r="A34" s="556" t="s">
        <v>383</v>
      </c>
      <c r="B34" s="800"/>
      <c r="C34" s="799"/>
      <c r="D34" s="564"/>
      <c r="E34" s="800">
        <v>211</v>
      </c>
      <c r="F34" s="799">
        <v>189.67400000000001</v>
      </c>
      <c r="G34" s="559">
        <f>IF(E34=0, "    ---- ", IF(ABS(ROUND(100/E34*F34-100,1))&lt;999,ROUND(100/E34*F34-100,1),IF(ROUND(100/E34*F34-100,1)&gt;999,999,-999)))</f>
        <v>-10.1</v>
      </c>
      <c r="H34" s="901"/>
      <c r="I34" s="564"/>
      <c r="J34" s="565"/>
      <c r="K34" s="800"/>
      <c r="L34" s="799"/>
      <c r="M34" s="564"/>
      <c r="N34" s="800"/>
      <c r="O34" s="799"/>
      <c r="P34" s="565"/>
      <c r="Q34" s="388"/>
      <c r="R34" s="564"/>
      <c r="S34" s="565"/>
      <c r="T34" s="800"/>
      <c r="U34" s="799"/>
      <c r="V34" s="565"/>
      <c r="W34" s="875">
        <v>-0.65366555589230191</v>
      </c>
      <c r="X34" s="799">
        <v>-1.1159839215255869</v>
      </c>
      <c r="Y34" s="559">
        <f t="shared" si="0"/>
        <v>70.7</v>
      </c>
      <c r="Z34" s="388"/>
      <c r="AA34" s="564"/>
      <c r="AB34" s="565"/>
      <c r="AC34" s="800"/>
      <c r="AD34" s="799"/>
      <c r="AE34" s="565"/>
      <c r="AF34" s="800">
        <v>2.9049999999999998</v>
      </c>
      <c r="AG34" s="799">
        <v>-8</v>
      </c>
      <c r="AH34" s="559">
        <f>IF(AF34=0, "    ---- ", IF(ABS(ROUND(100/AF34*AG34-100,1))&lt;999,ROUND(100/AF34*AG34-100,1),IF(ROUND(100/AF34*AG34-100,1)&gt;999,999,-999)))</f>
        <v>-375.4</v>
      </c>
      <c r="AI34" s="868"/>
      <c r="AJ34" s="799"/>
      <c r="AK34" s="565"/>
      <c r="AL34" s="561">
        <f t="shared" si="3"/>
        <v>213.2513344441077</v>
      </c>
      <c r="AM34" s="561">
        <f t="shared" si="3"/>
        <v>180.55801607847442</v>
      </c>
      <c r="AN34" s="565">
        <f t="shared" si="7"/>
        <v>-15.3</v>
      </c>
      <c r="AO34" s="561">
        <f t="shared" si="10"/>
        <v>213.2513344441077</v>
      </c>
      <c r="AP34" s="561">
        <f t="shared" si="10"/>
        <v>180.55801607847442</v>
      </c>
      <c r="AQ34" s="565">
        <f t="shared" si="9"/>
        <v>-15.3</v>
      </c>
    </row>
    <row r="35" spans="1:44" s="529" customFormat="1" ht="18.75" customHeight="1" x14ac:dyDescent="0.3">
      <c r="A35" s="550" t="s">
        <v>385</v>
      </c>
      <c r="B35" s="800"/>
      <c r="C35" s="799"/>
      <c r="D35" s="564"/>
      <c r="E35" s="800"/>
      <c r="F35" s="799"/>
      <c r="G35" s="559"/>
      <c r="H35" s="901"/>
      <c r="I35" s="564"/>
      <c r="J35" s="565"/>
      <c r="K35" s="800"/>
      <c r="L35" s="799"/>
      <c r="M35" s="564"/>
      <c r="N35" s="800"/>
      <c r="O35" s="799"/>
      <c r="P35" s="565"/>
      <c r="Q35" s="388"/>
      <c r="R35" s="564"/>
      <c r="S35" s="565"/>
      <c r="T35" s="800"/>
      <c r="U35" s="799"/>
      <c r="V35" s="565"/>
      <c r="W35" s="875"/>
      <c r="X35" s="799"/>
      <c r="Y35" s="559"/>
      <c r="Z35" s="388"/>
      <c r="AA35" s="564"/>
      <c r="AB35" s="565"/>
      <c r="AC35" s="800"/>
      <c r="AD35" s="799"/>
      <c r="AE35" s="565"/>
      <c r="AF35" s="800"/>
      <c r="AG35" s="799"/>
      <c r="AH35" s="559"/>
      <c r="AI35" s="868"/>
      <c r="AJ35" s="799"/>
      <c r="AK35" s="565"/>
      <c r="AL35" s="564"/>
      <c r="AM35" s="564"/>
      <c r="AN35" s="565"/>
      <c r="AO35" s="564"/>
      <c r="AP35" s="564"/>
      <c r="AQ35" s="565"/>
    </row>
    <row r="36" spans="1:44" s="529" customFormat="1" ht="18.75" customHeight="1" x14ac:dyDescent="0.3">
      <c r="A36" s="556" t="s">
        <v>373</v>
      </c>
      <c r="B36" s="800">
        <v>2.7450000000000001</v>
      </c>
      <c r="C36" s="799">
        <v>7.99</v>
      </c>
      <c r="D36" s="564"/>
      <c r="E36" s="800"/>
      <c r="F36" s="799"/>
      <c r="G36" s="559"/>
      <c r="H36" s="901">
        <v>2.61</v>
      </c>
      <c r="I36" s="564">
        <v>26.471</v>
      </c>
      <c r="J36" s="565">
        <f>IF(H36=0, "    ---- ", IF(ABS(ROUND(100/H36*I36-100,1))&lt;999,ROUND(100/H36*I36-100,1),IF(ROUND(100/H36*I36-100,1)&gt;999,999,-999)))</f>
        <v>914.2</v>
      </c>
      <c r="K36" s="800"/>
      <c r="L36" s="799"/>
      <c r="M36" s="564"/>
      <c r="N36" s="800">
        <v>1.0700256165292501</v>
      </c>
      <c r="O36" s="799">
        <v>1.54741415520647</v>
      </c>
      <c r="P36" s="565"/>
      <c r="Q36" s="388"/>
      <c r="R36" s="564"/>
      <c r="S36" s="565"/>
      <c r="T36" s="800"/>
      <c r="U36" s="799"/>
      <c r="V36" s="565"/>
      <c r="W36" s="875">
        <v>10.414160174379047</v>
      </c>
      <c r="X36" s="799">
        <v>7.6692853218966253</v>
      </c>
      <c r="Y36" s="559">
        <f t="shared" si="0"/>
        <v>-26.4</v>
      </c>
      <c r="Z36" s="388"/>
      <c r="AA36" s="564"/>
      <c r="AB36" s="565"/>
      <c r="AC36" s="800"/>
      <c r="AD36" s="799"/>
      <c r="AE36" s="565"/>
      <c r="AF36" s="800">
        <v>36.948</v>
      </c>
      <c r="AG36" s="799">
        <v>8</v>
      </c>
      <c r="AH36" s="559">
        <f>IF(AF36=0, "    ---- ", IF(ABS(ROUND(100/AF36*AG36-100,1))&lt;999,ROUND(100/AF36*AG36-100,1),IF(ROUND(100/AF36*AG36-100,1)&gt;999,999,-999)))</f>
        <v>-78.3</v>
      </c>
      <c r="AI36" s="868">
        <v>-2.9</v>
      </c>
      <c r="AJ36" s="799">
        <v>8</v>
      </c>
      <c r="AK36" s="565">
        <f>IF(AI36=0, "    ---- ", IF(ABS(ROUND(100/AI36*AJ36-100,1))&lt;999,ROUND(100/AI36*AJ36-100,1),IF(ROUND(100/AI36*AJ36-100,1)&gt;999,999,-999)))</f>
        <v>-375.9</v>
      </c>
      <c r="AL36" s="561">
        <f t="shared" si="3"/>
        <v>49.817160174379048</v>
      </c>
      <c r="AM36" s="561">
        <f t="shared" si="3"/>
        <v>58.130285321896622</v>
      </c>
      <c r="AN36" s="565">
        <f t="shared" si="7"/>
        <v>16.7</v>
      </c>
      <c r="AO36" s="561">
        <f t="shared" ref="AO36:AP44" si="11">+B36+E36+H36+K36+N36+Q36+T36+W36+Z36+AC36+AF36+AI36</f>
        <v>50.887185790908298</v>
      </c>
      <c r="AP36" s="561">
        <f t="shared" si="11"/>
        <v>59.67769947710309</v>
      </c>
      <c r="AQ36" s="565">
        <f t="shared" si="9"/>
        <v>17.3</v>
      </c>
    </row>
    <row r="37" spans="1:44" s="529" customFormat="1" ht="18.75" customHeight="1" x14ac:dyDescent="0.3">
      <c r="A37" s="556" t="s">
        <v>374</v>
      </c>
      <c r="B37" s="800"/>
      <c r="C37" s="799"/>
      <c r="D37" s="564"/>
      <c r="E37" s="800"/>
      <c r="F37" s="799"/>
      <c r="G37" s="559"/>
      <c r="H37" s="901"/>
      <c r="I37" s="564"/>
      <c r="J37" s="565"/>
      <c r="K37" s="800"/>
      <c r="L37" s="799"/>
      <c r="M37" s="564"/>
      <c r="N37" s="800"/>
      <c r="O37" s="799"/>
      <c r="P37" s="565"/>
      <c r="Q37" s="388"/>
      <c r="R37" s="564"/>
      <c r="S37" s="565"/>
      <c r="T37" s="800"/>
      <c r="U37" s="799"/>
      <c r="V37" s="565"/>
      <c r="W37" s="800"/>
      <c r="X37" s="799"/>
      <c r="Y37" s="559"/>
      <c r="Z37" s="388"/>
      <c r="AA37" s="564"/>
      <c r="AB37" s="565"/>
      <c r="AC37" s="800"/>
      <c r="AD37" s="799"/>
      <c r="AE37" s="565"/>
      <c r="AF37" s="800"/>
      <c r="AG37" s="799"/>
      <c r="AH37" s="559"/>
      <c r="AI37" s="868"/>
      <c r="AJ37" s="799"/>
      <c r="AK37" s="565"/>
      <c r="AL37" s="561">
        <f t="shared" si="3"/>
        <v>0</v>
      </c>
      <c r="AM37" s="561">
        <f t="shared" si="3"/>
        <v>0</v>
      </c>
      <c r="AN37" s="565" t="str">
        <f t="shared" si="7"/>
        <v xml:space="preserve">    ---- </v>
      </c>
      <c r="AO37" s="561">
        <f t="shared" si="11"/>
        <v>0</v>
      </c>
      <c r="AP37" s="561">
        <f t="shared" si="11"/>
        <v>0</v>
      </c>
      <c r="AQ37" s="565" t="str">
        <f t="shared" si="9"/>
        <v xml:space="preserve">    ---- </v>
      </c>
    </row>
    <row r="38" spans="1:44" s="529" customFormat="1" ht="18.75" customHeight="1" x14ac:dyDescent="0.3">
      <c r="A38" s="556" t="s">
        <v>375</v>
      </c>
      <c r="B38" s="800">
        <v>-17.242999999999999</v>
      </c>
      <c r="C38" s="799">
        <v>-3.13</v>
      </c>
      <c r="D38" s="564">
        <f>IF(B38=0, "    ---- ", IF(ABS(ROUND(100/B38*C38-100,1))&lt;999,ROUND(100/B38*C38-100,1),IF(ROUND(100/B38*C38-100,1)&gt;999,999,-999)))</f>
        <v>-81.8</v>
      </c>
      <c r="E38" s="800"/>
      <c r="F38" s="799"/>
      <c r="G38" s="559"/>
      <c r="H38" s="901">
        <v>-7.53</v>
      </c>
      <c r="I38" s="564">
        <v>-8.8390000000000004</v>
      </c>
      <c r="J38" s="565">
        <f>IF(H38=0, "    ---- ", IF(ABS(ROUND(100/H38*I38-100,1))&lt;999,ROUND(100/H38*I38-100,1),IF(ROUND(100/H38*I38-100,1)&gt;999,999,-999)))</f>
        <v>17.399999999999999</v>
      </c>
      <c r="K38" s="800"/>
      <c r="L38" s="799"/>
      <c r="M38" s="564"/>
      <c r="N38" s="800">
        <v>6.6679656970702599</v>
      </c>
      <c r="O38" s="799">
        <v>6.2042582400142798</v>
      </c>
      <c r="P38" s="565">
        <f>IF(N38=0, "    ---- ", IF(ABS(ROUND(100/N38*O38-100,1))&lt;999,ROUND(100/N38*O38-100,1),IF(ROUND(100/N38*O38-100,1)&gt;999,999,-999)))</f>
        <v>-7</v>
      </c>
      <c r="Q38" s="388"/>
      <c r="R38" s="564"/>
      <c r="S38" s="565"/>
      <c r="T38" s="800"/>
      <c r="U38" s="799"/>
      <c r="V38" s="565"/>
      <c r="W38" s="800">
        <v>23.25413997439432</v>
      </c>
      <c r="X38" s="799">
        <v>11.240384462455586</v>
      </c>
      <c r="Y38" s="559">
        <f t="shared" si="0"/>
        <v>-51.7</v>
      </c>
      <c r="Z38" s="388"/>
      <c r="AA38" s="564"/>
      <c r="AB38" s="565"/>
      <c r="AC38" s="800"/>
      <c r="AD38" s="799"/>
      <c r="AE38" s="565"/>
      <c r="AF38" s="800">
        <v>56.323999999999998</v>
      </c>
      <c r="AG38" s="799">
        <v>47</v>
      </c>
      <c r="AH38" s="559">
        <f>IF(AF38=0, "    ---- ", IF(ABS(ROUND(100/AF38*AG38-100,1))&lt;999,ROUND(100/AF38*AG38-100,1),IF(ROUND(100/AF38*AG38-100,1)&gt;999,999,-999)))</f>
        <v>-16.600000000000001</v>
      </c>
      <c r="AI38" s="868">
        <v>-28.9</v>
      </c>
      <c r="AJ38" s="799">
        <v>-37</v>
      </c>
      <c r="AK38" s="565">
        <f>IF(AI38=0, "    ---- ", IF(ABS(ROUND(100/AI38*AJ38-100,1))&lt;999,ROUND(100/AI38*AJ38-100,1),IF(ROUND(100/AI38*AJ38-100,1)&gt;999,999,-999)))</f>
        <v>28</v>
      </c>
      <c r="AL38" s="561">
        <f t="shared" si="3"/>
        <v>25.905139974394324</v>
      </c>
      <c r="AM38" s="561">
        <f t="shared" si="3"/>
        <v>9.2713844624555861</v>
      </c>
      <c r="AN38" s="565">
        <f t="shared" si="7"/>
        <v>-64.2</v>
      </c>
      <c r="AO38" s="561">
        <f t="shared" si="11"/>
        <v>32.573105671464582</v>
      </c>
      <c r="AP38" s="561">
        <f t="shared" si="11"/>
        <v>15.475642702469862</v>
      </c>
      <c r="AQ38" s="565">
        <f t="shared" si="9"/>
        <v>-52.5</v>
      </c>
    </row>
    <row r="39" spans="1:44" s="529" customFormat="1" ht="18.75" customHeight="1" x14ac:dyDescent="0.3">
      <c r="A39" s="556" t="s">
        <v>376</v>
      </c>
      <c r="B39" s="800"/>
      <c r="C39" s="799"/>
      <c r="D39" s="564"/>
      <c r="E39" s="800"/>
      <c r="F39" s="799"/>
      <c r="G39" s="559"/>
      <c r="H39" s="901"/>
      <c r="I39" s="564"/>
      <c r="J39" s="565"/>
      <c r="K39" s="800"/>
      <c r="L39" s="799"/>
      <c r="M39" s="564"/>
      <c r="N39" s="800"/>
      <c r="O39" s="799"/>
      <c r="P39" s="565"/>
      <c r="Q39" s="388"/>
      <c r="R39" s="564"/>
      <c r="S39" s="565"/>
      <c r="T39" s="800"/>
      <c r="U39" s="799"/>
      <c r="V39" s="565"/>
      <c r="W39" s="800"/>
      <c r="X39" s="799"/>
      <c r="Y39" s="559"/>
      <c r="Z39" s="388"/>
      <c r="AA39" s="564"/>
      <c r="AB39" s="565"/>
      <c r="AC39" s="800"/>
      <c r="AD39" s="799"/>
      <c r="AE39" s="565"/>
      <c r="AF39" s="800"/>
      <c r="AG39" s="799"/>
      <c r="AH39" s="559"/>
      <c r="AI39" s="868"/>
      <c r="AJ39" s="799"/>
      <c r="AK39" s="565"/>
      <c r="AL39" s="561">
        <f t="shared" si="3"/>
        <v>0</v>
      </c>
      <c r="AM39" s="561">
        <f t="shared" si="3"/>
        <v>0</v>
      </c>
      <c r="AN39" s="565" t="str">
        <f t="shared" si="7"/>
        <v xml:space="preserve">    ---- </v>
      </c>
      <c r="AO39" s="561">
        <f t="shared" si="11"/>
        <v>0</v>
      </c>
      <c r="AP39" s="561">
        <f t="shared" si="11"/>
        <v>0</v>
      </c>
      <c r="AQ39" s="565" t="str">
        <f t="shared" si="9"/>
        <v xml:space="preserve">    ---- </v>
      </c>
    </row>
    <row r="40" spans="1:44" s="529" customFormat="1" ht="18.75" customHeight="1" x14ac:dyDescent="0.3">
      <c r="A40" s="556" t="s">
        <v>377</v>
      </c>
      <c r="B40" s="800"/>
      <c r="C40" s="799"/>
      <c r="D40" s="564"/>
      <c r="E40" s="800"/>
      <c r="F40" s="799"/>
      <c r="G40" s="559"/>
      <c r="H40" s="901"/>
      <c r="I40" s="564"/>
      <c r="J40" s="565"/>
      <c r="K40" s="800"/>
      <c r="L40" s="799"/>
      <c r="M40" s="564"/>
      <c r="N40" s="800"/>
      <c r="O40" s="799"/>
      <c r="P40" s="565"/>
      <c r="Q40" s="388"/>
      <c r="R40" s="564"/>
      <c r="S40" s="565"/>
      <c r="T40" s="800"/>
      <c r="U40" s="799"/>
      <c r="V40" s="565"/>
      <c r="W40" s="800"/>
      <c r="X40" s="799"/>
      <c r="Y40" s="559"/>
      <c r="Z40" s="388"/>
      <c r="AA40" s="564"/>
      <c r="AB40" s="565"/>
      <c r="AC40" s="800"/>
      <c r="AD40" s="799"/>
      <c r="AE40" s="565"/>
      <c r="AF40" s="800"/>
      <c r="AG40" s="799"/>
      <c r="AH40" s="559"/>
      <c r="AI40" s="868"/>
      <c r="AJ40" s="799"/>
      <c r="AK40" s="565"/>
      <c r="AL40" s="561">
        <f t="shared" si="3"/>
        <v>0</v>
      </c>
      <c r="AM40" s="561">
        <f t="shared" si="3"/>
        <v>0</v>
      </c>
      <c r="AN40" s="565" t="str">
        <f t="shared" si="7"/>
        <v xml:space="preserve">    ---- </v>
      </c>
      <c r="AO40" s="561">
        <f t="shared" si="11"/>
        <v>0</v>
      </c>
      <c r="AP40" s="561">
        <f t="shared" si="11"/>
        <v>0</v>
      </c>
      <c r="AQ40" s="565" t="str">
        <f t="shared" si="9"/>
        <v xml:space="preserve">    ---- </v>
      </c>
    </row>
    <row r="41" spans="1:44" s="529" customFormat="1" ht="18.75" customHeight="1" x14ac:dyDescent="0.3">
      <c r="A41" s="556" t="s">
        <v>378</v>
      </c>
      <c r="B41" s="800">
        <v>56.186999999999998</v>
      </c>
      <c r="C41" s="799">
        <v>105.88500000000001</v>
      </c>
      <c r="D41" s="564">
        <f>IF(B41=0, "    ---- ", IF(ABS(ROUND(100/B41*C41-100,1))&lt;999,ROUND(100/B41*C41-100,1),IF(ROUND(100/B41*C41-100,1)&gt;999,999,-999)))</f>
        <v>88.5</v>
      </c>
      <c r="E41" s="800"/>
      <c r="F41" s="799"/>
      <c r="G41" s="559"/>
      <c r="H41" s="901">
        <v>74.47</v>
      </c>
      <c r="I41" s="564">
        <v>89.103999999999999</v>
      </c>
      <c r="J41" s="565">
        <f>IF(H41=0, "    ---- ", IF(ABS(ROUND(100/H41*I41-100,1))&lt;999,ROUND(100/H41*I41-100,1),IF(ROUND(100/H41*I41-100,1)&gt;999,999,-999)))</f>
        <v>19.7</v>
      </c>
      <c r="K41" s="800"/>
      <c r="L41" s="799"/>
      <c r="M41" s="564"/>
      <c r="N41" s="800">
        <v>18.157448800000001</v>
      </c>
      <c r="O41" s="799">
        <v>1.2838224</v>
      </c>
      <c r="P41" s="565">
        <f>IF(N41=0, "    ---- ", IF(ABS(ROUND(100/N41*O41-100,1))&lt;999,ROUND(100/N41*O41-100,1),IF(ROUND(100/N41*O41-100,1)&gt;999,999,-999)))</f>
        <v>-92.9</v>
      </c>
      <c r="Q41" s="388"/>
      <c r="R41" s="564"/>
      <c r="S41" s="565"/>
      <c r="T41" s="800"/>
      <c r="U41" s="799"/>
      <c r="V41" s="565"/>
      <c r="W41" s="800">
        <v>158.19030542296235</v>
      </c>
      <c r="X41" s="799">
        <v>146.87909971187491</v>
      </c>
      <c r="Y41" s="559">
        <f t="shared" si="0"/>
        <v>-7.2</v>
      </c>
      <c r="Z41" s="388"/>
      <c r="AA41" s="564"/>
      <c r="AB41" s="565"/>
      <c r="AC41" s="800"/>
      <c r="AD41" s="799"/>
      <c r="AE41" s="565"/>
      <c r="AF41" s="800">
        <v>326.3</v>
      </c>
      <c r="AG41" s="799">
        <v>371</v>
      </c>
      <c r="AH41" s="559">
        <f>IF(AF41=0, "    ---- ", IF(ABS(ROUND(100/AF41*AG41-100,1))&lt;999,ROUND(100/AF41*AG41-100,1),IF(ROUND(100/AF41*AG41-100,1)&gt;999,999,-999)))</f>
        <v>13.7</v>
      </c>
      <c r="AI41" s="868">
        <v>188.3</v>
      </c>
      <c r="AJ41" s="799">
        <v>191</v>
      </c>
      <c r="AK41" s="565">
        <f>IF(AI41=0, "    ---- ", IF(ABS(ROUND(100/AI41*AJ41-100,1))&lt;999,ROUND(100/AI41*AJ41-100,1),IF(ROUND(100/AI41*AJ41-100,1)&gt;999,999,-999)))</f>
        <v>1.4</v>
      </c>
      <c r="AL41" s="561">
        <f t="shared" si="3"/>
        <v>803.44730542296224</v>
      </c>
      <c r="AM41" s="561">
        <f t="shared" si="3"/>
        <v>903.86809971187495</v>
      </c>
      <c r="AN41" s="565">
        <f t="shared" si="7"/>
        <v>12.5</v>
      </c>
      <c r="AO41" s="561">
        <f t="shared" si="11"/>
        <v>821.60475422296236</v>
      </c>
      <c r="AP41" s="561">
        <f t="shared" si="11"/>
        <v>905.15192211187491</v>
      </c>
      <c r="AQ41" s="565">
        <f t="shared" si="9"/>
        <v>10.199999999999999</v>
      </c>
    </row>
    <row r="42" spans="1:44" s="529" customFormat="1" ht="18.75" customHeight="1" x14ac:dyDescent="0.3">
      <c r="A42" s="556" t="s">
        <v>379</v>
      </c>
      <c r="B42" s="800"/>
      <c r="C42" s="799"/>
      <c r="D42" s="564"/>
      <c r="E42" s="800"/>
      <c r="F42" s="799"/>
      <c r="G42" s="559"/>
      <c r="H42" s="901"/>
      <c r="I42" s="564"/>
      <c r="J42" s="565"/>
      <c r="K42" s="800"/>
      <c r="L42" s="799"/>
      <c r="M42" s="564"/>
      <c r="N42" s="800"/>
      <c r="O42" s="799"/>
      <c r="P42" s="565"/>
      <c r="Q42" s="388"/>
      <c r="R42" s="564"/>
      <c r="S42" s="565"/>
      <c r="T42" s="800"/>
      <c r="U42" s="799"/>
      <c r="V42" s="565"/>
      <c r="W42" s="800"/>
      <c r="X42" s="799"/>
      <c r="Y42" s="559"/>
      <c r="Z42" s="388"/>
      <c r="AA42" s="564"/>
      <c r="AB42" s="565"/>
      <c r="AC42" s="800"/>
      <c r="AD42" s="799"/>
      <c r="AE42" s="565"/>
      <c r="AF42" s="800"/>
      <c r="AG42" s="799"/>
      <c r="AH42" s="559"/>
      <c r="AI42" s="868"/>
      <c r="AJ42" s="799"/>
      <c r="AK42" s="565"/>
      <c r="AL42" s="561">
        <f t="shared" si="3"/>
        <v>0</v>
      </c>
      <c r="AM42" s="561">
        <f t="shared" si="3"/>
        <v>0</v>
      </c>
      <c r="AN42" s="565" t="str">
        <f t="shared" si="7"/>
        <v xml:space="preserve">    ---- </v>
      </c>
      <c r="AO42" s="561">
        <f t="shared" si="11"/>
        <v>0</v>
      </c>
      <c r="AP42" s="561">
        <f t="shared" si="11"/>
        <v>0</v>
      </c>
      <c r="AQ42" s="565" t="str">
        <f t="shared" si="9"/>
        <v xml:space="preserve">    ---- </v>
      </c>
    </row>
    <row r="43" spans="1:44" s="529" customFormat="1" ht="18.75" customHeight="1" x14ac:dyDescent="0.3">
      <c r="A43" s="556" t="s">
        <v>380</v>
      </c>
      <c r="B43" s="800"/>
      <c r="C43" s="799"/>
      <c r="D43" s="564"/>
      <c r="E43" s="800"/>
      <c r="F43" s="799"/>
      <c r="G43" s="559"/>
      <c r="H43" s="901"/>
      <c r="I43" s="564">
        <v>1.7999999999999999E-2</v>
      </c>
      <c r="J43" s="565" t="str">
        <f>IF(H43=0, "    ---- ", IF(ABS(ROUND(100/H43*I43-100,1))&lt;999,ROUND(100/H43*I43-100,1),IF(ROUND(100/H43*I43-100,1)&gt;999,999,-999)))</f>
        <v xml:space="preserve">    ---- </v>
      </c>
      <c r="K43" s="800"/>
      <c r="L43" s="799"/>
      <c r="M43" s="564"/>
      <c r="N43" s="800"/>
      <c r="O43" s="799"/>
      <c r="P43" s="565"/>
      <c r="Q43" s="388"/>
      <c r="R43" s="564"/>
      <c r="S43" s="565"/>
      <c r="T43" s="800"/>
      <c r="U43" s="799"/>
      <c r="V43" s="565"/>
      <c r="W43" s="800"/>
      <c r="X43" s="799"/>
      <c r="Y43" s="559"/>
      <c r="Z43" s="388"/>
      <c r="AA43" s="564"/>
      <c r="AB43" s="565"/>
      <c r="AC43" s="800"/>
      <c r="AD43" s="799"/>
      <c r="AE43" s="565"/>
      <c r="AF43" s="800"/>
      <c r="AG43" s="799"/>
      <c r="AH43" s="559"/>
      <c r="AI43" s="868"/>
      <c r="AJ43" s="799"/>
      <c r="AK43" s="565"/>
      <c r="AL43" s="561">
        <f t="shared" si="3"/>
        <v>0</v>
      </c>
      <c r="AM43" s="561">
        <f t="shared" si="3"/>
        <v>1.7999999999999999E-2</v>
      </c>
      <c r="AN43" s="565" t="str">
        <f t="shared" si="7"/>
        <v xml:space="preserve">    ---- </v>
      </c>
      <c r="AO43" s="561">
        <f t="shared" si="11"/>
        <v>0</v>
      </c>
      <c r="AP43" s="561">
        <f t="shared" si="11"/>
        <v>1.7999999999999999E-2</v>
      </c>
      <c r="AQ43" s="565" t="str">
        <f t="shared" si="9"/>
        <v xml:space="preserve">    ---- </v>
      </c>
    </row>
    <row r="44" spans="1:44" s="563" customFormat="1" ht="18.75" customHeight="1" x14ac:dyDescent="0.3">
      <c r="A44" s="550" t="s">
        <v>381</v>
      </c>
      <c r="B44" s="801">
        <v>41.689</v>
      </c>
      <c r="C44" s="797">
        <f>SUM(C36:C41)+C43</f>
        <v>110.745</v>
      </c>
      <c r="D44" s="566">
        <f>IF(B44=0, "    ---- ", IF(ABS(ROUND(100/B44*C44-100,1))&lt;999,ROUND(100/B44*C44-100,1),IF(ROUND(100/B44*C44-100,1)&gt;999,999,-999)))</f>
        <v>165.6</v>
      </c>
      <c r="E44" s="801"/>
      <c r="F44" s="797"/>
      <c r="G44" s="554"/>
      <c r="H44" s="566">
        <f>SUM(H36:H41)+H43</f>
        <v>69.55</v>
      </c>
      <c r="I44" s="566">
        <f>SUM(I36:I41)+I43</f>
        <v>106.75399999999999</v>
      </c>
      <c r="J44" s="567">
        <f>IF(H44=0, "    ---- ", IF(ABS(ROUND(100/H44*I44-100,1))&lt;999,ROUND(100/H44*I44-100,1),IF(ROUND(100/H44*I44-100,1)&gt;999,999,-999)))</f>
        <v>53.5</v>
      </c>
      <c r="K44" s="801"/>
      <c r="L44" s="797"/>
      <c r="M44" s="566"/>
      <c r="N44" s="801">
        <v>25.895440113599513</v>
      </c>
      <c r="O44" s="797">
        <f>SUM(O36:O41)+O43</f>
        <v>9.0354947952207496</v>
      </c>
      <c r="P44" s="567">
        <f>IF(N44=0, "    ---- ", IF(ABS(ROUND(100/N44*O44-100,1))&lt;999,ROUND(100/N44*O44-100,1),IF(ROUND(100/N44*O44-100,1)&gt;999,999,-999)))</f>
        <v>-65.099999999999994</v>
      </c>
      <c r="Q44" s="551"/>
      <c r="R44" s="566"/>
      <c r="S44" s="567"/>
      <c r="T44" s="801"/>
      <c r="U44" s="797"/>
      <c r="V44" s="567"/>
      <c r="W44" s="801">
        <v>191.85860557173572</v>
      </c>
      <c r="X44" s="797">
        <f>SUM(X36:X41)+X43</f>
        <v>165.78876949622713</v>
      </c>
      <c r="Y44" s="554">
        <f t="shared" si="0"/>
        <v>-13.6</v>
      </c>
      <c r="Z44" s="551"/>
      <c r="AA44" s="566"/>
      <c r="AB44" s="567"/>
      <c r="AC44" s="801"/>
      <c r="AD44" s="797"/>
      <c r="AE44" s="567"/>
      <c r="AF44" s="801">
        <v>419.572</v>
      </c>
      <c r="AG44" s="797">
        <f>SUM(AG36:AG41)+AG43</f>
        <v>426</v>
      </c>
      <c r="AH44" s="554">
        <f>IF(AF44=0, "    ---- ", IF(ABS(ROUND(100/AF44*AG44-100,1))&lt;999,ROUND(100/AF44*AG44-100,1),IF(ROUND(100/AF44*AG44-100,1)&gt;999,999,-999)))</f>
        <v>1.5</v>
      </c>
      <c r="AI44" s="869">
        <v>156.5</v>
      </c>
      <c r="AJ44" s="797">
        <f>SUM(AJ36:AJ41)+AJ43</f>
        <v>162</v>
      </c>
      <c r="AK44" s="567">
        <f>IF(AI44=0, "    ---- ", IF(ABS(ROUND(100/AI44*AJ44-100,1))&lt;999,ROUND(100/AI44*AJ44-100,1),IF(ROUND(100/AI44*AJ44-100,1)&gt;999,999,-999)))</f>
        <v>3.5</v>
      </c>
      <c r="AL44" s="562">
        <f t="shared" si="3"/>
        <v>879.1696055717357</v>
      </c>
      <c r="AM44" s="562">
        <f t="shared" si="3"/>
        <v>971.28776949622716</v>
      </c>
      <c r="AN44" s="567">
        <f t="shared" si="7"/>
        <v>10.5</v>
      </c>
      <c r="AO44" s="554">
        <f t="shared" si="11"/>
        <v>905.06504568533524</v>
      </c>
      <c r="AP44" s="943">
        <f t="shared" si="11"/>
        <v>980.32326429144791</v>
      </c>
      <c r="AQ44" s="567">
        <f t="shared" si="9"/>
        <v>8.3000000000000007</v>
      </c>
    </row>
    <row r="45" spans="1:44" s="529" customFormat="1" ht="18.75" customHeight="1" x14ac:dyDescent="0.3">
      <c r="A45" s="556" t="s">
        <v>382</v>
      </c>
      <c r="B45" s="800"/>
      <c r="C45" s="799"/>
      <c r="D45" s="564"/>
      <c r="E45" s="800"/>
      <c r="F45" s="799"/>
      <c r="G45" s="559"/>
      <c r="H45" s="901"/>
      <c r="I45" s="564"/>
      <c r="J45" s="565"/>
      <c r="K45" s="800"/>
      <c r="L45" s="799"/>
      <c r="M45" s="564"/>
      <c r="N45" s="800"/>
      <c r="O45" s="799"/>
      <c r="P45" s="565"/>
      <c r="Q45" s="388"/>
      <c r="R45" s="564"/>
      <c r="S45" s="565"/>
      <c r="T45" s="800"/>
      <c r="U45" s="799"/>
      <c r="V45" s="565"/>
      <c r="W45" s="800"/>
      <c r="X45" s="799"/>
      <c r="Y45" s="559"/>
      <c r="Z45" s="388"/>
      <c r="AA45" s="564"/>
      <c r="AB45" s="565"/>
      <c r="AC45" s="800"/>
      <c r="AD45" s="799"/>
      <c r="AE45" s="565"/>
      <c r="AF45" s="800"/>
      <c r="AG45" s="799"/>
      <c r="AH45" s="559"/>
      <c r="AI45" s="868"/>
      <c r="AJ45" s="799"/>
      <c r="AK45" s="565"/>
      <c r="AL45" s="561">
        <f t="shared" si="3"/>
        <v>0</v>
      </c>
      <c r="AM45" s="561">
        <f t="shared" si="3"/>
        <v>0</v>
      </c>
      <c r="AN45" s="565" t="str">
        <f t="shared" si="7"/>
        <v xml:space="preserve">    ---- </v>
      </c>
      <c r="AO45" s="554">
        <f t="shared" ref="AO45:AP46" si="12">+B45+E45+H45+K45+N45+Q45+T45+W45+Z45+AC45+AF45+AI45</f>
        <v>0</v>
      </c>
      <c r="AP45" s="943">
        <f t="shared" si="12"/>
        <v>0</v>
      </c>
      <c r="AQ45" s="565" t="str">
        <f t="shared" si="9"/>
        <v xml:space="preserve">    ---- </v>
      </c>
    </row>
    <row r="46" spans="1:44" s="529" customFormat="1" ht="18.75" customHeight="1" x14ac:dyDescent="0.3">
      <c r="A46" s="556" t="s">
        <v>383</v>
      </c>
      <c r="B46" s="800">
        <v>41.689</v>
      </c>
      <c r="C46" s="799">
        <v>110.744</v>
      </c>
      <c r="D46" s="564">
        <f>IF(B46=0, "    ---- ", IF(ABS(ROUND(100/B46*C46-100,1))&lt;999,ROUND(100/B46*C46-100,1),IF(ROUND(100/B46*C46-100,1)&gt;999,999,-999)))</f>
        <v>165.6</v>
      </c>
      <c r="E46" s="800"/>
      <c r="F46" s="799"/>
      <c r="G46" s="559"/>
      <c r="H46" s="901">
        <v>69.55</v>
      </c>
      <c r="I46" s="564">
        <v>106.753</v>
      </c>
      <c r="J46" s="565">
        <f>IF(H46=0, "    ---- ", IF(ABS(ROUND(100/H46*I46-100,1))&lt;999,ROUND(100/H46*I46-100,1),IF(ROUND(100/H46*I46-100,1)&gt;999,999,-999)))</f>
        <v>53.5</v>
      </c>
      <c r="K46" s="800"/>
      <c r="L46" s="799"/>
      <c r="M46" s="564"/>
      <c r="N46" s="800">
        <v>25.895440113599498</v>
      </c>
      <c r="O46" s="799">
        <v>9</v>
      </c>
      <c r="P46" s="565">
        <f>IF(N46=0, "    ---- ", IF(ABS(ROUND(100/N46*O46-100,1))&lt;999,ROUND(100/N46*O46-100,1),IF(ROUND(100/N46*O46-100,1)&gt;999,999,-999)))</f>
        <v>-65.2</v>
      </c>
      <c r="Q46" s="388"/>
      <c r="R46" s="564"/>
      <c r="S46" s="565"/>
      <c r="T46" s="800"/>
      <c r="U46" s="799"/>
      <c r="V46" s="565"/>
      <c r="W46" s="800">
        <v>191.85860557173572</v>
      </c>
      <c r="X46" s="799">
        <v>165.78876949622713</v>
      </c>
      <c r="Y46" s="559">
        <f t="shared" si="0"/>
        <v>-13.6</v>
      </c>
      <c r="Z46" s="388"/>
      <c r="AA46" s="564"/>
      <c r="AB46" s="565"/>
      <c r="AC46" s="800"/>
      <c r="AD46" s="799"/>
      <c r="AE46" s="565"/>
      <c r="AF46" s="800">
        <v>419.572</v>
      </c>
      <c r="AG46" s="799">
        <v>426</v>
      </c>
      <c r="AH46" s="559">
        <f>IF(AF46=0, "    ---- ", IF(ABS(ROUND(100/AF46*AG46-100,1))&lt;999,ROUND(100/AF46*AG46-100,1),IF(ROUND(100/AF46*AG46-100,1)&gt;999,999,-999)))</f>
        <v>1.5</v>
      </c>
      <c r="AI46" s="868">
        <v>156.5</v>
      </c>
      <c r="AJ46" s="799">
        <v>162</v>
      </c>
      <c r="AK46" s="565">
        <f>IF(AI46=0, "    ---- ", IF(ABS(ROUND(100/AI46*AJ46-100,1))&lt;999,ROUND(100/AI46*AJ46-100,1),IF(ROUND(100/AI46*AJ46-100,1)&gt;999,999,-999)))</f>
        <v>3.5</v>
      </c>
      <c r="AL46" s="561">
        <f t="shared" si="3"/>
        <v>879.1696055717357</v>
      </c>
      <c r="AM46" s="561">
        <f t="shared" si="3"/>
        <v>971.2857694962272</v>
      </c>
      <c r="AN46" s="565">
        <f t="shared" si="7"/>
        <v>10.5</v>
      </c>
      <c r="AO46" s="561">
        <f t="shared" si="12"/>
        <v>905.06504568533524</v>
      </c>
      <c r="AP46" s="561">
        <f t="shared" si="12"/>
        <v>980.2857694962272</v>
      </c>
      <c r="AQ46" s="565">
        <f t="shared" si="9"/>
        <v>8.3000000000000007</v>
      </c>
      <c r="AR46" s="563"/>
    </row>
    <row r="47" spans="1:44" s="563" customFormat="1" ht="18.75" customHeight="1" x14ac:dyDescent="0.3">
      <c r="A47" s="550" t="s">
        <v>386</v>
      </c>
      <c r="B47" s="801"/>
      <c r="C47" s="797"/>
      <c r="D47" s="566"/>
      <c r="E47" s="801"/>
      <c r="F47" s="797"/>
      <c r="G47" s="554"/>
      <c r="H47" s="902"/>
      <c r="I47" s="566"/>
      <c r="J47" s="567"/>
      <c r="K47" s="801"/>
      <c r="L47" s="797"/>
      <c r="M47" s="566"/>
      <c r="N47" s="801"/>
      <c r="O47" s="797"/>
      <c r="P47" s="567"/>
      <c r="Q47" s="551"/>
      <c r="R47" s="566"/>
      <c r="S47" s="567"/>
      <c r="T47" s="801"/>
      <c r="U47" s="797"/>
      <c r="V47" s="567"/>
      <c r="W47" s="801"/>
      <c r="X47" s="797"/>
      <c r="Y47" s="554"/>
      <c r="Z47" s="551"/>
      <c r="AA47" s="566"/>
      <c r="AB47" s="567"/>
      <c r="AC47" s="801"/>
      <c r="AD47" s="797"/>
      <c r="AE47" s="567"/>
      <c r="AF47" s="801"/>
      <c r="AG47" s="797"/>
      <c r="AH47" s="554"/>
      <c r="AI47" s="869"/>
      <c r="AJ47" s="797"/>
      <c r="AK47" s="567"/>
      <c r="AL47" s="566"/>
      <c r="AM47" s="566"/>
      <c r="AN47" s="567"/>
      <c r="AO47" s="566"/>
      <c r="AP47" s="566"/>
      <c r="AQ47" s="567"/>
    </row>
    <row r="48" spans="1:44" s="529" customFormat="1" ht="18.75" customHeight="1" x14ac:dyDescent="0.3">
      <c r="A48" s="556" t="s">
        <v>373</v>
      </c>
      <c r="B48" s="800"/>
      <c r="C48" s="799"/>
      <c r="D48" s="564"/>
      <c r="E48" s="800">
        <v>-235</v>
      </c>
      <c r="F48" s="799">
        <v>1058.3040000000001</v>
      </c>
      <c r="G48" s="559">
        <f>IF(E48=0, "    ---- ", IF(ABS(ROUND(100/E48*F48-100,1))&lt;999,ROUND(100/E48*F48-100,1),IF(ROUND(100/E48*F48-100,1)&gt;999,999,-999)))</f>
        <v>-550.29999999999995</v>
      </c>
      <c r="H48" s="901"/>
      <c r="I48" s="564"/>
      <c r="J48" s="565"/>
      <c r="K48" s="800"/>
      <c r="L48" s="799"/>
      <c r="M48" s="564"/>
      <c r="N48" s="800"/>
      <c r="O48" s="799"/>
      <c r="P48" s="565"/>
      <c r="Q48" s="388"/>
      <c r="R48" s="564"/>
      <c r="S48" s="565"/>
      <c r="T48" s="800"/>
      <c r="U48" s="799"/>
      <c r="V48" s="565"/>
      <c r="W48" s="800"/>
      <c r="X48" s="799"/>
      <c r="Y48" s="559"/>
      <c r="Z48" s="388"/>
      <c r="AA48" s="564"/>
      <c r="AB48" s="565"/>
      <c r="AC48" s="800"/>
      <c r="AD48" s="799"/>
      <c r="AE48" s="565"/>
      <c r="AF48" s="800">
        <v>0.221</v>
      </c>
      <c r="AG48" s="799">
        <v>1</v>
      </c>
      <c r="AH48" s="559">
        <f>IF(AF48=0, "    ---- ", IF(ABS(ROUND(100/AF48*AG48-100,1))&lt;999,ROUND(100/AF48*AG48-100,1),IF(ROUND(100/AF48*AG48-100,1)&gt;999,999,-999)))</f>
        <v>352.5</v>
      </c>
      <c r="AI48" s="868"/>
      <c r="AJ48" s="799"/>
      <c r="AK48" s="565"/>
      <c r="AL48" s="561">
        <f t="shared" si="3"/>
        <v>-234.779</v>
      </c>
      <c r="AM48" s="561">
        <f t="shared" si="3"/>
        <v>1059.3040000000001</v>
      </c>
      <c r="AN48" s="565">
        <f t="shared" si="7"/>
        <v>-551.20000000000005</v>
      </c>
      <c r="AO48" s="561">
        <f t="shared" ref="AO48:AP56" si="13">+B48+E48+H48+K48+N48+Q48+T48+W48+Z48+AC48+AF48+AI48</f>
        <v>-234.779</v>
      </c>
      <c r="AP48" s="561">
        <f t="shared" si="13"/>
        <v>1059.3040000000001</v>
      </c>
      <c r="AQ48" s="565">
        <f t="shared" si="9"/>
        <v>-551.20000000000005</v>
      </c>
    </row>
    <row r="49" spans="1:43" s="529" customFormat="1" ht="18.75" customHeight="1" x14ac:dyDescent="0.3">
      <c r="A49" s="556" t="s">
        <v>374</v>
      </c>
      <c r="B49" s="800"/>
      <c r="C49" s="799"/>
      <c r="D49" s="564"/>
      <c r="E49" s="800"/>
      <c r="F49" s="799"/>
      <c r="G49" s="559"/>
      <c r="H49" s="901"/>
      <c r="I49" s="564"/>
      <c r="J49" s="565"/>
      <c r="K49" s="800"/>
      <c r="L49" s="799"/>
      <c r="M49" s="564"/>
      <c r="N49" s="800"/>
      <c r="O49" s="799"/>
      <c r="P49" s="565"/>
      <c r="Q49" s="388"/>
      <c r="R49" s="564"/>
      <c r="S49" s="565"/>
      <c r="T49" s="800"/>
      <c r="U49" s="799"/>
      <c r="V49" s="565"/>
      <c r="W49" s="800"/>
      <c r="X49" s="799"/>
      <c r="Y49" s="559"/>
      <c r="Z49" s="388"/>
      <c r="AA49" s="564"/>
      <c r="AB49" s="565"/>
      <c r="AC49" s="800"/>
      <c r="AD49" s="799"/>
      <c r="AE49" s="565"/>
      <c r="AF49" s="800"/>
      <c r="AG49" s="799"/>
      <c r="AH49" s="559"/>
      <c r="AI49" s="868"/>
      <c r="AJ49" s="799"/>
      <c r="AK49" s="565"/>
      <c r="AL49" s="561">
        <f t="shared" si="3"/>
        <v>0</v>
      </c>
      <c r="AM49" s="561">
        <f t="shared" si="3"/>
        <v>0</v>
      </c>
      <c r="AN49" s="565" t="str">
        <f t="shared" si="7"/>
        <v xml:space="preserve">    ---- </v>
      </c>
      <c r="AO49" s="561">
        <f t="shared" si="13"/>
        <v>0</v>
      </c>
      <c r="AP49" s="561">
        <f t="shared" si="13"/>
        <v>0</v>
      </c>
      <c r="AQ49" s="565" t="str">
        <f t="shared" si="9"/>
        <v xml:space="preserve">    ---- </v>
      </c>
    </row>
    <row r="50" spans="1:43" s="529" customFormat="1" ht="18.75" customHeight="1" x14ac:dyDescent="0.3">
      <c r="A50" s="556" t="s">
        <v>375</v>
      </c>
      <c r="B50" s="800">
        <v>5.6289999999999996</v>
      </c>
      <c r="C50" s="799">
        <v>3.2890000000000001</v>
      </c>
      <c r="D50" s="564">
        <f>IF(B50=0, "    ---- ", IF(ABS(ROUND(100/B50*C50-100,1))&lt;999,ROUND(100/B50*C50-100,1),IF(ROUND(100/B50*C50-100,1)&gt;999,999,-999)))</f>
        <v>-41.6</v>
      </c>
      <c r="E50" s="800">
        <v>2</v>
      </c>
      <c r="F50" s="799">
        <v>4.468</v>
      </c>
      <c r="G50" s="559">
        <f>IF(E50=0, "    ---- ", IF(ABS(ROUND(100/E50*F50-100,1))&lt;999,ROUND(100/E50*F50-100,1),IF(ROUND(100/E50*F50-100,1)&gt;999,999,-999)))</f>
        <v>123.4</v>
      </c>
      <c r="H50" s="901"/>
      <c r="I50" s="564"/>
      <c r="J50" s="565"/>
      <c r="K50" s="800"/>
      <c r="L50" s="799"/>
      <c r="M50" s="564"/>
      <c r="N50" s="800"/>
      <c r="O50" s="799"/>
      <c r="P50" s="565"/>
      <c r="Q50" s="388"/>
      <c r="R50" s="564"/>
      <c r="S50" s="565"/>
      <c r="T50" s="800"/>
      <c r="U50" s="799"/>
      <c r="V50" s="565"/>
      <c r="W50" s="800">
        <v>110.20610510615782</v>
      </c>
      <c r="X50" s="799">
        <v>129.6638953553088</v>
      </c>
      <c r="Y50" s="559">
        <f t="shared" si="0"/>
        <v>17.7</v>
      </c>
      <c r="Z50" s="388"/>
      <c r="AA50" s="564"/>
      <c r="AB50" s="565"/>
      <c r="AC50" s="800">
        <v>-0.47195695882580002</v>
      </c>
      <c r="AD50" s="799"/>
      <c r="AE50" s="565">
        <f>IF(AC50=0, "    ---- ", IF(ABS(ROUND(100/AC50*AD50-100,1))&lt;999,ROUND(100/AC50*AD50-100,1),IF(ROUND(100/AC50*AD50-100,1)&gt;999,999,-999)))</f>
        <v>-100</v>
      </c>
      <c r="AF50" s="800">
        <v>-6.2939999999999996</v>
      </c>
      <c r="AG50" s="799">
        <v>-1</v>
      </c>
      <c r="AH50" s="559">
        <f>IF(AF50=0, "    ---- ", IF(ABS(ROUND(100/AF50*AG50-100,1))&lt;999,ROUND(100/AF50*AG50-100,1),IF(ROUND(100/AF50*AG50-100,1)&gt;999,999,-999)))</f>
        <v>-84.1</v>
      </c>
      <c r="AI50" s="868">
        <v>8.8000000000000007</v>
      </c>
      <c r="AJ50" s="799">
        <v>-7</v>
      </c>
      <c r="AK50" s="565">
        <f>IF(AI50=0, "    ---- ", IF(ABS(ROUND(100/AI50*AJ50-100,1))&lt;999,ROUND(100/AI50*AJ50-100,1),IF(ROUND(100/AI50*AJ50-100,1)&gt;999,999,-999)))</f>
        <v>-179.5</v>
      </c>
      <c r="AL50" s="561">
        <f t="shared" si="3"/>
        <v>120.34110510615783</v>
      </c>
      <c r="AM50" s="561">
        <f t="shared" si="3"/>
        <v>129.4208953553088</v>
      </c>
      <c r="AN50" s="565">
        <f t="shared" si="7"/>
        <v>7.5</v>
      </c>
      <c r="AO50" s="561">
        <f t="shared" si="13"/>
        <v>119.86914814733203</v>
      </c>
      <c r="AP50" s="561">
        <f t="shared" si="13"/>
        <v>129.4208953553088</v>
      </c>
      <c r="AQ50" s="565">
        <f t="shared" si="9"/>
        <v>8</v>
      </c>
    </row>
    <row r="51" spans="1:43" s="529" customFormat="1" ht="18.75" customHeight="1" x14ac:dyDescent="0.3">
      <c r="A51" s="556" t="s">
        <v>376</v>
      </c>
      <c r="B51" s="800"/>
      <c r="C51" s="799"/>
      <c r="D51" s="564"/>
      <c r="E51" s="800"/>
      <c r="F51" s="799"/>
      <c r="G51" s="559"/>
      <c r="H51" s="901"/>
      <c r="I51" s="564"/>
      <c r="J51" s="565"/>
      <c r="K51" s="800"/>
      <c r="L51" s="799"/>
      <c r="M51" s="564"/>
      <c r="N51" s="800"/>
      <c r="O51" s="799"/>
      <c r="P51" s="565"/>
      <c r="Q51" s="388"/>
      <c r="R51" s="564"/>
      <c r="S51" s="565"/>
      <c r="T51" s="800"/>
      <c r="U51" s="799"/>
      <c r="V51" s="565"/>
      <c r="W51" s="800"/>
      <c r="X51" s="799"/>
      <c r="Y51" s="559"/>
      <c r="Z51" s="388"/>
      <c r="AA51" s="564"/>
      <c r="AB51" s="565"/>
      <c r="AC51" s="800"/>
      <c r="AD51" s="799"/>
      <c r="AE51" s="565"/>
      <c r="AF51" s="800"/>
      <c r="AG51" s="799"/>
      <c r="AH51" s="559"/>
      <c r="AI51" s="868"/>
      <c r="AJ51" s="799"/>
      <c r="AK51" s="565"/>
      <c r="AL51" s="561">
        <f t="shared" si="3"/>
        <v>0</v>
      </c>
      <c r="AM51" s="561">
        <f t="shared" si="3"/>
        <v>0</v>
      </c>
      <c r="AN51" s="565" t="str">
        <f t="shared" si="7"/>
        <v xml:space="preserve">    ---- </v>
      </c>
      <c r="AO51" s="561">
        <f t="shared" si="13"/>
        <v>0</v>
      </c>
      <c r="AP51" s="561">
        <f t="shared" si="13"/>
        <v>0</v>
      </c>
      <c r="AQ51" s="565" t="str">
        <f t="shared" si="9"/>
        <v xml:space="preserve">    ---- </v>
      </c>
    </row>
    <row r="52" spans="1:43" s="529" customFormat="1" ht="18.75" customHeight="1" x14ac:dyDescent="0.3">
      <c r="A52" s="556" t="s">
        <v>377</v>
      </c>
      <c r="B52" s="800"/>
      <c r="C52" s="799"/>
      <c r="D52" s="564"/>
      <c r="E52" s="800"/>
      <c r="F52" s="799"/>
      <c r="G52" s="559"/>
      <c r="H52" s="901"/>
      <c r="I52" s="564"/>
      <c r="J52" s="565"/>
      <c r="K52" s="800"/>
      <c r="L52" s="799"/>
      <c r="M52" s="564"/>
      <c r="N52" s="800"/>
      <c r="O52" s="799"/>
      <c r="P52" s="565"/>
      <c r="Q52" s="388"/>
      <c r="R52" s="564"/>
      <c r="S52" s="565"/>
      <c r="T52" s="800"/>
      <c r="U52" s="799"/>
      <c r="V52" s="565"/>
      <c r="W52" s="800"/>
      <c r="X52" s="799"/>
      <c r="Y52" s="559"/>
      <c r="Z52" s="388"/>
      <c r="AA52" s="564"/>
      <c r="AB52" s="565"/>
      <c r="AC52" s="800"/>
      <c r="AD52" s="799"/>
      <c r="AE52" s="565"/>
      <c r="AF52" s="800"/>
      <c r="AG52" s="799"/>
      <c r="AH52" s="559"/>
      <c r="AI52" s="868"/>
      <c r="AJ52" s="799"/>
      <c r="AK52" s="565"/>
      <c r="AL52" s="561">
        <f t="shared" si="3"/>
        <v>0</v>
      </c>
      <c r="AM52" s="561">
        <f t="shared" si="3"/>
        <v>0</v>
      </c>
      <c r="AN52" s="565" t="str">
        <f t="shared" si="7"/>
        <v xml:space="preserve">    ---- </v>
      </c>
      <c r="AO52" s="561">
        <f t="shared" si="13"/>
        <v>0</v>
      </c>
      <c r="AP52" s="561">
        <f t="shared" si="13"/>
        <v>0</v>
      </c>
      <c r="AQ52" s="565" t="str">
        <f t="shared" si="9"/>
        <v xml:space="preserve">    ---- </v>
      </c>
    </row>
    <row r="53" spans="1:43" s="529" customFormat="1" ht="18.75" customHeight="1" x14ac:dyDescent="0.3">
      <c r="A53" s="556" t="s">
        <v>378</v>
      </c>
      <c r="B53" s="800"/>
      <c r="C53" s="799">
        <v>0.16</v>
      </c>
      <c r="D53" s="564" t="str">
        <f>IF(B53=0, "    ---- ", IF(ABS(ROUND(100/B53*C53-100,1))&lt;999,ROUND(100/B53*C53-100,1),IF(ROUND(100/B53*C53-100,1)&gt;999,999,-999)))</f>
        <v xml:space="preserve">    ---- </v>
      </c>
      <c r="E53" s="800">
        <v>0</v>
      </c>
      <c r="F53" s="799">
        <v>0.183</v>
      </c>
      <c r="G53" s="559" t="str">
        <f>IF(E53=0, "    ---- ", IF(ABS(ROUND(100/E53*F53-100,1))&lt;999,ROUND(100/E53*F53-100,1),IF(ROUND(100/E53*F53-100,1)&gt;999,999,-999)))</f>
        <v xml:space="preserve">    ---- </v>
      </c>
      <c r="H53" s="901"/>
      <c r="I53" s="564"/>
      <c r="J53" s="565"/>
      <c r="K53" s="800"/>
      <c r="L53" s="799"/>
      <c r="M53" s="564"/>
      <c r="N53" s="800"/>
      <c r="O53" s="799"/>
      <c r="P53" s="565"/>
      <c r="Q53" s="388"/>
      <c r="R53" s="564"/>
      <c r="S53" s="565"/>
      <c r="T53" s="800"/>
      <c r="U53" s="799"/>
      <c r="V53" s="565"/>
      <c r="W53" s="800">
        <v>4.0320806400000002</v>
      </c>
      <c r="X53" s="799">
        <v>4.5543994715737588</v>
      </c>
      <c r="Y53" s="559">
        <f t="shared" si="0"/>
        <v>13</v>
      </c>
      <c r="Z53" s="388"/>
      <c r="AA53" s="564"/>
      <c r="AB53" s="565"/>
      <c r="AC53" s="800"/>
      <c r="AD53" s="799"/>
      <c r="AE53" s="565"/>
      <c r="AF53" s="800"/>
      <c r="AG53" s="799">
        <v>-1</v>
      </c>
      <c r="AH53" s="559" t="str">
        <f>IF(AF53=0, "    ---- ", IF(ABS(ROUND(100/AF53*AG53-100,1))&lt;999,ROUND(100/AF53*AG53-100,1),IF(ROUND(100/AF53*AG53-100,1)&gt;999,999,-999)))</f>
        <v xml:space="preserve">    ---- </v>
      </c>
      <c r="AI53" s="868"/>
      <c r="AJ53" s="799"/>
      <c r="AK53" s="565"/>
      <c r="AL53" s="561">
        <f t="shared" si="3"/>
        <v>4.0320806400000002</v>
      </c>
      <c r="AM53" s="561">
        <f t="shared" si="3"/>
        <v>3.8973994715737588</v>
      </c>
      <c r="AN53" s="565">
        <f t="shared" si="7"/>
        <v>-3.3</v>
      </c>
      <c r="AO53" s="561">
        <f t="shared" si="13"/>
        <v>4.0320806400000002</v>
      </c>
      <c r="AP53" s="561">
        <f t="shared" si="13"/>
        <v>3.8973994715737588</v>
      </c>
      <c r="AQ53" s="565">
        <f t="shared" si="9"/>
        <v>-3.3</v>
      </c>
    </row>
    <row r="54" spans="1:43" s="529" customFormat="1" ht="18.75" customHeight="1" x14ac:dyDescent="0.3">
      <c r="A54" s="556" t="s">
        <v>379</v>
      </c>
      <c r="B54" s="800"/>
      <c r="C54" s="799"/>
      <c r="D54" s="564"/>
      <c r="E54" s="800"/>
      <c r="F54" s="799"/>
      <c r="G54" s="559"/>
      <c r="H54" s="901"/>
      <c r="I54" s="564"/>
      <c r="J54" s="565"/>
      <c r="K54" s="800"/>
      <c r="L54" s="799"/>
      <c r="M54" s="564"/>
      <c r="N54" s="800"/>
      <c r="O54" s="799"/>
      <c r="P54" s="565"/>
      <c r="Q54" s="388"/>
      <c r="R54" s="564"/>
      <c r="S54" s="565"/>
      <c r="T54" s="800"/>
      <c r="U54" s="799"/>
      <c r="V54" s="565"/>
      <c r="W54" s="800"/>
      <c r="X54" s="799"/>
      <c r="Y54" s="559"/>
      <c r="Z54" s="388"/>
      <c r="AA54" s="564"/>
      <c r="AB54" s="565"/>
      <c r="AC54" s="800"/>
      <c r="AD54" s="799"/>
      <c r="AE54" s="565"/>
      <c r="AF54" s="800"/>
      <c r="AG54" s="799"/>
      <c r="AH54" s="559"/>
      <c r="AI54" s="868"/>
      <c r="AJ54" s="799"/>
      <c r="AK54" s="565"/>
      <c r="AL54" s="561">
        <f t="shared" si="3"/>
        <v>0</v>
      </c>
      <c r="AM54" s="561">
        <f t="shared" si="3"/>
        <v>0</v>
      </c>
      <c r="AN54" s="565" t="str">
        <f t="shared" si="7"/>
        <v xml:space="preserve">    ---- </v>
      </c>
      <c r="AO54" s="561">
        <f t="shared" si="13"/>
        <v>0</v>
      </c>
      <c r="AP54" s="561">
        <f t="shared" si="13"/>
        <v>0</v>
      </c>
      <c r="AQ54" s="565" t="str">
        <f t="shared" si="9"/>
        <v xml:space="preserve">    ---- </v>
      </c>
    </row>
    <row r="55" spans="1:43" s="529" customFormat="1" ht="18.75" customHeight="1" x14ac:dyDescent="0.3">
      <c r="A55" s="556" t="s">
        <v>380</v>
      </c>
      <c r="B55" s="800"/>
      <c r="C55" s="799"/>
      <c r="D55" s="564"/>
      <c r="E55" s="800"/>
      <c r="F55" s="799"/>
      <c r="G55" s="559"/>
      <c r="H55" s="901"/>
      <c r="I55" s="564"/>
      <c r="J55" s="565"/>
      <c r="K55" s="800"/>
      <c r="L55" s="799"/>
      <c r="M55" s="564"/>
      <c r="N55" s="800"/>
      <c r="O55" s="799"/>
      <c r="P55" s="565"/>
      <c r="Q55" s="388"/>
      <c r="R55" s="564"/>
      <c r="S55" s="565"/>
      <c r="T55" s="800"/>
      <c r="U55" s="799"/>
      <c r="V55" s="565"/>
      <c r="W55" s="800"/>
      <c r="X55" s="799"/>
      <c r="Y55" s="559"/>
      <c r="Z55" s="388"/>
      <c r="AA55" s="564"/>
      <c r="AB55" s="565"/>
      <c r="AC55" s="800"/>
      <c r="AD55" s="799"/>
      <c r="AE55" s="565"/>
      <c r="AF55" s="800"/>
      <c r="AG55" s="799"/>
      <c r="AH55" s="559"/>
      <c r="AI55" s="868">
        <v>-6.2</v>
      </c>
      <c r="AJ55" s="799"/>
      <c r="AK55" s="565"/>
      <c r="AL55" s="561">
        <f t="shared" si="3"/>
        <v>-6.2</v>
      </c>
      <c r="AM55" s="561">
        <f t="shared" si="3"/>
        <v>0</v>
      </c>
      <c r="AN55" s="565">
        <f t="shared" si="7"/>
        <v>-100</v>
      </c>
      <c r="AO55" s="561">
        <f t="shared" si="13"/>
        <v>-6.2</v>
      </c>
      <c r="AP55" s="561">
        <f t="shared" si="13"/>
        <v>0</v>
      </c>
      <c r="AQ55" s="565">
        <f t="shared" si="9"/>
        <v>-100</v>
      </c>
    </row>
    <row r="56" spans="1:43" s="563" customFormat="1" ht="18.75" customHeight="1" x14ac:dyDescent="0.3">
      <c r="A56" s="550" t="s">
        <v>381</v>
      </c>
      <c r="B56" s="801">
        <v>5.6289999999999996</v>
      </c>
      <c r="C56" s="797">
        <f>SUM(C48:C53)+C55</f>
        <v>3.4490000000000003</v>
      </c>
      <c r="D56" s="566">
        <f>IF(B56=0, "    ---- ", IF(ABS(ROUND(100/B56*C56-100,1))&lt;999,ROUND(100/B56*C56-100,1),IF(ROUND(100/B56*C56-100,1)&gt;999,999,-999)))</f>
        <v>-38.700000000000003</v>
      </c>
      <c r="E56" s="801">
        <v>-233</v>
      </c>
      <c r="F56" s="797">
        <f>SUM(F48:F53)+F55</f>
        <v>1062.9550000000002</v>
      </c>
      <c r="G56" s="554">
        <f>IF(E56=0, "    ---- ", IF(ABS(ROUND(100/E56*F56-100,1))&lt;999,ROUND(100/E56*F56-100,1),IF(ROUND(100/E56*F56-100,1)&gt;999,999,-999)))</f>
        <v>-556.20000000000005</v>
      </c>
      <c r="H56" s="902"/>
      <c r="I56" s="566"/>
      <c r="J56" s="567"/>
      <c r="K56" s="801"/>
      <c r="L56" s="797"/>
      <c r="M56" s="566"/>
      <c r="N56" s="801"/>
      <c r="O56" s="797"/>
      <c r="P56" s="567"/>
      <c r="Q56" s="551"/>
      <c r="R56" s="566"/>
      <c r="S56" s="567"/>
      <c r="T56" s="801"/>
      <c r="U56" s="797"/>
      <c r="V56" s="567"/>
      <c r="W56" s="801">
        <v>114.23818574615782</v>
      </c>
      <c r="X56" s="797">
        <f>SUM(X48:X53)+X55</f>
        <v>134.21829482688256</v>
      </c>
      <c r="Y56" s="554">
        <f t="shared" si="0"/>
        <v>17.5</v>
      </c>
      <c r="Z56" s="551"/>
      <c r="AA56" s="566"/>
      <c r="AB56" s="567"/>
      <c r="AC56" s="801">
        <v>-0.47195695882580002</v>
      </c>
      <c r="AD56" s="797">
        <f>SUM(AD48:AD53)+AD55</f>
        <v>0</v>
      </c>
      <c r="AE56" s="567">
        <f>IF(AC56=0, "    ---- ", IF(ABS(ROUND(100/AC56*AD56-100,1))&lt;999,ROUND(100/AC56*AD56-100,1),IF(ROUND(100/AC56*AD56-100,1)&gt;999,999,-999)))</f>
        <v>-100</v>
      </c>
      <c r="AF56" s="801">
        <v>-6.0729999999999995</v>
      </c>
      <c r="AG56" s="797">
        <f>SUM(AG48:AG53)+AG55</f>
        <v>-1</v>
      </c>
      <c r="AH56" s="554">
        <f>IF(AF56=0, "    ---- ", IF(ABS(ROUND(100/AF56*AG56-100,1))&lt;999,ROUND(100/AF56*AG56-100,1),IF(ROUND(100/AF56*AG56-100,1)&gt;999,999,-999)))</f>
        <v>-83.5</v>
      </c>
      <c r="AI56" s="869">
        <v>2.6000000000000005</v>
      </c>
      <c r="AJ56" s="797">
        <f>SUM(AJ48:AJ53)+AJ55</f>
        <v>-7</v>
      </c>
      <c r="AK56" s="567">
        <f>IF(AI56=0, "    ---- ", IF(ABS(ROUND(100/AI56*AJ56-100,1))&lt;999,ROUND(100/AI56*AJ56-100,1),IF(ROUND(100/AI56*AJ56-100,1)&gt;999,999,-999)))</f>
        <v>-369.2</v>
      </c>
      <c r="AL56" s="562">
        <f t="shared" si="3"/>
        <v>-116.60581425384218</v>
      </c>
      <c r="AM56" s="562">
        <f t="shared" si="3"/>
        <v>1192.6222948268828</v>
      </c>
      <c r="AN56" s="567">
        <f t="shared" si="7"/>
        <v>-999</v>
      </c>
      <c r="AO56" s="554">
        <f t="shared" si="13"/>
        <v>-117.07777121266798</v>
      </c>
      <c r="AP56" s="943">
        <f t="shared" si="13"/>
        <v>1192.6222948268828</v>
      </c>
      <c r="AQ56" s="567">
        <f t="shared" si="9"/>
        <v>-999</v>
      </c>
    </row>
    <row r="57" spans="1:43" s="529" customFormat="1" ht="18.75" customHeight="1" x14ac:dyDescent="0.3">
      <c r="A57" s="556" t="s">
        <v>382</v>
      </c>
      <c r="B57" s="800"/>
      <c r="C57" s="799"/>
      <c r="D57" s="564"/>
      <c r="E57" s="800">
        <v>-235</v>
      </c>
      <c r="F57" s="799">
        <v>1058.3040000000001</v>
      </c>
      <c r="G57" s="554">
        <f>IF(E57=0, "    ---- ", IF(ABS(ROUND(100/E57*F57-100,1))&lt;999,ROUND(100/E57*F57-100,1),IF(ROUND(100/E57*F57-100,1)&gt;999,999,-999)))</f>
        <v>-550.29999999999995</v>
      </c>
      <c r="H57" s="901"/>
      <c r="I57" s="564"/>
      <c r="J57" s="565"/>
      <c r="K57" s="800"/>
      <c r="L57" s="799"/>
      <c r="M57" s="564"/>
      <c r="N57" s="800"/>
      <c r="O57" s="799"/>
      <c r="P57" s="565"/>
      <c r="Q57" s="388"/>
      <c r="R57" s="564"/>
      <c r="S57" s="565"/>
      <c r="T57" s="800"/>
      <c r="U57" s="799"/>
      <c r="V57" s="565"/>
      <c r="W57" s="800"/>
      <c r="X57" s="799"/>
      <c r="Y57" s="559"/>
      <c r="Z57" s="388"/>
      <c r="AA57" s="564"/>
      <c r="AB57" s="565"/>
      <c r="AC57" s="800"/>
      <c r="AD57" s="799"/>
      <c r="AE57" s="565"/>
      <c r="AF57" s="800"/>
      <c r="AG57" s="799"/>
      <c r="AH57" s="559"/>
      <c r="AI57" s="868"/>
      <c r="AJ57" s="799"/>
      <c r="AK57" s="565"/>
      <c r="AL57" s="561">
        <f t="shared" si="3"/>
        <v>-235</v>
      </c>
      <c r="AM57" s="561">
        <f t="shared" si="3"/>
        <v>1058.3040000000001</v>
      </c>
      <c r="AN57" s="565">
        <f t="shared" si="7"/>
        <v>-550.29999999999995</v>
      </c>
      <c r="AO57" s="561">
        <f t="shared" ref="AO57:AP58" si="14">+B57+E57+H57+K57+N57+Q57+T57+W57+Z57+AC57+AF57+AI57</f>
        <v>-235</v>
      </c>
      <c r="AP57" s="561">
        <f t="shared" si="14"/>
        <v>1058.3040000000001</v>
      </c>
      <c r="AQ57" s="565">
        <f t="shared" si="9"/>
        <v>-550.29999999999995</v>
      </c>
    </row>
    <row r="58" spans="1:43" s="529" customFormat="1" ht="18.75" customHeight="1" x14ac:dyDescent="0.3">
      <c r="A58" s="556" t="s">
        <v>383</v>
      </c>
      <c r="B58" s="800">
        <v>5.6289999999999996</v>
      </c>
      <c r="C58" s="799">
        <v>3.448</v>
      </c>
      <c r="D58" s="564">
        <f>IF(B58=0, "    ---- ", IF(ABS(ROUND(100/B58*C58-100,1))&lt;999,ROUND(100/B58*C58-100,1),IF(ROUND(100/B58*C58-100,1)&gt;999,999,-999)))</f>
        <v>-38.700000000000003</v>
      </c>
      <c r="E58" s="800">
        <v>2</v>
      </c>
      <c r="F58" s="799">
        <v>4.6509999999999998</v>
      </c>
      <c r="G58" s="559">
        <f>IF(E58=0, "    ---- ", IF(ABS(ROUND(100/E58*F58-100,1))&lt;999,ROUND(100/E58*F58-100,1),IF(ROUND(100/E58*F58-100,1)&gt;999,999,-999)))</f>
        <v>132.6</v>
      </c>
      <c r="H58" s="901"/>
      <c r="I58" s="564"/>
      <c r="J58" s="565"/>
      <c r="K58" s="800"/>
      <c r="L58" s="799"/>
      <c r="M58" s="564"/>
      <c r="N58" s="800"/>
      <c r="O58" s="799"/>
      <c r="P58" s="565"/>
      <c r="Q58" s="388"/>
      <c r="R58" s="564"/>
      <c r="S58" s="565"/>
      <c r="T58" s="800"/>
      <c r="U58" s="799"/>
      <c r="V58" s="565"/>
      <c r="W58" s="800">
        <v>114.23818574615782</v>
      </c>
      <c r="X58" s="799">
        <v>134.21829482688256</v>
      </c>
      <c r="Y58" s="559">
        <f t="shared" si="0"/>
        <v>17.5</v>
      </c>
      <c r="Z58" s="388"/>
      <c r="AA58" s="564"/>
      <c r="AB58" s="565"/>
      <c r="AC58" s="800"/>
      <c r="AD58" s="799"/>
      <c r="AE58" s="565"/>
      <c r="AF58" s="800">
        <v>-6.0730000000000004</v>
      </c>
      <c r="AG58" s="799">
        <v>-1</v>
      </c>
      <c r="AH58" s="559">
        <f>IF(AF58=0, "    ---- ", IF(ABS(ROUND(100/AF58*AG58-100,1))&lt;999,ROUND(100/AF58*AG58-100,1),IF(ROUND(100/AF58*AG58-100,1)&gt;999,999,-999)))</f>
        <v>-83.5</v>
      </c>
      <c r="AI58" s="868">
        <v>2.6</v>
      </c>
      <c r="AJ58" s="799">
        <v>-7</v>
      </c>
      <c r="AK58" s="565">
        <f>IF(AI58=0, "    ---- ", IF(ABS(ROUND(100/AI58*AJ58-100,1))&lt;999,ROUND(100/AI58*AJ58-100,1),IF(ROUND(100/AI58*AJ58-100,1)&gt;999,999,-999)))</f>
        <v>-369.2</v>
      </c>
      <c r="AL58" s="561">
        <f t="shared" si="3"/>
        <v>118.39418574615783</v>
      </c>
      <c r="AM58" s="561">
        <f t="shared" si="3"/>
        <v>134.31729482688255</v>
      </c>
      <c r="AN58" s="565">
        <f t="shared" si="7"/>
        <v>13.4</v>
      </c>
      <c r="AO58" s="561">
        <f t="shared" si="14"/>
        <v>118.39418574615783</v>
      </c>
      <c r="AP58" s="561">
        <f t="shared" si="14"/>
        <v>134.31729482688255</v>
      </c>
      <c r="AQ58" s="565">
        <f t="shared" si="9"/>
        <v>13.4</v>
      </c>
    </row>
    <row r="59" spans="1:43" s="529" customFormat="1" ht="18.75" customHeight="1" x14ac:dyDescent="0.3">
      <c r="A59" s="568"/>
      <c r="B59" s="802"/>
      <c r="C59" s="803"/>
      <c r="D59" s="570"/>
      <c r="E59" s="802"/>
      <c r="F59" s="803"/>
      <c r="G59" s="571"/>
      <c r="H59" s="903"/>
      <c r="I59" s="570"/>
      <c r="J59" s="572"/>
      <c r="K59" s="802"/>
      <c r="L59" s="803"/>
      <c r="M59" s="570"/>
      <c r="N59" s="802"/>
      <c r="O59" s="803"/>
      <c r="P59" s="572"/>
      <c r="Q59" s="569"/>
      <c r="R59" s="570"/>
      <c r="S59" s="572"/>
      <c r="T59" s="802"/>
      <c r="U59" s="803"/>
      <c r="V59" s="572"/>
      <c r="W59" s="802"/>
      <c r="X59" s="803"/>
      <c r="Y59" s="571"/>
      <c r="Z59" s="569"/>
      <c r="AA59" s="570"/>
      <c r="AB59" s="572"/>
      <c r="AC59" s="802"/>
      <c r="AD59" s="803"/>
      <c r="AE59" s="572"/>
      <c r="AF59" s="802"/>
      <c r="AG59" s="803"/>
      <c r="AH59" s="571"/>
      <c r="AI59" s="870"/>
      <c r="AJ59" s="803"/>
      <c r="AK59" s="572"/>
      <c r="AL59" s="570"/>
      <c r="AM59" s="570"/>
      <c r="AN59" s="572"/>
      <c r="AO59" s="570"/>
      <c r="AP59" s="570"/>
      <c r="AQ59" s="572"/>
    </row>
    <row r="60" spans="1:43" s="529" customFormat="1" ht="18.75" customHeight="1" x14ac:dyDescent="0.3">
      <c r="A60" s="573"/>
      <c r="B60" s="804"/>
      <c r="C60" s="805"/>
      <c r="D60" s="575"/>
      <c r="E60" s="804"/>
      <c r="F60" s="805"/>
      <c r="G60" s="576"/>
      <c r="H60" s="904"/>
      <c r="I60" s="575"/>
      <c r="J60" s="577"/>
      <c r="K60" s="804"/>
      <c r="L60" s="805"/>
      <c r="M60" s="575"/>
      <c r="N60" s="804"/>
      <c r="O60" s="805"/>
      <c r="P60" s="577"/>
      <c r="Q60" s="574"/>
      <c r="R60" s="575"/>
      <c r="S60" s="577"/>
      <c r="T60" s="804"/>
      <c r="U60" s="805"/>
      <c r="V60" s="577"/>
      <c r="W60" s="804"/>
      <c r="X60" s="805"/>
      <c r="Y60" s="576"/>
      <c r="Z60" s="574"/>
      <c r="AA60" s="575"/>
      <c r="AB60" s="577"/>
      <c r="AC60" s="804"/>
      <c r="AD60" s="805"/>
      <c r="AE60" s="577"/>
      <c r="AF60" s="804"/>
      <c r="AG60" s="805"/>
      <c r="AH60" s="576"/>
      <c r="AI60" s="871"/>
      <c r="AJ60" s="805"/>
      <c r="AK60" s="577"/>
      <c r="AL60" s="575"/>
      <c r="AM60" s="575"/>
      <c r="AN60" s="577"/>
      <c r="AO60" s="575"/>
      <c r="AP60" s="575"/>
      <c r="AQ60" s="577"/>
    </row>
    <row r="61" spans="1:43" s="563" customFormat="1" ht="18.75" customHeight="1" x14ac:dyDescent="0.3">
      <c r="A61" s="550" t="s">
        <v>387</v>
      </c>
      <c r="B61" s="801"/>
      <c r="C61" s="797"/>
      <c r="D61" s="566"/>
      <c r="E61" s="801"/>
      <c r="F61" s="797"/>
      <c r="G61" s="554"/>
      <c r="H61" s="902"/>
      <c r="I61" s="566"/>
      <c r="J61" s="567"/>
      <c r="K61" s="801"/>
      <c r="L61" s="797"/>
      <c r="M61" s="566"/>
      <c r="N61" s="801"/>
      <c r="O61" s="797"/>
      <c r="P61" s="567"/>
      <c r="Q61" s="551"/>
      <c r="R61" s="566"/>
      <c r="S61" s="567"/>
      <c r="T61" s="801"/>
      <c r="U61" s="797"/>
      <c r="V61" s="567"/>
      <c r="W61" s="801"/>
      <c r="X61" s="797"/>
      <c r="Y61" s="554"/>
      <c r="Z61" s="551"/>
      <c r="AA61" s="566"/>
      <c r="AB61" s="567"/>
      <c r="AC61" s="801"/>
      <c r="AD61" s="797"/>
      <c r="AE61" s="567"/>
      <c r="AF61" s="801"/>
      <c r="AG61" s="797"/>
      <c r="AH61" s="554"/>
      <c r="AI61" s="869"/>
      <c r="AJ61" s="797"/>
      <c r="AK61" s="567"/>
      <c r="AL61" s="566"/>
      <c r="AM61" s="566"/>
      <c r="AN61" s="567"/>
      <c r="AO61" s="566"/>
      <c r="AP61" s="566"/>
      <c r="AQ61" s="567"/>
    </row>
    <row r="62" spans="1:43" s="529" customFormat="1" ht="18.75" customHeight="1" x14ac:dyDescent="0.3">
      <c r="A62" s="556" t="s">
        <v>373</v>
      </c>
      <c r="B62" s="800"/>
      <c r="C62" s="799"/>
      <c r="D62" s="564"/>
      <c r="E62" s="800">
        <v>-31</v>
      </c>
      <c r="F62" s="799">
        <v>422.33</v>
      </c>
      <c r="G62" s="559">
        <f>IF(E62=0, "    ---- ", IF(ABS(ROUND(100/E62*F62-100,1))&lt;999,ROUND(100/E62*F62-100,1),IF(ROUND(100/E62*F62-100,1)&gt;999,999,-999)))</f>
        <v>-999</v>
      </c>
      <c r="H62" s="901"/>
      <c r="I62" s="564"/>
      <c r="J62" s="565"/>
      <c r="K62" s="800"/>
      <c r="L62" s="799"/>
      <c r="M62" s="564"/>
      <c r="N62" s="800"/>
      <c r="O62" s="799"/>
      <c r="P62" s="565"/>
      <c r="Q62" s="388"/>
      <c r="R62" s="564"/>
      <c r="S62" s="565"/>
      <c r="T62" s="800"/>
      <c r="U62" s="799"/>
      <c r="V62" s="565"/>
      <c r="W62" s="800">
        <v>40.011051967644384</v>
      </c>
      <c r="X62" s="799">
        <v>66.941857524935415</v>
      </c>
      <c r="Y62" s="559">
        <f t="shared" ref="Y62:Y108" si="15">IF(W62=0, "    ---- ", IF(ABS(ROUND(100/W62*X62-100,1))&lt;999,ROUND(100/W62*X62-100,1),IF(ROUND(100/W62*X62-100,1)&gt;999,999,-999)))</f>
        <v>67.3</v>
      </c>
      <c r="Z62" s="388"/>
      <c r="AA62" s="564"/>
      <c r="AB62" s="565"/>
      <c r="AC62" s="800"/>
      <c r="AD62" s="799"/>
      <c r="AE62" s="565"/>
      <c r="AF62" s="800">
        <v>79.152000000000001</v>
      </c>
      <c r="AG62" s="799">
        <v>227</v>
      </c>
      <c r="AH62" s="559">
        <f>IF(AF62=0, "    ---- ", IF(ABS(ROUND(100/AF62*AG62-100,1))&lt;999,ROUND(100/AF62*AG62-100,1),IF(ROUND(100/AF62*AG62-100,1)&gt;999,999,-999)))</f>
        <v>186.8</v>
      </c>
      <c r="AI62" s="868">
        <v>-50.9</v>
      </c>
      <c r="AJ62" s="799">
        <v>13</v>
      </c>
      <c r="AK62" s="565">
        <f>IF(AI62=0, "    ---- ", IF(ABS(ROUND(100/AI62*AJ62-100,1))&lt;999,ROUND(100/AI62*AJ62-100,1),IF(ROUND(100/AI62*AJ62-100,1)&gt;999,999,-999)))</f>
        <v>-125.5</v>
      </c>
      <c r="AL62" s="561">
        <f t="shared" ref="AL62:AM70" si="16">B62+E62+H62+K62+Q62+T62+W62+Z62+AF62+AI62</f>
        <v>37.26305196764438</v>
      </c>
      <c r="AM62" s="561">
        <f t="shared" si="16"/>
        <v>729.2718575249354</v>
      </c>
      <c r="AN62" s="565">
        <f t="shared" si="7"/>
        <v>999</v>
      </c>
      <c r="AO62" s="561">
        <f t="shared" ref="AO62:AP70" si="17">+B62+E62+H62+K62+N62+Q62+T62+W62+Z62+AC62+AF62+AI62</f>
        <v>37.26305196764438</v>
      </c>
      <c r="AP62" s="561">
        <f t="shared" si="17"/>
        <v>729.2718575249354</v>
      </c>
      <c r="AQ62" s="565">
        <f t="shared" si="9"/>
        <v>999</v>
      </c>
    </row>
    <row r="63" spans="1:43" s="529" customFormat="1" ht="18.75" customHeight="1" x14ac:dyDescent="0.3">
      <c r="A63" s="556" t="s">
        <v>374</v>
      </c>
      <c r="B63" s="800"/>
      <c r="C63" s="799"/>
      <c r="D63" s="564"/>
      <c r="E63" s="800">
        <v>53</v>
      </c>
      <c r="F63" s="799">
        <v>-91.05</v>
      </c>
      <c r="G63" s="559">
        <f>IF(E63=0, "    ---- ", IF(ABS(ROUND(100/E63*F63-100,1))&lt;999,ROUND(100/E63*F63-100,1),IF(ROUND(100/E63*F63-100,1)&gt;999,999,-999)))</f>
        <v>-271.8</v>
      </c>
      <c r="H63" s="901"/>
      <c r="I63" s="564"/>
      <c r="J63" s="565"/>
      <c r="K63" s="800"/>
      <c r="L63" s="799"/>
      <c r="M63" s="564"/>
      <c r="N63" s="800"/>
      <c r="O63" s="799"/>
      <c r="P63" s="565"/>
      <c r="Q63" s="388"/>
      <c r="R63" s="564"/>
      <c r="S63" s="565"/>
      <c r="T63" s="800"/>
      <c r="U63" s="799"/>
      <c r="V63" s="565"/>
      <c r="W63" s="800">
        <v>-40.011051967644384</v>
      </c>
      <c r="X63" s="799">
        <v>-66.941857524935415</v>
      </c>
      <c r="Y63" s="559">
        <f t="shared" si="15"/>
        <v>67.3</v>
      </c>
      <c r="Z63" s="388"/>
      <c r="AA63" s="564"/>
      <c r="AB63" s="565"/>
      <c r="AC63" s="800"/>
      <c r="AD63" s="799"/>
      <c r="AE63" s="565"/>
      <c r="AF63" s="800"/>
      <c r="AG63" s="799"/>
      <c r="AH63" s="559"/>
      <c r="AI63" s="868">
        <v>53.9</v>
      </c>
      <c r="AJ63" s="799">
        <v>-5</v>
      </c>
      <c r="AK63" s="565">
        <f>IF(AI63=0, "    ---- ", IF(ABS(ROUND(100/AI63*AJ63-100,1))&lt;999,ROUND(100/AI63*AJ63-100,1),IF(ROUND(100/AI63*AJ63-100,1)&gt;999,999,-999)))</f>
        <v>-109.3</v>
      </c>
      <c r="AL63" s="561">
        <f t="shared" si="16"/>
        <v>66.888948032355614</v>
      </c>
      <c r="AM63" s="561">
        <f t="shared" si="16"/>
        <v>-162.99185752493543</v>
      </c>
      <c r="AN63" s="565">
        <f t="shared" si="7"/>
        <v>-343.7</v>
      </c>
      <c r="AO63" s="561">
        <f t="shared" si="17"/>
        <v>66.888948032355614</v>
      </c>
      <c r="AP63" s="561">
        <f t="shared" si="17"/>
        <v>-162.99185752493543</v>
      </c>
      <c r="AQ63" s="565">
        <f t="shared" si="9"/>
        <v>-343.7</v>
      </c>
    </row>
    <row r="64" spans="1:43" s="529" customFormat="1" ht="18.75" customHeight="1" x14ac:dyDescent="0.3">
      <c r="A64" s="556" t="s">
        <v>375</v>
      </c>
      <c r="B64" s="800"/>
      <c r="C64" s="799"/>
      <c r="D64" s="564"/>
      <c r="E64" s="800">
        <v>101</v>
      </c>
      <c r="F64" s="799">
        <v>92.11</v>
      </c>
      <c r="G64" s="559">
        <f>IF(E64=0, "    ---- ", IF(ABS(ROUND(100/E64*F64-100,1))&lt;999,ROUND(100/E64*F64-100,1),IF(ROUND(100/E64*F64-100,1)&gt;999,999,-999)))</f>
        <v>-8.8000000000000007</v>
      </c>
      <c r="H64" s="901"/>
      <c r="I64" s="564"/>
      <c r="J64" s="565"/>
      <c r="K64" s="800"/>
      <c r="L64" s="799"/>
      <c r="M64" s="564"/>
      <c r="N64" s="800"/>
      <c r="O64" s="799"/>
      <c r="P64" s="565"/>
      <c r="Q64" s="388"/>
      <c r="R64" s="564"/>
      <c r="S64" s="565"/>
      <c r="T64" s="800"/>
      <c r="U64" s="799"/>
      <c r="V64" s="565"/>
      <c r="W64" s="800">
        <v>4.6385884511823061</v>
      </c>
      <c r="X64" s="799">
        <v>5.5778013876508048</v>
      </c>
      <c r="Y64" s="559">
        <f t="shared" si="15"/>
        <v>20.2</v>
      </c>
      <c r="Z64" s="388"/>
      <c r="AA64" s="564"/>
      <c r="AB64" s="565"/>
      <c r="AC64" s="800"/>
      <c r="AD64" s="799"/>
      <c r="AE64" s="565"/>
      <c r="AF64" s="800">
        <v>-7.9480000000000004</v>
      </c>
      <c r="AG64" s="799">
        <v>-38</v>
      </c>
      <c r="AH64" s="559">
        <f>IF(AF64=0, "    ---- ", IF(ABS(ROUND(100/AF64*AG64-100,1))&lt;999,ROUND(100/AF64*AG64-100,1),IF(ROUND(100/AF64*AG64-100,1)&gt;999,999,-999)))</f>
        <v>378.1</v>
      </c>
      <c r="AI64" s="868">
        <v>-16.399999999999999</v>
      </c>
      <c r="AJ64" s="799">
        <v>-13</v>
      </c>
      <c r="AK64" s="565">
        <f>IF(AI64=0, "    ---- ", IF(ABS(ROUND(100/AI64*AJ64-100,1))&lt;999,ROUND(100/AI64*AJ64-100,1),IF(ROUND(100/AI64*AJ64-100,1)&gt;999,999,-999)))</f>
        <v>-20.7</v>
      </c>
      <c r="AL64" s="561">
        <f t="shared" si="16"/>
        <v>81.290588451182288</v>
      </c>
      <c r="AM64" s="561">
        <f t="shared" si="16"/>
        <v>46.687801387650808</v>
      </c>
      <c r="AN64" s="565">
        <f t="shared" si="7"/>
        <v>-42.6</v>
      </c>
      <c r="AO64" s="561">
        <f t="shared" si="17"/>
        <v>81.290588451182288</v>
      </c>
      <c r="AP64" s="561">
        <f t="shared" si="17"/>
        <v>46.687801387650808</v>
      </c>
      <c r="AQ64" s="565">
        <f t="shared" si="9"/>
        <v>-42.6</v>
      </c>
    </row>
    <row r="65" spans="1:43" s="529" customFormat="1" ht="18.75" customHeight="1" x14ac:dyDescent="0.3">
      <c r="A65" s="556" t="s">
        <v>376</v>
      </c>
      <c r="B65" s="800"/>
      <c r="C65" s="799"/>
      <c r="D65" s="564"/>
      <c r="E65" s="800"/>
      <c r="F65" s="799"/>
      <c r="G65" s="559"/>
      <c r="H65" s="901"/>
      <c r="I65" s="564"/>
      <c r="J65" s="565"/>
      <c r="K65" s="800"/>
      <c r="L65" s="799"/>
      <c r="M65" s="564"/>
      <c r="N65" s="800"/>
      <c r="O65" s="799"/>
      <c r="P65" s="565"/>
      <c r="Q65" s="388"/>
      <c r="R65" s="564"/>
      <c r="S65" s="565"/>
      <c r="T65" s="800"/>
      <c r="U65" s="799"/>
      <c r="V65" s="565"/>
      <c r="W65" s="800"/>
      <c r="X65" s="799"/>
      <c r="Y65" s="559"/>
      <c r="Z65" s="388"/>
      <c r="AA65" s="564"/>
      <c r="AB65" s="565"/>
      <c r="AC65" s="800"/>
      <c r="AD65" s="799"/>
      <c r="AE65" s="565"/>
      <c r="AF65" s="800"/>
      <c r="AG65" s="799"/>
      <c r="AH65" s="559"/>
      <c r="AI65" s="868"/>
      <c r="AJ65" s="799"/>
      <c r="AK65" s="565"/>
      <c r="AL65" s="561">
        <f t="shared" si="16"/>
        <v>0</v>
      </c>
      <c r="AM65" s="561">
        <f t="shared" si="16"/>
        <v>0</v>
      </c>
      <c r="AN65" s="565" t="str">
        <f t="shared" si="7"/>
        <v xml:space="preserve">    ---- </v>
      </c>
      <c r="AO65" s="561">
        <f t="shared" si="17"/>
        <v>0</v>
      </c>
      <c r="AP65" s="561">
        <f t="shared" si="17"/>
        <v>0</v>
      </c>
      <c r="AQ65" s="565" t="str">
        <f t="shared" si="9"/>
        <v xml:space="preserve">    ---- </v>
      </c>
    </row>
    <row r="66" spans="1:43" s="529" customFormat="1" ht="18.75" customHeight="1" x14ac:dyDescent="0.3">
      <c r="A66" s="556" t="s">
        <v>377</v>
      </c>
      <c r="B66" s="800"/>
      <c r="C66" s="799"/>
      <c r="D66" s="564"/>
      <c r="E66" s="800"/>
      <c r="F66" s="799"/>
      <c r="G66" s="559"/>
      <c r="H66" s="901"/>
      <c r="I66" s="564"/>
      <c r="J66" s="565"/>
      <c r="K66" s="800"/>
      <c r="L66" s="799"/>
      <c r="M66" s="564"/>
      <c r="N66" s="800"/>
      <c r="O66" s="799"/>
      <c r="P66" s="565"/>
      <c r="Q66" s="388"/>
      <c r="R66" s="564"/>
      <c r="S66" s="565"/>
      <c r="T66" s="800"/>
      <c r="U66" s="799"/>
      <c r="V66" s="565"/>
      <c r="W66" s="800"/>
      <c r="X66" s="799"/>
      <c r="Y66" s="559"/>
      <c r="Z66" s="388"/>
      <c r="AA66" s="564"/>
      <c r="AB66" s="565"/>
      <c r="AC66" s="800"/>
      <c r="AD66" s="799"/>
      <c r="AE66" s="565"/>
      <c r="AF66" s="800"/>
      <c r="AG66" s="799"/>
      <c r="AH66" s="559"/>
      <c r="AI66" s="868"/>
      <c r="AJ66" s="799"/>
      <c r="AK66" s="565"/>
      <c r="AL66" s="561">
        <f t="shared" si="16"/>
        <v>0</v>
      </c>
      <c r="AM66" s="561">
        <f t="shared" si="16"/>
        <v>0</v>
      </c>
      <c r="AN66" s="565" t="str">
        <f t="shared" si="7"/>
        <v xml:space="preserve">    ---- </v>
      </c>
      <c r="AO66" s="561">
        <f t="shared" si="17"/>
        <v>0</v>
      </c>
      <c r="AP66" s="561">
        <f t="shared" si="17"/>
        <v>0</v>
      </c>
      <c r="AQ66" s="565" t="str">
        <f t="shared" si="9"/>
        <v xml:space="preserve">    ---- </v>
      </c>
    </row>
    <row r="67" spans="1:43" s="529" customFormat="1" ht="18.75" customHeight="1" x14ac:dyDescent="0.3">
      <c r="A67" s="556" t="s">
        <v>378</v>
      </c>
      <c r="B67" s="800"/>
      <c r="C67" s="799"/>
      <c r="D67" s="564"/>
      <c r="E67" s="800">
        <v>34</v>
      </c>
      <c r="F67" s="799">
        <v>34.619999999999997</v>
      </c>
      <c r="G67" s="559">
        <f>IF(E67=0, "    ---- ", IF(ABS(ROUND(100/E67*F67-100,1))&lt;999,ROUND(100/E67*F67-100,1),IF(ROUND(100/E67*F67-100,1)&gt;999,999,-999)))</f>
        <v>1.8</v>
      </c>
      <c r="H67" s="901"/>
      <c r="I67" s="564"/>
      <c r="J67" s="565"/>
      <c r="K67" s="800"/>
      <c r="L67" s="799"/>
      <c r="M67" s="564"/>
      <c r="N67" s="800"/>
      <c r="O67" s="799"/>
      <c r="P67" s="565"/>
      <c r="Q67" s="388"/>
      <c r="R67" s="564"/>
      <c r="S67" s="565"/>
      <c r="T67" s="800"/>
      <c r="U67" s="799"/>
      <c r="V67" s="565"/>
      <c r="W67" s="800">
        <v>10.839044202259762</v>
      </c>
      <c r="X67" s="799">
        <v>9.0863062747184546</v>
      </c>
      <c r="Y67" s="559">
        <f t="shared" si="15"/>
        <v>-16.2</v>
      </c>
      <c r="Z67" s="388"/>
      <c r="AA67" s="564"/>
      <c r="AB67" s="565"/>
      <c r="AC67" s="800"/>
      <c r="AD67" s="799"/>
      <c r="AE67" s="565"/>
      <c r="AF67" s="800">
        <v>4.6440000000000001</v>
      </c>
      <c r="AG67" s="799">
        <v>2</v>
      </c>
      <c r="AH67" s="559">
        <f>IF(AF67=0, "    ---- ", IF(ABS(ROUND(100/AF67*AG67-100,1))&lt;999,ROUND(100/AF67*AG67-100,1),IF(ROUND(100/AF67*AG67-100,1)&gt;999,999,-999)))</f>
        <v>-56.9</v>
      </c>
      <c r="AI67" s="868">
        <v>27.6</v>
      </c>
      <c r="AJ67" s="799">
        <v>24</v>
      </c>
      <c r="AK67" s="565">
        <f>IF(AI67=0, "    ---- ", IF(ABS(ROUND(100/AI67*AJ67-100,1))&lt;999,ROUND(100/AI67*AJ67-100,1),IF(ROUND(100/AI67*AJ67-100,1)&gt;999,999,-999)))</f>
        <v>-13</v>
      </c>
      <c r="AL67" s="561">
        <f t="shared" si="16"/>
        <v>77.083044202259771</v>
      </c>
      <c r="AM67" s="561">
        <f t="shared" si="16"/>
        <v>69.706306274718457</v>
      </c>
      <c r="AN67" s="565">
        <f t="shared" si="7"/>
        <v>-9.6</v>
      </c>
      <c r="AO67" s="561">
        <f t="shared" si="17"/>
        <v>77.083044202259771</v>
      </c>
      <c r="AP67" s="561">
        <f t="shared" si="17"/>
        <v>69.706306274718457</v>
      </c>
      <c r="AQ67" s="565">
        <f t="shared" si="9"/>
        <v>-9.6</v>
      </c>
    </row>
    <row r="68" spans="1:43" s="529" customFormat="1" ht="18.75" customHeight="1" x14ac:dyDescent="0.3">
      <c r="A68" s="556" t="s">
        <v>379</v>
      </c>
      <c r="B68" s="800"/>
      <c r="C68" s="799"/>
      <c r="D68" s="564"/>
      <c r="E68" s="800"/>
      <c r="F68" s="799"/>
      <c r="G68" s="559"/>
      <c r="H68" s="901"/>
      <c r="I68" s="564"/>
      <c r="J68" s="565"/>
      <c r="K68" s="800"/>
      <c r="L68" s="799"/>
      <c r="M68" s="564"/>
      <c r="N68" s="800"/>
      <c r="O68" s="799"/>
      <c r="P68" s="565"/>
      <c r="Q68" s="388"/>
      <c r="R68" s="564"/>
      <c r="S68" s="565"/>
      <c r="T68" s="800"/>
      <c r="U68" s="799"/>
      <c r="V68" s="565"/>
      <c r="W68" s="800"/>
      <c r="X68" s="799"/>
      <c r="Y68" s="559"/>
      <c r="Z68" s="388"/>
      <c r="AA68" s="564"/>
      <c r="AB68" s="565"/>
      <c r="AC68" s="800"/>
      <c r="AD68" s="799"/>
      <c r="AE68" s="565"/>
      <c r="AF68" s="800"/>
      <c r="AG68" s="799"/>
      <c r="AH68" s="559"/>
      <c r="AI68" s="868"/>
      <c r="AJ68" s="799"/>
      <c r="AK68" s="565"/>
      <c r="AL68" s="561">
        <f t="shared" si="16"/>
        <v>0</v>
      </c>
      <c r="AM68" s="561">
        <f t="shared" si="16"/>
        <v>0</v>
      </c>
      <c r="AN68" s="565" t="str">
        <f t="shared" si="7"/>
        <v xml:space="preserve">    ---- </v>
      </c>
      <c r="AO68" s="561">
        <f t="shared" si="17"/>
        <v>0</v>
      </c>
      <c r="AP68" s="561">
        <f t="shared" si="17"/>
        <v>0</v>
      </c>
      <c r="AQ68" s="565" t="str">
        <f t="shared" si="9"/>
        <v xml:space="preserve">    ---- </v>
      </c>
    </row>
    <row r="69" spans="1:43" s="529" customFormat="1" ht="18.75" customHeight="1" x14ac:dyDescent="0.3">
      <c r="A69" s="556" t="s">
        <v>380</v>
      </c>
      <c r="B69" s="800"/>
      <c r="C69" s="799"/>
      <c r="D69" s="564"/>
      <c r="E69" s="800"/>
      <c r="F69" s="799"/>
      <c r="G69" s="559"/>
      <c r="H69" s="901"/>
      <c r="I69" s="564"/>
      <c r="J69" s="565"/>
      <c r="K69" s="800"/>
      <c r="L69" s="799"/>
      <c r="M69" s="564"/>
      <c r="N69" s="800"/>
      <c r="O69" s="799"/>
      <c r="P69" s="565"/>
      <c r="Q69" s="388"/>
      <c r="R69" s="564"/>
      <c r="S69" s="565"/>
      <c r="T69" s="800"/>
      <c r="U69" s="799"/>
      <c r="V69" s="565"/>
      <c r="W69" s="800"/>
      <c r="X69" s="799"/>
      <c r="Y69" s="559"/>
      <c r="Z69" s="388"/>
      <c r="AA69" s="564"/>
      <c r="AB69" s="565"/>
      <c r="AC69" s="800"/>
      <c r="AD69" s="799"/>
      <c r="AE69" s="565"/>
      <c r="AF69" s="800"/>
      <c r="AG69" s="799"/>
      <c r="AH69" s="559"/>
      <c r="AI69" s="868"/>
      <c r="AJ69" s="799"/>
      <c r="AK69" s="565" t="str">
        <f>IF(AI69=0, "    ---- ", IF(ABS(ROUND(100/AI69*AJ69-100,1))&lt;999,ROUND(100/AI69*AJ69-100,1),IF(ROUND(100/AI69*AJ69-100,1)&gt;999,999,-999)))</f>
        <v xml:space="preserve">    ---- </v>
      </c>
      <c r="AL69" s="561">
        <f t="shared" si="16"/>
        <v>0</v>
      </c>
      <c r="AM69" s="561">
        <f t="shared" si="16"/>
        <v>0</v>
      </c>
      <c r="AN69" s="565" t="str">
        <f t="shared" si="7"/>
        <v xml:space="preserve">    ---- </v>
      </c>
      <c r="AO69" s="561">
        <f t="shared" si="17"/>
        <v>0</v>
      </c>
      <c r="AP69" s="561">
        <f t="shared" si="17"/>
        <v>0</v>
      </c>
      <c r="AQ69" s="565" t="str">
        <f t="shared" si="9"/>
        <v xml:space="preserve">    ---- </v>
      </c>
    </row>
    <row r="70" spans="1:43" s="563" customFormat="1" ht="18.75" customHeight="1" x14ac:dyDescent="0.3">
      <c r="A70" s="550" t="s">
        <v>381</v>
      </c>
      <c r="B70" s="801"/>
      <c r="C70" s="797">
        <f>SUM(C62:C67)+C69</f>
        <v>0</v>
      </c>
      <c r="D70" s="566"/>
      <c r="E70" s="801">
        <v>157</v>
      </c>
      <c r="F70" s="797">
        <f>SUM(F62:F67)+F69</f>
        <v>458.01</v>
      </c>
      <c r="G70" s="554">
        <f>IF(E70=0, "    ---- ", IF(ABS(ROUND(100/E70*F70-100,1))&lt;999,ROUND(100/E70*F70-100,1),IF(ROUND(100/E70*F70-100,1)&gt;999,999,-999)))</f>
        <v>191.7</v>
      </c>
      <c r="H70" s="902"/>
      <c r="I70" s="566"/>
      <c r="J70" s="567"/>
      <c r="K70" s="801"/>
      <c r="L70" s="797"/>
      <c r="M70" s="566"/>
      <c r="N70" s="801"/>
      <c r="O70" s="797"/>
      <c r="P70" s="567"/>
      <c r="Q70" s="551"/>
      <c r="R70" s="566"/>
      <c r="S70" s="567"/>
      <c r="T70" s="801"/>
      <c r="U70" s="797"/>
      <c r="V70" s="567"/>
      <c r="W70" s="801">
        <v>15.477632653442068</v>
      </c>
      <c r="X70" s="797">
        <f>SUM(X62:X67)+X69</f>
        <v>14.664107662369259</v>
      </c>
      <c r="Y70" s="554">
        <f t="shared" si="15"/>
        <v>-5.3</v>
      </c>
      <c r="Z70" s="551"/>
      <c r="AA70" s="566"/>
      <c r="AB70" s="567"/>
      <c r="AC70" s="801"/>
      <c r="AD70" s="797"/>
      <c r="AE70" s="567"/>
      <c r="AF70" s="801">
        <v>75.848000000000013</v>
      </c>
      <c r="AG70" s="797">
        <f>SUM(AG62:AG67)+AG69</f>
        <v>191</v>
      </c>
      <c r="AH70" s="554">
        <f>IF(AF70=0, "    ---- ", IF(ABS(ROUND(100/AF70*AG70-100,1))&lt;999,ROUND(100/AF70*AG70-100,1),IF(ROUND(100/AF70*AG70-100,1)&gt;999,999,-999)))</f>
        <v>151.80000000000001</v>
      </c>
      <c r="AI70" s="869">
        <v>14.200000000000003</v>
      </c>
      <c r="AJ70" s="797">
        <f>SUM(AJ62:AJ67)+AJ69</f>
        <v>19</v>
      </c>
      <c r="AK70" s="567">
        <f>IF(AI70=0, "    ---- ", IF(ABS(ROUND(100/AI70*AJ70-100,1))&lt;999,ROUND(100/AI70*AJ70-100,1),IF(ROUND(100/AI70*AJ70-100,1)&gt;999,999,-999)))</f>
        <v>33.799999999999997</v>
      </c>
      <c r="AL70" s="562">
        <f t="shared" si="16"/>
        <v>262.52563265344207</v>
      </c>
      <c r="AM70" s="562">
        <f t="shared" si="16"/>
        <v>682.67410766236924</v>
      </c>
      <c r="AN70" s="567">
        <f t="shared" si="7"/>
        <v>160</v>
      </c>
      <c r="AO70" s="554">
        <f t="shared" si="17"/>
        <v>262.52563265344207</v>
      </c>
      <c r="AP70" s="943">
        <f t="shared" si="17"/>
        <v>682.67410766236924</v>
      </c>
      <c r="AQ70" s="567">
        <f t="shared" si="9"/>
        <v>160</v>
      </c>
    </row>
    <row r="71" spans="1:43" s="529" customFormat="1" ht="18.75" customHeight="1" x14ac:dyDescent="0.3">
      <c r="A71" s="556" t="s">
        <v>382</v>
      </c>
      <c r="B71" s="800"/>
      <c r="C71" s="799"/>
      <c r="D71" s="564"/>
      <c r="E71" s="800">
        <v>109</v>
      </c>
      <c r="F71" s="799">
        <v>297.70999999999998</v>
      </c>
      <c r="G71" s="559">
        <f>IF(E71=0, "    ---- ", IF(ABS(ROUND(100/E71*F71-100,1))&lt;999,ROUND(100/E71*F71-100,1),IF(ROUND(100/E71*F71-100,1)&gt;999,999,-999)))</f>
        <v>173.1</v>
      </c>
      <c r="H71" s="901"/>
      <c r="I71" s="564"/>
      <c r="J71" s="565"/>
      <c r="K71" s="800"/>
      <c r="L71" s="799"/>
      <c r="M71" s="564"/>
      <c r="N71" s="800"/>
      <c r="O71" s="799"/>
      <c r="P71" s="565"/>
      <c r="Q71" s="388"/>
      <c r="R71" s="564"/>
      <c r="S71" s="565"/>
      <c r="T71" s="800"/>
      <c r="U71" s="799"/>
      <c r="V71" s="565"/>
      <c r="W71" s="800">
        <v>10.060461224737342</v>
      </c>
      <c r="X71" s="799">
        <v>9.5316699805400216</v>
      </c>
      <c r="Y71" s="559">
        <f t="shared" si="15"/>
        <v>-5.3</v>
      </c>
      <c r="Z71" s="388"/>
      <c r="AA71" s="564"/>
      <c r="AB71" s="565"/>
      <c r="AC71" s="800"/>
      <c r="AD71" s="799"/>
      <c r="AE71" s="565"/>
      <c r="AF71" s="800">
        <v>49.301000000000002</v>
      </c>
      <c r="AG71" s="799">
        <v>124</v>
      </c>
      <c r="AH71" s="559">
        <f>IF(AF71=0, "    ---- ", IF(ABS(ROUND(100/AF71*AG71-100,1))&lt;999,ROUND(100/AF71*AG71-100,1),IF(ROUND(100/AF71*AG71-100,1)&gt;999,999,-999)))</f>
        <v>151.5</v>
      </c>
      <c r="AI71" s="868">
        <v>4.0999999999999996</v>
      </c>
      <c r="AJ71" s="799">
        <v>13.2</v>
      </c>
      <c r="AK71" s="565">
        <f>IF(AI71=0, "    ---- ", IF(ABS(ROUND(100/AI71*AJ71-100,1))&lt;999,ROUND(100/AI71*AJ71-100,1),IF(ROUND(100/AI71*AJ71-100,1)&gt;999,999,-999)))</f>
        <v>222</v>
      </c>
      <c r="AL71" s="561">
        <f t="shared" ref="AL71:AM72" si="18">B71+E71+H71+K71+Q71+T71+W71+Z71+AF71+AI71</f>
        <v>172.46146122473735</v>
      </c>
      <c r="AM71" s="561">
        <f t="shared" si="18"/>
        <v>444.44166998053998</v>
      </c>
      <c r="AN71" s="565">
        <f t="shared" si="7"/>
        <v>157.69999999999999</v>
      </c>
      <c r="AO71" s="561">
        <f t="shared" ref="AO71:AP72" si="19">+B71+E71+H71+K71+N71+Q71+T71+W71+Z71+AC71+AF71+AI71</f>
        <v>172.46146122473735</v>
      </c>
      <c r="AP71" s="561">
        <f t="shared" si="19"/>
        <v>444.44166998053998</v>
      </c>
      <c r="AQ71" s="565">
        <f t="shared" si="9"/>
        <v>157.69999999999999</v>
      </c>
    </row>
    <row r="72" spans="1:43" s="529" customFormat="1" ht="18.75" customHeight="1" x14ac:dyDescent="0.3">
      <c r="A72" s="556" t="s">
        <v>383</v>
      </c>
      <c r="B72" s="800"/>
      <c r="C72" s="799"/>
      <c r="D72" s="564"/>
      <c r="E72" s="800">
        <v>48</v>
      </c>
      <c r="F72" s="799">
        <v>160</v>
      </c>
      <c r="G72" s="559">
        <f>IF(E72=0, "    ---- ", IF(ABS(ROUND(100/E72*F72-100,1))&lt;999,ROUND(100/E72*F72-100,1),IF(ROUND(100/E72*F72-100,1)&gt;999,999,-999)))</f>
        <v>233.3</v>
      </c>
      <c r="H72" s="901"/>
      <c r="I72" s="564"/>
      <c r="J72" s="565"/>
      <c r="K72" s="800"/>
      <c r="L72" s="799"/>
      <c r="M72" s="564"/>
      <c r="N72" s="800"/>
      <c r="O72" s="799"/>
      <c r="P72" s="565"/>
      <c r="Q72" s="388"/>
      <c r="R72" s="564"/>
      <c r="S72" s="565"/>
      <c r="T72" s="800"/>
      <c r="U72" s="799"/>
      <c r="V72" s="565"/>
      <c r="W72" s="800">
        <v>5.4171714287047266</v>
      </c>
      <c r="X72" s="799">
        <v>5.1324376818292379</v>
      </c>
      <c r="Y72" s="559">
        <f t="shared" si="15"/>
        <v>-5.3</v>
      </c>
      <c r="Z72" s="388"/>
      <c r="AA72" s="564"/>
      <c r="AB72" s="565"/>
      <c r="AC72" s="800"/>
      <c r="AD72" s="799"/>
      <c r="AE72" s="565"/>
      <c r="AF72" s="800">
        <v>26.547000000000001</v>
      </c>
      <c r="AG72" s="799">
        <v>67</v>
      </c>
      <c r="AH72" s="559">
        <f>IF(AF72=0, "    ---- ", IF(ABS(ROUND(100/AF72*AG72-100,1))&lt;999,ROUND(100/AF72*AG72-100,1),IF(ROUND(100/AF72*AG72-100,1)&gt;999,999,-999)))</f>
        <v>152.4</v>
      </c>
      <c r="AI72" s="868">
        <v>10.1</v>
      </c>
      <c r="AJ72" s="799">
        <v>4.7</v>
      </c>
      <c r="AK72" s="565">
        <f>IF(AI72=0, "    ---- ", IF(ABS(ROUND(100/AI72*AJ72-100,1))&lt;999,ROUND(100/AI72*AJ72-100,1),IF(ROUND(100/AI72*AJ72-100,1)&gt;999,999,-999)))</f>
        <v>-53.5</v>
      </c>
      <c r="AL72" s="561">
        <f t="shared" si="18"/>
        <v>90.064171428704725</v>
      </c>
      <c r="AM72" s="561">
        <f t="shared" si="18"/>
        <v>236.83243768182922</v>
      </c>
      <c r="AN72" s="565">
        <f t="shared" si="7"/>
        <v>163</v>
      </c>
      <c r="AO72" s="561">
        <f t="shared" si="19"/>
        <v>90.064171428704725</v>
      </c>
      <c r="AP72" s="561">
        <f t="shared" si="19"/>
        <v>236.83243768182922</v>
      </c>
      <c r="AQ72" s="565">
        <f t="shared" si="9"/>
        <v>163</v>
      </c>
    </row>
    <row r="73" spans="1:43" s="563" customFormat="1" ht="18.75" customHeight="1" x14ac:dyDescent="0.3">
      <c r="A73" s="550" t="s">
        <v>388</v>
      </c>
      <c r="B73" s="801"/>
      <c r="C73" s="797"/>
      <c r="D73" s="566"/>
      <c r="E73" s="801"/>
      <c r="F73" s="797"/>
      <c r="G73" s="554"/>
      <c r="H73" s="902"/>
      <c r="I73" s="566"/>
      <c r="J73" s="567"/>
      <c r="K73" s="801"/>
      <c r="L73" s="797"/>
      <c r="M73" s="566"/>
      <c r="N73" s="801"/>
      <c r="O73" s="797"/>
      <c r="P73" s="567"/>
      <c r="Q73" s="551"/>
      <c r="R73" s="566"/>
      <c r="S73" s="567"/>
      <c r="T73" s="801"/>
      <c r="U73" s="797"/>
      <c r="V73" s="567"/>
      <c r="W73" s="801"/>
      <c r="X73" s="797"/>
      <c r="Y73" s="554"/>
      <c r="Z73" s="551"/>
      <c r="AA73" s="566"/>
      <c r="AB73" s="567"/>
      <c r="AC73" s="801"/>
      <c r="AD73" s="797"/>
      <c r="AE73" s="567"/>
      <c r="AF73" s="801"/>
      <c r="AG73" s="797"/>
      <c r="AH73" s="554"/>
      <c r="AI73" s="869"/>
      <c r="AJ73" s="797"/>
      <c r="AK73" s="567"/>
      <c r="AL73" s="566"/>
      <c r="AM73" s="566"/>
      <c r="AN73" s="567"/>
      <c r="AO73" s="566"/>
      <c r="AP73" s="566"/>
      <c r="AQ73" s="567"/>
    </row>
    <row r="74" spans="1:43" s="529" customFormat="1" ht="18.75" customHeight="1" x14ac:dyDescent="0.3">
      <c r="A74" s="556" t="s">
        <v>373</v>
      </c>
      <c r="B74" s="800">
        <v>0.49299999999999999</v>
      </c>
      <c r="C74" s="799">
        <v>3.5999999999999997E-2</v>
      </c>
      <c r="D74" s="559">
        <f>IF(B74=0, "    ---- ", IF(ABS(ROUND(100/B74*C74-100,1))&lt;999,ROUND(100/B74*C74-100,1),IF(ROUND(100/B74*C74-100,1)&gt;999,999,-999)))</f>
        <v>-92.7</v>
      </c>
      <c r="E74" s="800">
        <v>26</v>
      </c>
      <c r="F74" s="799">
        <v>80.489999999999995</v>
      </c>
      <c r="G74" s="559">
        <f t="shared" ref="G74:G79" si="20">IF(E74=0, "    ---- ", IF(ABS(ROUND(100/E74*F74-100,1))&lt;999,ROUND(100/E74*F74-100,1),IF(ROUND(100/E74*F74-100,1)&gt;999,999,-999)))</f>
        <v>209.6</v>
      </c>
      <c r="H74" s="901"/>
      <c r="I74" s="564"/>
      <c r="J74" s="565"/>
      <c r="K74" s="800"/>
      <c r="L74" s="799"/>
      <c r="M74" s="564"/>
      <c r="N74" s="800"/>
      <c r="O74" s="799"/>
      <c r="P74" s="565"/>
      <c r="Q74" s="388"/>
      <c r="R74" s="564"/>
      <c r="S74" s="565"/>
      <c r="T74" s="800"/>
      <c r="U74" s="799"/>
      <c r="V74" s="565"/>
      <c r="W74" s="800">
        <v>12.437762684076162</v>
      </c>
      <c r="X74" s="799">
        <v>6.6804590885124897</v>
      </c>
      <c r="Y74" s="559">
        <f t="shared" si="15"/>
        <v>-46.3</v>
      </c>
      <c r="Z74" s="388"/>
      <c r="AA74" s="564"/>
      <c r="AB74" s="565"/>
      <c r="AC74" s="800"/>
      <c r="AD74" s="799"/>
      <c r="AE74" s="565"/>
      <c r="AF74" s="800">
        <v>0.89600000000000002</v>
      </c>
      <c r="AG74" s="799">
        <v>10</v>
      </c>
      <c r="AH74" s="559">
        <f>IF(AF74=0, "    ---- ", IF(ABS(ROUND(100/AF74*AG74-100,1))&lt;999,ROUND(100/AF74*AG74-100,1),IF(ROUND(100/AF74*AG74-100,1)&gt;999,999,-999)))</f>
        <v>999</v>
      </c>
      <c r="AI74" s="868"/>
      <c r="AJ74" s="799"/>
      <c r="AK74" s="565"/>
      <c r="AL74" s="561">
        <f t="shared" ref="AL74:AM82" si="21">B74+E74+H74+K74+Q74+T74+W74+Z74+AF74+AI74</f>
        <v>39.826762684076158</v>
      </c>
      <c r="AM74" s="561">
        <f t="shared" si="21"/>
        <v>97.206459088512489</v>
      </c>
      <c r="AN74" s="565">
        <f t="shared" si="7"/>
        <v>144.1</v>
      </c>
      <c r="AO74" s="561">
        <f t="shared" ref="AO74:AP82" si="22">+B74+E74+H74+K74+N74+Q74+T74+W74+Z74+AC74+AF74+AI74</f>
        <v>39.826762684076158</v>
      </c>
      <c r="AP74" s="561">
        <f t="shared" si="22"/>
        <v>97.206459088512489</v>
      </c>
      <c r="AQ74" s="565">
        <f t="shared" si="9"/>
        <v>144.1</v>
      </c>
    </row>
    <row r="75" spans="1:43" s="529" customFormat="1" ht="18.75" customHeight="1" x14ac:dyDescent="0.3">
      <c r="A75" s="556" t="s">
        <v>374</v>
      </c>
      <c r="B75" s="800"/>
      <c r="C75" s="799"/>
      <c r="D75" s="564"/>
      <c r="E75" s="800">
        <v>0</v>
      </c>
      <c r="F75" s="799">
        <v>-2.94</v>
      </c>
      <c r="G75" s="559" t="str">
        <f t="shared" si="20"/>
        <v xml:space="preserve">    ---- </v>
      </c>
      <c r="H75" s="901"/>
      <c r="I75" s="564"/>
      <c r="J75" s="565"/>
      <c r="K75" s="800"/>
      <c r="L75" s="799"/>
      <c r="M75" s="564"/>
      <c r="N75" s="800"/>
      <c r="O75" s="799"/>
      <c r="P75" s="565"/>
      <c r="Q75" s="388"/>
      <c r="R75" s="564"/>
      <c r="S75" s="565"/>
      <c r="T75" s="800"/>
      <c r="U75" s="799"/>
      <c r="V75" s="565"/>
      <c r="W75" s="800">
        <v>-12.296146215851744</v>
      </c>
      <c r="X75" s="799">
        <v>-6.5467133643615751</v>
      </c>
      <c r="Y75" s="559">
        <f t="shared" si="15"/>
        <v>-46.8</v>
      </c>
      <c r="Z75" s="388"/>
      <c r="AA75" s="564"/>
      <c r="AB75" s="565"/>
      <c r="AC75" s="800"/>
      <c r="AD75" s="799"/>
      <c r="AE75" s="565"/>
      <c r="AF75" s="800">
        <v>-0.89700000000000002</v>
      </c>
      <c r="AG75" s="799">
        <v>-6</v>
      </c>
      <c r="AH75" s="559"/>
      <c r="AI75" s="868"/>
      <c r="AJ75" s="799"/>
      <c r="AK75" s="565"/>
      <c r="AL75" s="561">
        <f t="shared" si="21"/>
        <v>-13.193146215851744</v>
      </c>
      <c r="AM75" s="561">
        <f t="shared" si="21"/>
        <v>-15.486713364361576</v>
      </c>
      <c r="AN75" s="565">
        <f t="shared" si="7"/>
        <v>17.399999999999999</v>
      </c>
      <c r="AO75" s="561">
        <f t="shared" si="22"/>
        <v>-13.193146215851744</v>
      </c>
      <c r="AP75" s="561">
        <f t="shared" si="22"/>
        <v>-15.486713364361576</v>
      </c>
      <c r="AQ75" s="565">
        <f t="shared" si="9"/>
        <v>17.399999999999999</v>
      </c>
    </row>
    <row r="76" spans="1:43" s="529" customFormat="1" ht="18.75" customHeight="1" x14ac:dyDescent="0.3">
      <c r="A76" s="556" t="s">
        <v>375</v>
      </c>
      <c r="B76" s="800">
        <v>-0.69499999999999995</v>
      </c>
      <c r="C76" s="799"/>
      <c r="D76" s="559">
        <f>IF(B76=0, "    ---- ", IF(ABS(ROUND(100/B76*C76-100,1))&lt;999,ROUND(100/B76*C76-100,1),IF(ROUND(100/B76*C76-100,1)&gt;999,999,-999)))</f>
        <v>-100</v>
      </c>
      <c r="E76" s="800">
        <v>12</v>
      </c>
      <c r="F76" s="799">
        <v>2.42</v>
      </c>
      <c r="G76" s="559">
        <f t="shared" si="20"/>
        <v>-79.8</v>
      </c>
      <c r="H76" s="901"/>
      <c r="I76" s="564"/>
      <c r="J76" s="565"/>
      <c r="K76" s="800"/>
      <c r="L76" s="799"/>
      <c r="M76" s="564"/>
      <c r="N76" s="800"/>
      <c r="O76" s="799"/>
      <c r="P76" s="565"/>
      <c r="Q76" s="388"/>
      <c r="R76" s="564"/>
      <c r="S76" s="565"/>
      <c r="T76" s="800"/>
      <c r="U76" s="799"/>
      <c r="V76" s="565"/>
      <c r="W76" s="800">
        <v>2.0652886690246737</v>
      </c>
      <c r="X76" s="799">
        <v>2.3464803851160236</v>
      </c>
      <c r="Y76" s="559">
        <f t="shared" si="15"/>
        <v>13.6</v>
      </c>
      <c r="Z76" s="388"/>
      <c r="AA76" s="564"/>
      <c r="AB76" s="565"/>
      <c r="AC76" s="800"/>
      <c r="AD76" s="799"/>
      <c r="AE76" s="565"/>
      <c r="AF76" s="800">
        <v>9.2999999999999999E-2</v>
      </c>
      <c r="AG76" s="799">
        <v>1</v>
      </c>
      <c r="AH76" s="559">
        <f>IF(AF76=0, "    ---- ", IF(ABS(ROUND(100/AF76*AG76-100,1))&lt;999,ROUND(100/AF76*AG76-100,1),IF(ROUND(100/AF76*AG76-100,1)&gt;999,999,-999)))</f>
        <v>975.3</v>
      </c>
      <c r="AI76" s="868"/>
      <c r="AJ76" s="799"/>
      <c r="AK76" s="565"/>
      <c r="AL76" s="561">
        <f t="shared" si="21"/>
        <v>13.463288669024674</v>
      </c>
      <c r="AM76" s="561">
        <f t="shared" si="21"/>
        <v>5.766480385116024</v>
      </c>
      <c r="AN76" s="565">
        <f t="shared" si="7"/>
        <v>-57.2</v>
      </c>
      <c r="AO76" s="561">
        <f t="shared" si="22"/>
        <v>13.463288669024674</v>
      </c>
      <c r="AP76" s="561">
        <f t="shared" si="22"/>
        <v>5.766480385116024</v>
      </c>
      <c r="AQ76" s="565">
        <f t="shared" si="9"/>
        <v>-57.2</v>
      </c>
    </row>
    <row r="77" spans="1:43" s="529" customFormat="1" ht="18.75" customHeight="1" x14ac:dyDescent="0.3">
      <c r="A77" s="556" t="s">
        <v>376</v>
      </c>
      <c r="B77" s="800"/>
      <c r="C77" s="799"/>
      <c r="D77" s="564"/>
      <c r="E77" s="800">
        <v>0</v>
      </c>
      <c r="F77" s="799">
        <v>0.371</v>
      </c>
      <c r="G77" s="559" t="str">
        <f t="shared" si="20"/>
        <v xml:space="preserve">    ---- </v>
      </c>
      <c r="H77" s="901"/>
      <c r="I77" s="564"/>
      <c r="J77" s="565"/>
      <c r="K77" s="800"/>
      <c r="L77" s="799"/>
      <c r="M77" s="564"/>
      <c r="N77" s="800"/>
      <c r="O77" s="799"/>
      <c r="P77" s="565"/>
      <c r="Q77" s="388"/>
      <c r="R77" s="564"/>
      <c r="S77" s="565"/>
      <c r="T77" s="800"/>
      <c r="U77" s="799"/>
      <c r="V77" s="565"/>
      <c r="W77" s="800"/>
      <c r="X77" s="799">
        <v>0</v>
      </c>
      <c r="Y77" s="559"/>
      <c r="Z77" s="388"/>
      <c r="AA77" s="564"/>
      <c r="AB77" s="565"/>
      <c r="AC77" s="800"/>
      <c r="AD77" s="799"/>
      <c r="AE77" s="565"/>
      <c r="AF77" s="800"/>
      <c r="AG77" s="799"/>
      <c r="AH77" s="559"/>
      <c r="AI77" s="868"/>
      <c r="AJ77" s="799"/>
      <c r="AK77" s="565"/>
      <c r="AL77" s="561">
        <f t="shared" si="21"/>
        <v>0</v>
      </c>
      <c r="AM77" s="561">
        <f t="shared" si="21"/>
        <v>0.371</v>
      </c>
      <c r="AN77" s="565" t="str">
        <f t="shared" si="7"/>
        <v xml:space="preserve">    ---- </v>
      </c>
      <c r="AO77" s="561">
        <f t="shared" si="22"/>
        <v>0</v>
      </c>
      <c r="AP77" s="561">
        <f t="shared" si="22"/>
        <v>0.371</v>
      </c>
      <c r="AQ77" s="565" t="str">
        <f t="shared" si="9"/>
        <v xml:space="preserve">    ---- </v>
      </c>
    </row>
    <row r="78" spans="1:43" s="529" customFormat="1" ht="18.75" customHeight="1" x14ac:dyDescent="0.3">
      <c r="A78" s="556" t="s">
        <v>377</v>
      </c>
      <c r="B78" s="800"/>
      <c r="C78" s="799"/>
      <c r="D78" s="564"/>
      <c r="E78" s="800">
        <v>19</v>
      </c>
      <c r="F78" s="799">
        <v>19.86</v>
      </c>
      <c r="G78" s="559">
        <f t="shared" si="20"/>
        <v>4.5</v>
      </c>
      <c r="H78" s="901"/>
      <c r="I78" s="564"/>
      <c r="J78" s="565"/>
      <c r="K78" s="800"/>
      <c r="L78" s="799"/>
      <c r="M78" s="564"/>
      <c r="N78" s="800"/>
      <c r="O78" s="799"/>
      <c r="P78" s="565"/>
      <c r="Q78" s="388"/>
      <c r="R78" s="564"/>
      <c r="S78" s="565"/>
      <c r="T78" s="800"/>
      <c r="U78" s="799"/>
      <c r="V78" s="565"/>
      <c r="W78" s="800">
        <v>2.0923584833333337</v>
      </c>
      <c r="X78" s="799">
        <v>2.1023126833333334</v>
      </c>
      <c r="Y78" s="559">
        <f t="shared" si="15"/>
        <v>0.5</v>
      </c>
      <c r="Z78" s="388"/>
      <c r="AA78" s="564"/>
      <c r="AB78" s="565"/>
      <c r="AC78" s="800"/>
      <c r="AD78" s="799"/>
      <c r="AE78" s="565"/>
      <c r="AF78" s="800">
        <v>0.51600000000000001</v>
      </c>
      <c r="AG78" s="799">
        <v>2</v>
      </c>
      <c r="AH78" s="559">
        <f>IF(AF78=0, "    ---- ", IF(ABS(ROUND(100/AF78*AG78-100,1))&lt;999,ROUND(100/AF78*AG78-100,1),IF(ROUND(100/AF78*AG78-100,1)&gt;999,999,-999)))</f>
        <v>287.60000000000002</v>
      </c>
      <c r="AI78" s="868"/>
      <c r="AJ78" s="799"/>
      <c r="AK78" s="565"/>
      <c r="AL78" s="561">
        <f t="shared" si="21"/>
        <v>21.608358483333333</v>
      </c>
      <c r="AM78" s="561">
        <f t="shared" si="21"/>
        <v>23.962312683333334</v>
      </c>
      <c r="AN78" s="565">
        <f t="shared" si="7"/>
        <v>10.9</v>
      </c>
      <c r="AO78" s="561">
        <f t="shared" si="22"/>
        <v>21.608358483333333</v>
      </c>
      <c r="AP78" s="561">
        <f t="shared" si="22"/>
        <v>23.962312683333334</v>
      </c>
      <c r="AQ78" s="565">
        <f t="shared" si="9"/>
        <v>10.9</v>
      </c>
    </row>
    <row r="79" spans="1:43" s="529" customFormat="1" ht="18.75" customHeight="1" x14ac:dyDescent="0.3">
      <c r="A79" s="556" t="s">
        <v>378</v>
      </c>
      <c r="B79" s="800">
        <v>3.6669999999999998</v>
      </c>
      <c r="C79" s="799">
        <v>-0.13500000000000001</v>
      </c>
      <c r="D79" s="559">
        <f>IF(B79=0, "    ---- ", IF(ABS(ROUND(100/B79*C79-100,1))&lt;999,ROUND(100/B79*C79-100,1),IF(ROUND(100/B79*C79-100,1)&gt;999,999,-999)))</f>
        <v>-103.7</v>
      </c>
      <c r="E79" s="800">
        <v>2</v>
      </c>
      <c r="F79" s="799">
        <v>0.23400000000000001</v>
      </c>
      <c r="G79" s="559">
        <f t="shared" si="20"/>
        <v>-88.3</v>
      </c>
      <c r="H79" s="901"/>
      <c r="I79" s="564"/>
      <c r="J79" s="565"/>
      <c r="K79" s="800"/>
      <c r="L79" s="799"/>
      <c r="M79" s="564"/>
      <c r="N79" s="800"/>
      <c r="O79" s="799"/>
      <c r="P79" s="565"/>
      <c r="Q79" s="388"/>
      <c r="R79" s="564"/>
      <c r="S79" s="565"/>
      <c r="T79" s="800"/>
      <c r="U79" s="799"/>
      <c r="V79" s="565"/>
      <c r="W79" s="800">
        <v>0.80095726972854575</v>
      </c>
      <c r="X79" s="799">
        <v>2.8728412432365769</v>
      </c>
      <c r="Y79" s="559">
        <f t="shared" si="15"/>
        <v>258.7</v>
      </c>
      <c r="Z79" s="388"/>
      <c r="AA79" s="564"/>
      <c r="AB79" s="565"/>
      <c r="AC79" s="800"/>
      <c r="AD79" s="799"/>
      <c r="AE79" s="565"/>
      <c r="AF79" s="800">
        <v>-0.48899999999999999</v>
      </c>
      <c r="AG79" s="799">
        <v>-3</v>
      </c>
      <c r="AH79" s="559">
        <f>IF(AF79=0, "    ---- ", IF(ABS(ROUND(100/AF79*AG79-100,1))&lt;999,ROUND(100/AF79*AG79-100,1),IF(ROUND(100/AF79*AG79-100,1)&gt;999,999,-999)))</f>
        <v>513.5</v>
      </c>
      <c r="AI79" s="868"/>
      <c r="AJ79" s="799"/>
      <c r="AK79" s="565"/>
      <c r="AL79" s="561">
        <f t="shared" si="21"/>
        <v>5.9789572697285456</v>
      </c>
      <c r="AM79" s="561">
        <f t="shared" si="21"/>
        <v>-2.8158756763422943E-2</v>
      </c>
      <c r="AN79" s="565">
        <f t="shared" si="7"/>
        <v>-100.5</v>
      </c>
      <c r="AO79" s="561">
        <f t="shared" si="22"/>
        <v>5.9789572697285456</v>
      </c>
      <c r="AP79" s="561">
        <f t="shared" si="22"/>
        <v>-2.8158756763422943E-2</v>
      </c>
      <c r="AQ79" s="565">
        <f t="shared" si="9"/>
        <v>-100.5</v>
      </c>
    </row>
    <row r="80" spans="1:43" s="529" customFormat="1" ht="18.75" customHeight="1" x14ac:dyDescent="0.3">
      <c r="A80" s="556" t="s">
        <v>379</v>
      </c>
      <c r="B80" s="800"/>
      <c r="C80" s="799"/>
      <c r="D80" s="564"/>
      <c r="E80" s="800"/>
      <c r="F80" s="799"/>
      <c r="G80" s="559"/>
      <c r="H80" s="901"/>
      <c r="I80" s="564"/>
      <c r="J80" s="565"/>
      <c r="K80" s="800"/>
      <c r="L80" s="799"/>
      <c r="M80" s="564"/>
      <c r="N80" s="800"/>
      <c r="O80" s="799"/>
      <c r="P80" s="565"/>
      <c r="Q80" s="388"/>
      <c r="R80" s="564"/>
      <c r="S80" s="565"/>
      <c r="T80" s="800"/>
      <c r="U80" s="799"/>
      <c r="V80" s="565"/>
      <c r="W80" s="800">
        <v>3.2131905826354354</v>
      </c>
      <c r="X80" s="799">
        <v>4.783356928404638</v>
      </c>
      <c r="Y80" s="559">
        <f t="shared" si="15"/>
        <v>48.9</v>
      </c>
      <c r="Z80" s="388"/>
      <c r="AA80" s="564"/>
      <c r="AB80" s="565"/>
      <c r="AC80" s="800"/>
      <c r="AD80" s="799"/>
      <c r="AE80" s="565"/>
      <c r="AF80" s="800"/>
      <c r="AG80" s="799"/>
      <c r="AH80" s="559"/>
      <c r="AI80" s="868"/>
      <c r="AJ80" s="799"/>
      <c r="AK80" s="565"/>
      <c r="AL80" s="561">
        <f t="shared" si="21"/>
        <v>3.2131905826354354</v>
      </c>
      <c r="AM80" s="561">
        <f t="shared" si="21"/>
        <v>4.783356928404638</v>
      </c>
      <c r="AN80" s="565">
        <f t="shared" si="7"/>
        <v>48.9</v>
      </c>
      <c r="AO80" s="561">
        <f t="shared" si="22"/>
        <v>3.2131905826354354</v>
      </c>
      <c r="AP80" s="561">
        <f t="shared" si="22"/>
        <v>4.783356928404638</v>
      </c>
      <c r="AQ80" s="565">
        <f t="shared" si="9"/>
        <v>48.9</v>
      </c>
    </row>
    <row r="81" spans="1:43" s="529" customFormat="1" ht="18.75" customHeight="1" x14ac:dyDescent="0.3">
      <c r="A81" s="556" t="s">
        <v>380</v>
      </c>
      <c r="B81" s="800"/>
      <c r="C81" s="799"/>
      <c r="D81" s="564"/>
      <c r="E81" s="800"/>
      <c r="F81" s="799"/>
      <c r="G81" s="559"/>
      <c r="H81" s="901"/>
      <c r="I81" s="564"/>
      <c r="J81" s="565"/>
      <c r="K81" s="800"/>
      <c r="L81" s="799"/>
      <c r="M81" s="564"/>
      <c r="N81" s="800"/>
      <c r="O81" s="799"/>
      <c r="P81" s="565"/>
      <c r="Q81" s="388"/>
      <c r="R81" s="564"/>
      <c r="S81" s="565"/>
      <c r="T81" s="800"/>
      <c r="U81" s="799"/>
      <c r="V81" s="565"/>
      <c r="W81" s="800"/>
      <c r="X81" s="799">
        <v>0</v>
      </c>
      <c r="Y81" s="559"/>
      <c r="Z81" s="388"/>
      <c r="AA81" s="564"/>
      <c r="AB81" s="565"/>
      <c r="AC81" s="800"/>
      <c r="AD81" s="799"/>
      <c r="AE81" s="565"/>
      <c r="AF81" s="800"/>
      <c r="AG81" s="799"/>
      <c r="AH81" s="559"/>
      <c r="AI81" s="868"/>
      <c r="AJ81" s="799"/>
      <c r="AK81" s="565"/>
      <c r="AL81" s="561">
        <f t="shared" si="21"/>
        <v>0</v>
      </c>
      <c r="AM81" s="561">
        <f t="shared" si="21"/>
        <v>0</v>
      </c>
      <c r="AN81" s="565" t="str">
        <f t="shared" si="7"/>
        <v xml:space="preserve">    ---- </v>
      </c>
      <c r="AO81" s="561">
        <f t="shared" si="22"/>
        <v>0</v>
      </c>
      <c r="AP81" s="561">
        <f t="shared" si="22"/>
        <v>0</v>
      </c>
      <c r="AQ81" s="565" t="str">
        <f t="shared" si="9"/>
        <v xml:space="preserve">    ---- </v>
      </c>
    </row>
    <row r="82" spans="1:43" s="563" customFormat="1" ht="18.75" customHeight="1" x14ac:dyDescent="0.3">
      <c r="A82" s="550" t="s">
        <v>381</v>
      </c>
      <c r="B82" s="801">
        <v>3.4649999999999999</v>
      </c>
      <c r="C82" s="797">
        <f>SUM(C74:C79)+C81</f>
        <v>-9.9000000000000005E-2</v>
      </c>
      <c r="D82" s="559">
        <f>IF(B82=0, "    ---- ", IF(ABS(ROUND(100/B82*C82-100,1))&lt;999,ROUND(100/B82*C82-100,1),IF(ROUND(100/B82*C82-100,1)&gt;999,999,-999)))</f>
        <v>-102.9</v>
      </c>
      <c r="E82" s="801">
        <v>59</v>
      </c>
      <c r="F82" s="797">
        <f>SUM(F74:F79)+F81</f>
        <v>100.43499999999999</v>
      </c>
      <c r="G82" s="554">
        <f>IF(E82=0, "    ---- ", IF(ABS(ROUND(100/E82*F82-100,1))&lt;999,ROUND(100/E82*F82-100,1),IF(ROUND(100/E82*F82-100,1)&gt;999,999,-999)))</f>
        <v>70.2</v>
      </c>
      <c r="H82" s="902"/>
      <c r="I82" s="566"/>
      <c r="J82" s="567"/>
      <c r="K82" s="801"/>
      <c r="L82" s="797"/>
      <c r="M82" s="566"/>
      <c r="N82" s="801"/>
      <c r="O82" s="797"/>
      <c r="P82" s="567"/>
      <c r="Q82" s="551"/>
      <c r="R82" s="566"/>
      <c r="S82" s="567"/>
      <c r="T82" s="801"/>
      <c r="U82" s="797"/>
      <c r="V82" s="567"/>
      <c r="W82" s="801">
        <v>5.1002208903109718</v>
      </c>
      <c r="X82" s="797">
        <f>SUM(X74:X79)+X81</f>
        <v>7.4553800358368481</v>
      </c>
      <c r="Y82" s="554">
        <f t="shared" si="15"/>
        <v>46.2</v>
      </c>
      <c r="Z82" s="551"/>
      <c r="AA82" s="566"/>
      <c r="AB82" s="567"/>
      <c r="AC82" s="801"/>
      <c r="AD82" s="797"/>
      <c r="AE82" s="567"/>
      <c r="AF82" s="801">
        <v>0.11899999999999999</v>
      </c>
      <c r="AG82" s="797">
        <f>SUM(AG74:AG79)+AG81</f>
        <v>4</v>
      </c>
      <c r="AH82" s="554">
        <f>IF(AF82=0, "    ---- ", IF(ABS(ROUND(100/AF82*AG82-100,1))&lt;999,ROUND(100/AF82*AG82-100,1),IF(ROUND(100/AF82*AG82-100,1)&gt;999,999,-999)))</f>
        <v>999</v>
      </c>
      <c r="AI82" s="869"/>
      <c r="AJ82" s="797"/>
      <c r="AK82" s="567"/>
      <c r="AL82" s="562">
        <f t="shared" si="21"/>
        <v>67.684220890310968</v>
      </c>
      <c r="AM82" s="562">
        <f t="shared" si="21"/>
        <v>111.79138003583684</v>
      </c>
      <c r="AN82" s="567">
        <f t="shared" si="7"/>
        <v>65.2</v>
      </c>
      <c r="AO82" s="554">
        <f t="shared" si="22"/>
        <v>67.684220890310968</v>
      </c>
      <c r="AP82" s="943">
        <f t="shared" si="22"/>
        <v>111.79138003583684</v>
      </c>
      <c r="AQ82" s="567">
        <f t="shared" si="9"/>
        <v>65.2</v>
      </c>
    </row>
    <row r="83" spans="1:43" s="529" customFormat="1" ht="18.75" customHeight="1" x14ac:dyDescent="0.3">
      <c r="A83" s="556" t="s">
        <v>382</v>
      </c>
      <c r="B83" s="800"/>
      <c r="C83" s="799"/>
      <c r="D83" s="559" t="str">
        <f>IF(B83=0, "    ---- ", IF(ABS(ROUND(100/B83*C83-100,1))&lt;999,ROUND(100/B83*C83-100,1),IF(ROUND(100/B83*C83-100,1)&gt;999,999,-999)))</f>
        <v xml:space="preserve">    ---- </v>
      </c>
      <c r="E83" s="800">
        <v>26</v>
      </c>
      <c r="F83" s="799">
        <v>77.67</v>
      </c>
      <c r="G83" s="559">
        <f>IF(E83=0, "    ---- ", IF(ABS(ROUND(100/E83*F83-100,1))&lt;999,ROUND(100/E83*F83-100,1),IF(ROUND(100/E83*F83-100,1)&gt;999,999,-999)))</f>
        <v>198.7</v>
      </c>
      <c r="H83" s="901"/>
      <c r="I83" s="564"/>
      <c r="J83" s="565"/>
      <c r="K83" s="800"/>
      <c r="L83" s="799"/>
      <c r="M83" s="564"/>
      <c r="N83" s="800"/>
      <c r="O83" s="799"/>
      <c r="P83" s="565"/>
      <c r="Q83" s="388"/>
      <c r="R83" s="564"/>
      <c r="S83" s="565"/>
      <c r="T83" s="800"/>
      <c r="U83" s="799"/>
      <c r="V83" s="565"/>
      <c r="W83" s="800">
        <v>0.40047863486427254</v>
      </c>
      <c r="X83" s="799">
        <v>1.4364206216182887</v>
      </c>
      <c r="Y83" s="559">
        <f t="shared" si="15"/>
        <v>258.7</v>
      </c>
      <c r="Z83" s="388"/>
      <c r="AA83" s="564"/>
      <c r="AB83" s="565"/>
      <c r="AC83" s="800"/>
      <c r="AD83" s="799"/>
      <c r="AE83" s="565"/>
      <c r="AF83" s="800"/>
      <c r="AG83" s="799">
        <v>4</v>
      </c>
      <c r="AH83" s="559" t="str">
        <f>IF(AF83=0, "    ---- ", IF(ABS(ROUND(100/AF83*AG83-100,1))&lt;999,ROUND(100/AF83*AG83-100,1),IF(ROUND(100/AF83*AG83-100,1)&gt;999,999,-999)))</f>
        <v xml:space="preserve">    ---- </v>
      </c>
      <c r="AI83" s="868"/>
      <c r="AJ83" s="799"/>
      <c r="AK83" s="565"/>
      <c r="AL83" s="561">
        <f t="shared" ref="AL83:AM84" si="23">B83+E83+H83+K83+Q83+T83+W83+Z83+AF83+AI83</f>
        <v>26.400478634864271</v>
      </c>
      <c r="AM83" s="561">
        <f t="shared" si="23"/>
        <v>83.106420621618284</v>
      </c>
      <c r="AN83" s="565">
        <f t="shared" si="7"/>
        <v>214.8</v>
      </c>
      <c r="AO83" s="561">
        <f t="shared" ref="AO83:AP84" si="24">+B83+E83+H83+K83+N83+Q83+T83+W83+Z83+AC83+AF83+AI83</f>
        <v>26.400478634864271</v>
      </c>
      <c r="AP83" s="561">
        <f t="shared" si="24"/>
        <v>83.106420621618284</v>
      </c>
      <c r="AQ83" s="565">
        <f t="shared" si="9"/>
        <v>214.8</v>
      </c>
    </row>
    <row r="84" spans="1:43" s="529" customFormat="1" ht="18.75" customHeight="1" x14ac:dyDescent="0.3">
      <c r="A84" s="556" t="s">
        <v>383</v>
      </c>
      <c r="B84" s="800">
        <v>3.4649999999999999</v>
      </c>
      <c r="C84" s="799">
        <v>-8.3000000000000004E-2</v>
      </c>
      <c r="D84" s="559">
        <f>IF(B84=0, "    ---- ", IF(ABS(ROUND(100/B84*C84-100,1))&lt;999,ROUND(100/B84*C84-100,1),IF(ROUND(100/B84*C84-100,1)&gt;999,999,-999)))</f>
        <v>-102.4</v>
      </c>
      <c r="E84" s="800">
        <v>33</v>
      </c>
      <c r="F84" s="799">
        <v>22.78</v>
      </c>
      <c r="G84" s="559">
        <f>IF(E84=0, "    ---- ", IF(ABS(ROUND(100/E84*F84-100,1))&lt;999,ROUND(100/E84*F84-100,1),IF(ROUND(100/E84*F84-100,1)&gt;999,999,-999)))</f>
        <v>-31</v>
      </c>
      <c r="H84" s="901"/>
      <c r="I84" s="564"/>
      <c r="J84" s="565"/>
      <c r="K84" s="800"/>
      <c r="L84" s="799"/>
      <c r="M84" s="564"/>
      <c r="N84" s="800"/>
      <c r="O84" s="799"/>
      <c r="P84" s="565"/>
      <c r="Q84" s="388"/>
      <c r="R84" s="564"/>
      <c r="S84" s="565"/>
      <c r="T84" s="800"/>
      <c r="U84" s="799"/>
      <c r="V84" s="565"/>
      <c r="W84" s="800">
        <v>4.699742255446699</v>
      </c>
      <c r="X84" s="799">
        <v>6.0189594142185596</v>
      </c>
      <c r="Y84" s="559">
        <f t="shared" si="15"/>
        <v>28.1</v>
      </c>
      <c r="Z84" s="388"/>
      <c r="AA84" s="564"/>
      <c r="AB84" s="565"/>
      <c r="AC84" s="800"/>
      <c r="AD84" s="799"/>
      <c r="AE84" s="565"/>
      <c r="AF84" s="800">
        <v>0.11899999999999999</v>
      </c>
      <c r="AG84" s="799"/>
      <c r="AH84" s="559">
        <f>IF(AF84=0, "    ---- ", IF(ABS(ROUND(100/AF84*AG84-100,1))&lt;999,ROUND(100/AF84*AG84-100,1),IF(ROUND(100/AF84*AG84-100,1)&gt;999,999,-999)))</f>
        <v>-100</v>
      </c>
      <c r="AI84" s="868"/>
      <c r="AJ84" s="799"/>
      <c r="AK84" s="565"/>
      <c r="AL84" s="561">
        <f t="shared" si="23"/>
        <v>41.283742255446704</v>
      </c>
      <c r="AM84" s="561">
        <f t="shared" si="23"/>
        <v>28.715959414218563</v>
      </c>
      <c r="AN84" s="565">
        <f t="shared" si="7"/>
        <v>-30.4</v>
      </c>
      <c r="AO84" s="561">
        <f t="shared" si="24"/>
        <v>41.283742255446704</v>
      </c>
      <c r="AP84" s="561">
        <f t="shared" si="24"/>
        <v>28.715959414218563</v>
      </c>
      <c r="AQ84" s="565">
        <f t="shared" si="9"/>
        <v>-30.4</v>
      </c>
    </row>
    <row r="85" spans="1:43" s="563" customFormat="1" ht="18.75" customHeight="1" x14ac:dyDescent="0.3">
      <c r="A85" s="550" t="s">
        <v>389</v>
      </c>
      <c r="B85" s="801"/>
      <c r="C85" s="797"/>
      <c r="D85" s="566"/>
      <c r="E85" s="801"/>
      <c r="F85" s="797"/>
      <c r="G85" s="554"/>
      <c r="H85" s="902"/>
      <c r="I85" s="566"/>
      <c r="J85" s="567"/>
      <c r="K85" s="801"/>
      <c r="L85" s="797"/>
      <c r="M85" s="566"/>
      <c r="N85" s="801"/>
      <c r="O85" s="797"/>
      <c r="P85" s="567"/>
      <c r="Q85" s="551"/>
      <c r="R85" s="566"/>
      <c r="S85" s="567"/>
      <c r="T85" s="801"/>
      <c r="U85" s="797"/>
      <c r="V85" s="567"/>
      <c r="W85" s="801"/>
      <c r="X85" s="797"/>
      <c r="Y85" s="554"/>
      <c r="Z85" s="551"/>
      <c r="AA85" s="566"/>
      <c r="AB85" s="567"/>
      <c r="AC85" s="801"/>
      <c r="AD85" s="797"/>
      <c r="AE85" s="567"/>
      <c r="AF85" s="801"/>
      <c r="AG85" s="797"/>
      <c r="AH85" s="554"/>
      <c r="AI85" s="869"/>
      <c r="AJ85" s="797"/>
      <c r="AK85" s="567"/>
      <c r="AL85" s="566"/>
      <c r="AM85" s="566"/>
      <c r="AN85" s="567"/>
      <c r="AO85" s="566"/>
      <c r="AP85" s="566"/>
      <c r="AQ85" s="567"/>
    </row>
    <row r="86" spans="1:43" s="529" customFormat="1" ht="18.75" customHeight="1" x14ac:dyDescent="0.3">
      <c r="A86" s="556" t="s">
        <v>373</v>
      </c>
      <c r="B86" s="800">
        <v>0.59</v>
      </c>
      <c r="C86" s="799">
        <v>1.3660000000000001</v>
      </c>
      <c r="D86" s="578"/>
      <c r="E86" s="800"/>
      <c r="F86" s="799"/>
      <c r="G86" s="559"/>
      <c r="H86" s="901">
        <v>2.42</v>
      </c>
      <c r="I86" s="564">
        <v>24.754999999999999</v>
      </c>
      <c r="J86" s="559">
        <f>IF(H86=0, "    ---- ", IF(ABS(ROUND(100/H86*I86-100,1))&lt;999,ROUND(100/H86*I86-100,1),IF(ROUND(100/H86*I86-100,1)&gt;999,999,-999)))</f>
        <v>922.9</v>
      </c>
      <c r="K86" s="800">
        <v>23.7</v>
      </c>
      <c r="L86" s="799">
        <v>27.7</v>
      </c>
      <c r="M86" s="561">
        <f>IF(K86=0, "    ---- ", IF(ABS(ROUND(100/K86*L86-100,1))&lt;999,ROUND(100/K86*L86-100,1),IF(ROUND(100/K86*L86-100,1)&gt;999,999,-999)))</f>
        <v>16.899999999999999</v>
      </c>
      <c r="N86" s="800"/>
      <c r="O86" s="799"/>
      <c r="P86" s="579"/>
      <c r="Q86" s="388"/>
      <c r="R86" s="564"/>
      <c r="S86" s="579"/>
      <c r="T86" s="800"/>
      <c r="U86" s="799"/>
      <c r="V86" s="579"/>
      <c r="W86" s="800">
        <v>11.526350272341963</v>
      </c>
      <c r="X86" s="799">
        <v>7.2395453881816154</v>
      </c>
      <c r="Y86" s="559">
        <f t="shared" si="15"/>
        <v>-37.200000000000003</v>
      </c>
      <c r="Z86" s="388"/>
      <c r="AA86" s="564"/>
      <c r="AB86" s="559"/>
      <c r="AC86" s="800"/>
      <c r="AD86" s="799"/>
      <c r="AE86" s="579"/>
      <c r="AF86" s="800">
        <v>223.65899999999999</v>
      </c>
      <c r="AG86" s="799">
        <v>27</v>
      </c>
      <c r="AH86" s="559">
        <f>IF(AF86=0, "    ---- ", IF(ABS(ROUND(100/AF86*AG86-100,1))&lt;999,ROUND(100/AF86*AG86-100,1),IF(ROUND(100/AF86*AG86-100,1)&gt;999,999,-999)))</f>
        <v>-87.9</v>
      </c>
      <c r="AI86" s="868"/>
      <c r="AJ86" s="799"/>
      <c r="AK86" s="559"/>
      <c r="AL86" s="561">
        <f t="shared" ref="AL86:AM94" si="25">B86+E86+H86+K86+Q86+T86+W86+Z86+AF86+AI86</f>
        <v>261.89535027234194</v>
      </c>
      <c r="AM86" s="561">
        <f t="shared" si="25"/>
        <v>88.060545388181623</v>
      </c>
      <c r="AN86" s="559">
        <f t="shared" si="7"/>
        <v>-66.400000000000006</v>
      </c>
      <c r="AO86" s="561">
        <f t="shared" ref="AO86:AP94" si="26">+B86+E86+H86+K86+N86+Q86+T86+W86+Z86+AC86+AF86+AI86</f>
        <v>261.89535027234194</v>
      </c>
      <c r="AP86" s="561">
        <f t="shared" si="26"/>
        <v>88.060545388181623</v>
      </c>
      <c r="AQ86" s="559">
        <f t="shared" si="9"/>
        <v>-66.400000000000006</v>
      </c>
    </row>
    <row r="87" spans="1:43" s="529" customFormat="1" ht="18.75" customHeight="1" x14ac:dyDescent="0.3">
      <c r="A87" s="556" t="s">
        <v>374</v>
      </c>
      <c r="B87" s="800"/>
      <c r="C87" s="799"/>
      <c r="D87" s="578"/>
      <c r="E87" s="800"/>
      <c r="F87" s="799"/>
      <c r="G87" s="559"/>
      <c r="H87" s="901"/>
      <c r="I87" s="564"/>
      <c r="J87" s="579"/>
      <c r="K87" s="800"/>
      <c r="L87" s="799"/>
      <c r="M87" s="578"/>
      <c r="N87" s="800"/>
      <c r="O87" s="799"/>
      <c r="P87" s="579"/>
      <c r="Q87" s="388"/>
      <c r="R87" s="564"/>
      <c r="S87" s="579"/>
      <c r="T87" s="800"/>
      <c r="U87" s="799"/>
      <c r="V87" s="579"/>
      <c r="W87" s="800"/>
      <c r="X87" s="799"/>
      <c r="Y87" s="559"/>
      <c r="Z87" s="388"/>
      <c r="AA87" s="564"/>
      <c r="AB87" s="579"/>
      <c r="AC87" s="800"/>
      <c r="AD87" s="799"/>
      <c r="AE87" s="579"/>
      <c r="AF87" s="800"/>
      <c r="AG87" s="799"/>
      <c r="AH87" s="559"/>
      <c r="AI87" s="868"/>
      <c r="AJ87" s="799"/>
      <c r="AK87" s="579"/>
      <c r="AL87" s="561">
        <f t="shared" si="25"/>
        <v>0</v>
      </c>
      <c r="AM87" s="561">
        <f t="shared" si="25"/>
        <v>0</v>
      </c>
      <c r="AN87" s="579" t="str">
        <f t="shared" si="7"/>
        <v xml:space="preserve">    ---- </v>
      </c>
      <c r="AO87" s="561">
        <f t="shared" si="26"/>
        <v>0</v>
      </c>
      <c r="AP87" s="561">
        <f t="shared" si="26"/>
        <v>0</v>
      </c>
      <c r="AQ87" s="579" t="str">
        <f t="shared" si="9"/>
        <v xml:space="preserve">    ---- </v>
      </c>
    </row>
    <row r="88" spans="1:43" s="529" customFormat="1" ht="18.75" customHeight="1" x14ac:dyDescent="0.3">
      <c r="A88" s="556" t="s">
        <v>375</v>
      </c>
      <c r="B88" s="800">
        <v>-6.05</v>
      </c>
      <c r="C88" s="799">
        <v>-1.5820000000000001</v>
      </c>
      <c r="D88" s="559">
        <f>IF(B88=0, "    ---- ", IF(ABS(ROUND(100/B88*C88-100,1))&lt;999,ROUND(100/B88*C88-100,1),IF(ROUND(100/B88*C88-100,1)&gt;999,999,-999)))</f>
        <v>-73.900000000000006</v>
      </c>
      <c r="E88" s="800"/>
      <c r="F88" s="799"/>
      <c r="G88" s="559"/>
      <c r="H88" s="901">
        <v>-20.170000000000002</v>
      </c>
      <c r="I88" s="564">
        <v>-21.734000000000002</v>
      </c>
      <c r="J88" s="565">
        <f>IF(H88=0, "    ---- ", IF(ABS(ROUND(100/H88*I88-100,1))&lt;999,ROUND(100/H88*I88-100,1),IF(ROUND(100/H88*I88-100,1)&gt;999,999,-999)))</f>
        <v>7.8</v>
      </c>
      <c r="K88" s="800">
        <v>36.5</v>
      </c>
      <c r="L88" s="799">
        <v>34.9</v>
      </c>
      <c r="M88" s="564">
        <f>IF(K88=0, "    ---- ", IF(ABS(ROUND(100/K88*L88-100,1))&lt;999,ROUND(100/K88*L88-100,1),IF(ROUND(100/K88*L88-100,1)&gt;999,999,-999)))</f>
        <v>-4.4000000000000004</v>
      </c>
      <c r="N88" s="800"/>
      <c r="O88" s="799"/>
      <c r="P88" s="565"/>
      <c r="Q88" s="388"/>
      <c r="R88" s="564"/>
      <c r="S88" s="565"/>
      <c r="T88" s="800"/>
      <c r="U88" s="799"/>
      <c r="V88" s="565"/>
      <c r="W88" s="800">
        <v>5.7638930580640215</v>
      </c>
      <c r="X88" s="799">
        <v>2.3811251496922599</v>
      </c>
      <c r="Y88" s="559">
        <f t="shared" si="15"/>
        <v>-58.7</v>
      </c>
      <c r="Z88" s="388"/>
      <c r="AA88" s="564"/>
      <c r="AB88" s="565"/>
      <c r="AC88" s="800"/>
      <c r="AD88" s="799"/>
      <c r="AE88" s="565"/>
      <c r="AF88" s="800">
        <v>48.136000000000003</v>
      </c>
      <c r="AG88" s="799">
        <v>63</v>
      </c>
      <c r="AH88" s="559">
        <f>IF(AF88=0, "    ---- ", IF(ABS(ROUND(100/AF88*AG88-100,1))&lt;999,ROUND(100/AF88*AG88-100,1),IF(ROUND(100/AF88*AG88-100,1)&gt;999,999,-999)))</f>
        <v>30.9</v>
      </c>
      <c r="AI88" s="868"/>
      <c r="AJ88" s="799"/>
      <c r="AK88" s="565"/>
      <c r="AL88" s="561">
        <f t="shared" si="25"/>
        <v>64.179893058064025</v>
      </c>
      <c r="AM88" s="561">
        <f t="shared" si="25"/>
        <v>76.965125149692255</v>
      </c>
      <c r="AN88" s="565">
        <f t="shared" ref="AN88:AN108" si="27">IF(AL88=0, "    ---- ", IF(ABS(ROUND(100/AL88*AM88-100,1))&lt;999,ROUND(100/AL88*AM88-100,1),IF(ROUND(100/AL88*AM88-100,1)&gt;999,999,-999)))</f>
        <v>19.899999999999999</v>
      </c>
      <c r="AO88" s="561">
        <f t="shared" si="26"/>
        <v>64.179893058064025</v>
      </c>
      <c r="AP88" s="561">
        <f t="shared" si="26"/>
        <v>76.965125149692255</v>
      </c>
      <c r="AQ88" s="565">
        <f t="shared" ref="AQ88:AQ108" si="28">IF(AO88=0, "    ---- ", IF(ABS(ROUND(100/AO88*AP88-100,1))&lt;999,ROUND(100/AO88*AP88-100,1),IF(ROUND(100/AO88*AP88-100,1)&gt;999,999,-999)))</f>
        <v>19.899999999999999</v>
      </c>
    </row>
    <row r="89" spans="1:43" s="529" customFormat="1" ht="18.75" customHeight="1" x14ac:dyDescent="0.3">
      <c r="A89" s="556" t="s">
        <v>376</v>
      </c>
      <c r="B89" s="800"/>
      <c r="C89" s="799"/>
      <c r="D89" s="564"/>
      <c r="E89" s="800"/>
      <c r="F89" s="799"/>
      <c r="G89" s="559"/>
      <c r="H89" s="901"/>
      <c r="I89" s="564"/>
      <c r="J89" s="565"/>
      <c r="K89" s="800"/>
      <c r="L89" s="799"/>
      <c r="M89" s="564"/>
      <c r="N89" s="800"/>
      <c r="O89" s="799"/>
      <c r="P89" s="565"/>
      <c r="Q89" s="388"/>
      <c r="R89" s="564"/>
      <c r="S89" s="565"/>
      <c r="T89" s="800"/>
      <c r="U89" s="799"/>
      <c r="V89" s="565"/>
      <c r="W89" s="800"/>
      <c r="X89" s="799"/>
      <c r="Y89" s="559"/>
      <c r="Z89" s="388"/>
      <c r="AA89" s="564"/>
      <c r="AB89" s="565"/>
      <c r="AC89" s="800"/>
      <c r="AD89" s="799"/>
      <c r="AE89" s="565"/>
      <c r="AF89" s="800"/>
      <c r="AG89" s="799"/>
      <c r="AH89" s="559"/>
      <c r="AI89" s="868"/>
      <c r="AJ89" s="799"/>
      <c r="AK89" s="565"/>
      <c r="AL89" s="561">
        <f t="shared" si="25"/>
        <v>0</v>
      </c>
      <c r="AM89" s="561">
        <f t="shared" si="25"/>
        <v>0</v>
      </c>
      <c r="AN89" s="565" t="str">
        <f t="shared" si="27"/>
        <v xml:space="preserve">    ---- </v>
      </c>
      <c r="AO89" s="561">
        <f t="shared" si="26"/>
        <v>0</v>
      </c>
      <c r="AP89" s="561">
        <f t="shared" si="26"/>
        <v>0</v>
      </c>
      <c r="AQ89" s="565" t="str">
        <f t="shared" si="28"/>
        <v xml:space="preserve">    ---- </v>
      </c>
    </row>
    <row r="90" spans="1:43" s="529" customFormat="1" ht="18.75" customHeight="1" x14ac:dyDescent="0.3">
      <c r="A90" s="556" t="s">
        <v>377</v>
      </c>
      <c r="B90" s="800"/>
      <c r="C90" s="799"/>
      <c r="D90" s="564"/>
      <c r="E90" s="800"/>
      <c r="F90" s="799"/>
      <c r="G90" s="559"/>
      <c r="H90" s="901"/>
      <c r="I90" s="564"/>
      <c r="J90" s="565"/>
      <c r="K90" s="800"/>
      <c r="L90" s="799"/>
      <c r="M90" s="564"/>
      <c r="N90" s="800"/>
      <c r="O90" s="799"/>
      <c r="P90" s="565"/>
      <c r="Q90" s="388"/>
      <c r="R90" s="564"/>
      <c r="S90" s="565"/>
      <c r="T90" s="800"/>
      <c r="U90" s="799"/>
      <c r="V90" s="565"/>
      <c r="W90" s="800"/>
      <c r="X90" s="799"/>
      <c r="Y90" s="559"/>
      <c r="Z90" s="388"/>
      <c r="AA90" s="564"/>
      <c r="AB90" s="565"/>
      <c r="AC90" s="800"/>
      <c r="AD90" s="799"/>
      <c r="AE90" s="565"/>
      <c r="AF90" s="800"/>
      <c r="AG90" s="799"/>
      <c r="AH90" s="559"/>
      <c r="AI90" s="868"/>
      <c r="AJ90" s="799"/>
      <c r="AK90" s="565"/>
      <c r="AL90" s="561">
        <f t="shared" si="25"/>
        <v>0</v>
      </c>
      <c r="AM90" s="561">
        <f t="shared" si="25"/>
        <v>0</v>
      </c>
      <c r="AN90" s="565" t="str">
        <f t="shared" si="27"/>
        <v xml:space="preserve">    ---- </v>
      </c>
      <c r="AO90" s="561">
        <f t="shared" si="26"/>
        <v>0</v>
      </c>
      <c r="AP90" s="561">
        <f t="shared" si="26"/>
        <v>0</v>
      </c>
      <c r="AQ90" s="565" t="str">
        <f t="shared" si="28"/>
        <v xml:space="preserve">    ---- </v>
      </c>
    </row>
    <row r="91" spans="1:43" s="529" customFormat="1" ht="18.75" customHeight="1" x14ac:dyDescent="0.3">
      <c r="A91" s="556" t="s">
        <v>378</v>
      </c>
      <c r="B91" s="800">
        <v>-7.0140000000000002</v>
      </c>
      <c r="C91" s="799">
        <v>21.838000000000001</v>
      </c>
      <c r="D91" s="559">
        <f>IF(B91=0, "    ---- ", IF(ABS(ROUND(100/B91*C91-100,1))&lt;999,ROUND(100/B91*C91-100,1),IF(ROUND(100/B91*C91-100,1)&gt;999,999,-999)))</f>
        <v>-411.3</v>
      </c>
      <c r="E91" s="800"/>
      <c r="F91" s="799"/>
      <c r="G91" s="559"/>
      <c r="H91" s="901">
        <v>17.57</v>
      </c>
      <c r="I91" s="564">
        <v>14.602</v>
      </c>
      <c r="J91" s="565">
        <f>IF(H91=0, "    ---- ", IF(ABS(ROUND(100/H91*I91-100,1))&lt;999,ROUND(100/H91*I91-100,1),IF(ROUND(100/H91*I91-100,1)&gt;999,999,-999)))</f>
        <v>-16.899999999999999</v>
      </c>
      <c r="K91" s="800">
        <v>-39.200000000000003</v>
      </c>
      <c r="L91" s="799">
        <v>9.1999999999999993</v>
      </c>
      <c r="M91" s="564">
        <f>IF(K91=0, "    ---- ", IF(ABS(ROUND(100/K91*L91-100,1))&lt;999,ROUND(100/K91*L91-100,1),IF(ROUND(100/K91*L91-100,1)&gt;999,999,-999)))</f>
        <v>-123.5</v>
      </c>
      <c r="N91" s="800"/>
      <c r="O91" s="799"/>
      <c r="P91" s="565"/>
      <c r="Q91" s="388"/>
      <c r="R91" s="564"/>
      <c r="S91" s="565"/>
      <c r="T91" s="800"/>
      <c r="U91" s="799"/>
      <c r="V91" s="565"/>
      <c r="W91" s="800">
        <v>13.013717422065071</v>
      </c>
      <c r="X91" s="799">
        <v>40.621260562310034</v>
      </c>
      <c r="Y91" s="559">
        <f t="shared" si="15"/>
        <v>212.1</v>
      </c>
      <c r="Z91" s="388"/>
      <c r="AA91" s="564"/>
      <c r="AB91" s="565"/>
      <c r="AC91" s="800"/>
      <c r="AD91" s="799"/>
      <c r="AE91" s="565"/>
      <c r="AF91" s="800">
        <v>-93.692999999999998</v>
      </c>
      <c r="AG91" s="799">
        <v>59</v>
      </c>
      <c r="AH91" s="559">
        <f>IF(AF91=0, "    ---- ", IF(ABS(ROUND(100/AF91*AG91-100,1))&lt;999,ROUND(100/AF91*AG91-100,1),IF(ROUND(100/AF91*AG91-100,1)&gt;999,999,-999)))</f>
        <v>-163</v>
      </c>
      <c r="AI91" s="868"/>
      <c r="AJ91" s="799"/>
      <c r="AK91" s="565"/>
      <c r="AL91" s="561">
        <f t="shared" si="25"/>
        <v>-109.32328257793493</v>
      </c>
      <c r="AM91" s="561">
        <f t="shared" si="25"/>
        <v>145.26126056231004</v>
      </c>
      <c r="AN91" s="565">
        <f t="shared" si="27"/>
        <v>-232.9</v>
      </c>
      <c r="AO91" s="561">
        <f t="shared" si="26"/>
        <v>-109.32328257793493</v>
      </c>
      <c r="AP91" s="561">
        <f t="shared" si="26"/>
        <v>145.26126056231004</v>
      </c>
      <c r="AQ91" s="565">
        <f t="shared" si="28"/>
        <v>-232.9</v>
      </c>
    </row>
    <row r="92" spans="1:43" s="529" customFormat="1" ht="18.75" customHeight="1" x14ac:dyDescent="0.3">
      <c r="A92" s="556" t="s">
        <v>379</v>
      </c>
      <c r="B92" s="800"/>
      <c r="C92" s="799"/>
      <c r="D92" s="564"/>
      <c r="E92" s="800"/>
      <c r="F92" s="799"/>
      <c r="G92" s="559"/>
      <c r="H92" s="901"/>
      <c r="I92" s="564"/>
      <c r="J92" s="565"/>
      <c r="K92" s="800"/>
      <c r="L92" s="799"/>
      <c r="M92" s="564"/>
      <c r="N92" s="800"/>
      <c r="O92" s="799"/>
      <c r="P92" s="565"/>
      <c r="Q92" s="388"/>
      <c r="R92" s="564"/>
      <c r="S92" s="565"/>
      <c r="T92" s="800"/>
      <c r="U92" s="799"/>
      <c r="V92" s="565"/>
      <c r="W92" s="800"/>
      <c r="X92" s="799"/>
      <c r="Y92" s="559"/>
      <c r="Z92" s="388"/>
      <c r="AA92" s="564"/>
      <c r="AB92" s="565"/>
      <c r="AC92" s="800"/>
      <c r="AD92" s="799"/>
      <c r="AE92" s="565"/>
      <c r="AF92" s="800"/>
      <c r="AG92" s="799"/>
      <c r="AH92" s="559"/>
      <c r="AI92" s="868"/>
      <c r="AJ92" s="799"/>
      <c r="AK92" s="565"/>
      <c r="AL92" s="561">
        <f t="shared" si="25"/>
        <v>0</v>
      </c>
      <c r="AM92" s="561">
        <f t="shared" si="25"/>
        <v>0</v>
      </c>
      <c r="AN92" s="565" t="str">
        <f t="shared" si="27"/>
        <v xml:space="preserve">    ---- </v>
      </c>
      <c r="AO92" s="561">
        <f t="shared" si="26"/>
        <v>0</v>
      </c>
      <c r="AP92" s="561">
        <f t="shared" si="26"/>
        <v>0</v>
      </c>
      <c r="AQ92" s="565" t="str">
        <f t="shared" si="28"/>
        <v xml:space="preserve">    ---- </v>
      </c>
    </row>
    <row r="93" spans="1:43" s="529" customFormat="1" ht="18.75" customHeight="1" x14ac:dyDescent="0.3">
      <c r="A93" s="556" t="s">
        <v>380</v>
      </c>
      <c r="B93" s="800"/>
      <c r="C93" s="799"/>
      <c r="D93" s="564"/>
      <c r="E93" s="800"/>
      <c r="F93" s="799"/>
      <c r="G93" s="559"/>
      <c r="H93" s="901"/>
      <c r="I93" s="564">
        <v>1.6E-2</v>
      </c>
      <c r="J93" s="565" t="str">
        <f>IF(H93=0, "    ---- ", IF(ABS(ROUND(100/H93*I93-100,1))&lt;999,ROUND(100/H93*I93-100,1),IF(ROUND(100/H93*I93-100,1)&gt;999,999,-999)))</f>
        <v xml:space="preserve">    ---- </v>
      </c>
      <c r="K93" s="800"/>
      <c r="L93" s="799"/>
      <c r="M93" s="564"/>
      <c r="N93" s="800"/>
      <c r="O93" s="799"/>
      <c r="P93" s="565"/>
      <c r="Q93" s="388"/>
      <c r="R93" s="564"/>
      <c r="S93" s="565"/>
      <c r="T93" s="800"/>
      <c r="U93" s="799"/>
      <c r="V93" s="565"/>
      <c r="W93" s="800"/>
      <c r="X93" s="799"/>
      <c r="Y93" s="559"/>
      <c r="Z93" s="388"/>
      <c r="AA93" s="564"/>
      <c r="AB93" s="565"/>
      <c r="AC93" s="800"/>
      <c r="AD93" s="799"/>
      <c r="AE93" s="565"/>
      <c r="AF93" s="800"/>
      <c r="AG93" s="799"/>
      <c r="AH93" s="559"/>
      <c r="AI93" s="868"/>
      <c r="AJ93" s="799"/>
      <c r="AK93" s="565"/>
      <c r="AL93" s="561">
        <f t="shared" si="25"/>
        <v>0</v>
      </c>
      <c r="AM93" s="561">
        <f t="shared" si="25"/>
        <v>1.6E-2</v>
      </c>
      <c r="AN93" s="565" t="str">
        <f t="shared" si="27"/>
        <v xml:space="preserve">    ---- </v>
      </c>
      <c r="AO93" s="561">
        <f t="shared" si="26"/>
        <v>0</v>
      </c>
      <c r="AP93" s="561">
        <f t="shared" si="26"/>
        <v>1.6E-2</v>
      </c>
      <c r="AQ93" s="565" t="str">
        <f t="shared" si="28"/>
        <v xml:space="preserve">    ---- </v>
      </c>
    </row>
    <row r="94" spans="1:43" s="563" customFormat="1" ht="18.75" customHeight="1" x14ac:dyDescent="0.3">
      <c r="A94" s="550" t="s">
        <v>381</v>
      </c>
      <c r="B94" s="801">
        <v>-12.474</v>
      </c>
      <c r="C94" s="797">
        <f>SUM(C86:C91)+C93</f>
        <v>21.622</v>
      </c>
      <c r="D94" s="559">
        <f>IF(B94=0, "    ---- ", IF(ABS(ROUND(100/B94*C94-100,1))&lt;999,ROUND(100/B94*C94-100,1),IF(ROUND(100/B94*C94-100,1)&gt;999,999,-999)))</f>
        <v>-273.3</v>
      </c>
      <c r="E94" s="801"/>
      <c r="F94" s="797"/>
      <c r="G94" s="554"/>
      <c r="H94" s="566">
        <f>SUM(H86:H91)+H93</f>
        <v>-0.17999999999999972</v>
      </c>
      <c r="I94" s="566">
        <f>SUM(I86:I91)+I93</f>
        <v>17.638999999999996</v>
      </c>
      <c r="J94" s="567">
        <f>IF(H94=0, "    ---- ", IF(ABS(ROUND(100/H94*I94-100,1))&lt;999,ROUND(100/H94*I94-100,1),IF(ROUND(100/H94*I94-100,1)&gt;999,999,-999)))</f>
        <v>-999</v>
      </c>
      <c r="K94" s="801">
        <v>21</v>
      </c>
      <c r="L94" s="797">
        <f>SUM(L86:L91)+L93</f>
        <v>71.8</v>
      </c>
      <c r="M94" s="566">
        <f>IF(K94=0, "    ---- ", IF(ABS(ROUND(100/K94*L94-100,1))&lt;999,ROUND(100/K94*L94-100,1),IF(ROUND(100/K94*L94-100,1)&gt;999,999,-999)))</f>
        <v>241.9</v>
      </c>
      <c r="N94" s="801"/>
      <c r="O94" s="797"/>
      <c r="P94" s="567"/>
      <c r="Q94" s="551"/>
      <c r="R94" s="566"/>
      <c r="S94" s="567"/>
      <c r="T94" s="801"/>
      <c r="U94" s="797"/>
      <c r="V94" s="567"/>
      <c r="W94" s="801">
        <v>30.303960752471056</v>
      </c>
      <c r="X94" s="797">
        <f>SUM(X86:X91)+X93</f>
        <v>50.241931100183912</v>
      </c>
      <c r="Y94" s="554">
        <f t="shared" si="15"/>
        <v>65.8</v>
      </c>
      <c r="Z94" s="551"/>
      <c r="AA94" s="566"/>
      <c r="AB94" s="567"/>
      <c r="AC94" s="801"/>
      <c r="AD94" s="797"/>
      <c r="AE94" s="567"/>
      <c r="AF94" s="801">
        <v>178.10200000000003</v>
      </c>
      <c r="AG94" s="797">
        <f>SUM(AG86:AG91)+AG93</f>
        <v>149</v>
      </c>
      <c r="AH94" s="554">
        <f>IF(AF94=0, "    ---- ", IF(ABS(ROUND(100/AF94*AG94-100,1))&lt;999,ROUND(100/AF94*AG94-100,1),IF(ROUND(100/AF94*AG94-100,1)&gt;999,999,-999)))</f>
        <v>-16.3</v>
      </c>
      <c r="AI94" s="869"/>
      <c r="AJ94" s="797"/>
      <c r="AK94" s="567"/>
      <c r="AL94" s="562">
        <f t="shared" si="25"/>
        <v>216.75196075247109</v>
      </c>
      <c r="AM94" s="562">
        <f t="shared" si="25"/>
        <v>310.30293110018391</v>
      </c>
      <c r="AN94" s="567">
        <f t="shared" si="27"/>
        <v>43.2</v>
      </c>
      <c r="AO94" s="554">
        <f t="shared" si="26"/>
        <v>216.75196075247109</v>
      </c>
      <c r="AP94" s="943">
        <f t="shared" si="26"/>
        <v>310.30293110018391</v>
      </c>
      <c r="AQ94" s="567">
        <f t="shared" si="28"/>
        <v>43.2</v>
      </c>
    </row>
    <row r="95" spans="1:43" s="529" customFormat="1" ht="18.75" customHeight="1" x14ac:dyDescent="0.3">
      <c r="A95" s="556" t="s">
        <v>382</v>
      </c>
      <c r="B95" s="800"/>
      <c r="C95" s="799"/>
      <c r="D95" s="564"/>
      <c r="E95" s="800"/>
      <c r="F95" s="799"/>
      <c r="G95" s="559"/>
      <c r="H95" s="901"/>
      <c r="I95" s="564"/>
      <c r="J95" s="565"/>
      <c r="K95" s="800">
        <v>1</v>
      </c>
      <c r="L95" s="799">
        <v>2</v>
      </c>
      <c r="M95" s="564">
        <f>IF(K95=0, "    ---- ", IF(ABS(ROUND(100/K95*L95-100,1))&lt;999,ROUND(100/K95*L95-100,1),IF(ROUND(100/K95*L95-100,1)&gt;999,999,-999)))</f>
        <v>100</v>
      </c>
      <c r="N95" s="800"/>
      <c r="O95" s="799"/>
      <c r="P95" s="565"/>
      <c r="Q95" s="388"/>
      <c r="R95" s="564"/>
      <c r="S95" s="565"/>
      <c r="T95" s="800"/>
      <c r="U95" s="799"/>
      <c r="V95" s="565"/>
      <c r="W95" s="800">
        <v>-6.1435532111721258</v>
      </c>
      <c r="X95" s="799">
        <v>-2.5961919130886559</v>
      </c>
      <c r="Y95" s="559"/>
      <c r="Z95" s="388"/>
      <c r="AA95" s="564"/>
      <c r="AB95" s="565"/>
      <c r="AC95" s="800"/>
      <c r="AD95" s="799"/>
      <c r="AE95" s="565"/>
      <c r="AF95" s="800"/>
      <c r="AG95" s="799"/>
      <c r="AH95" s="559"/>
      <c r="AI95" s="868"/>
      <c r="AJ95" s="799"/>
      <c r="AK95" s="565"/>
      <c r="AL95" s="561">
        <f t="shared" ref="AL95:AM96" si="29">B95+E95+H95+K95+Q95+T95+W95+Z95+AF95+AI95</f>
        <v>-5.1435532111721258</v>
      </c>
      <c r="AM95" s="561">
        <f t="shared" si="29"/>
        <v>-0.59619191308865593</v>
      </c>
      <c r="AN95" s="565">
        <f t="shared" si="27"/>
        <v>-88.4</v>
      </c>
      <c r="AO95" s="561">
        <f t="shared" ref="AO95:AP96" si="30">+B95+E95+H95+K95+N95+Q95+T95+W95+Z95+AC95+AF95+AI95</f>
        <v>-5.1435532111721258</v>
      </c>
      <c r="AP95" s="561">
        <f t="shared" si="30"/>
        <v>-0.59619191308865593</v>
      </c>
      <c r="AQ95" s="565">
        <f t="shared" si="28"/>
        <v>-88.4</v>
      </c>
    </row>
    <row r="96" spans="1:43" s="529" customFormat="1" ht="18.75" customHeight="1" x14ac:dyDescent="0.3">
      <c r="A96" s="556" t="s">
        <v>383</v>
      </c>
      <c r="B96" s="800">
        <v>-12.474</v>
      </c>
      <c r="C96" s="799">
        <v>21.622</v>
      </c>
      <c r="D96" s="559">
        <f>IF(B96=0, "    ---- ", IF(ABS(ROUND(100/B96*C96-100,1))&lt;999,ROUND(100/B96*C96-100,1),IF(ROUND(100/B96*C96-100,1)&gt;999,999,-999)))</f>
        <v>-273.3</v>
      </c>
      <c r="E96" s="800"/>
      <c r="F96" s="799"/>
      <c r="G96" s="559"/>
      <c r="H96" s="901">
        <v>-0.17</v>
      </c>
      <c r="I96" s="564">
        <v>17.64</v>
      </c>
      <c r="J96" s="565">
        <f>IF(H96=0, "    ---- ", IF(ABS(ROUND(100/H96*I96-100,1))&lt;999,ROUND(100/H96*I96-100,1),IF(ROUND(100/H96*I96-100,1)&gt;999,999,-999)))</f>
        <v>-999</v>
      </c>
      <c r="K96" s="800">
        <v>20</v>
      </c>
      <c r="L96" s="799">
        <v>69.8</v>
      </c>
      <c r="M96" s="564">
        <f>IF(K96=0, "    ---- ", IF(ABS(ROUND(100/K96*L96-100,1))&lt;999,ROUND(100/K96*L96-100,1),IF(ROUND(100/K96*L96-100,1)&gt;999,999,-999)))</f>
        <v>249</v>
      </c>
      <c r="N96" s="800"/>
      <c r="O96" s="799"/>
      <c r="P96" s="565"/>
      <c r="Q96" s="388"/>
      <c r="R96" s="564"/>
      <c r="S96" s="565"/>
      <c r="T96" s="800"/>
      <c r="U96" s="799"/>
      <c r="V96" s="565"/>
      <c r="W96" s="800">
        <v>36.447513963643182</v>
      </c>
      <c r="X96" s="799">
        <v>52.838123013272565</v>
      </c>
      <c r="Y96" s="559">
        <f t="shared" si="15"/>
        <v>45</v>
      </c>
      <c r="Z96" s="388"/>
      <c r="AA96" s="564"/>
      <c r="AB96" s="565"/>
      <c r="AC96" s="800"/>
      <c r="AD96" s="799"/>
      <c r="AE96" s="565"/>
      <c r="AF96" s="800">
        <v>178.102</v>
      </c>
      <c r="AG96" s="799">
        <v>149</v>
      </c>
      <c r="AH96" s="559">
        <f>IF(AF96=0, "    ---- ", IF(ABS(ROUND(100/AF96*AG96-100,1))&lt;999,ROUND(100/AF96*AG96-100,1),IF(ROUND(100/AF96*AG96-100,1)&gt;999,999,-999)))</f>
        <v>-16.3</v>
      </c>
      <c r="AI96" s="868"/>
      <c r="AJ96" s="799"/>
      <c r="AK96" s="565"/>
      <c r="AL96" s="561">
        <f t="shared" si="29"/>
        <v>221.90551396364319</v>
      </c>
      <c r="AM96" s="561">
        <f t="shared" si="29"/>
        <v>310.90012301327255</v>
      </c>
      <c r="AN96" s="565">
        <f t="shared" si="27"/>
        <v>40.1</v>
      </c>
      <c r="AO96" s="561">
        <f t="shared" si="30"/>
        <v>221.90551396364319</v>
      </c>
      <c r="AP96" s="561">
        <f t="shared" si="30"/>
        <v>310.90012301327255</v>
      </c>
      <c r="AQ96" s="565">
        <f t="shared" si="28"/>
        <v>40.1</v>
      </c>
    </row>
    <row r="97" spans="1:44" s="529" customFormat="1" ht="18.75" customHeight="1" x14ac:dyDescent="0.3">
      <c r="A97" s="550" t="s">
        <v>390</v>
      </c>
      <c r="B97" s="800"/>
      <c r="C97" s="799"/>
      <c r="D97" s="564"/>
      <c r="E97" s="800"/>
      <c r="F97" s="799"/>
      <c r="G97" s="559"/>
      <c r="H97" s="901"/>
      <c r="I97" s="564"/>
      <c r="J97" s="565"/>
      <c r="K97" s="800"/>
      <c r="L97" s="799"/>
      <c r="M97" s="564"/>
      <c r="N97" s="800"/>
      <c r="O97" s="799"/>
      <c r="P97" s="565"/>
      <c r="Q97" s="388"/>
      <c r="R97" s="564"/>
      <c r="S97" s="565"/>
      <c r="T97" s="800"/>
      <c r="U97" s="799"/>
      <c r="V97" s="565"/>
      <c r="W97" s="800"/>
      <c r="X97" s="799"/>
      <c r="Y97" s="559"/>
      <c r="Z97" s="388"/>
      <c r="AA97" s="564"/>
      <c r="AB97" s="565"/>
      <c r="AC97" s="800"/>
      <c r="AD97" s="799"/>
      <c r="AE97" s="565"/>
      <c r="AF97" s="800"/>
      <c r="AG97" s="799"/>
      <c r="AH97" s="559"/>
      <c r="AI97" s="868"/>
      <c r="AJ97" s="799"/>
      <c r="AK97" s="565"/>
      <c r="AL97" s="564"/>
      <c r="AM97" s="564"/>
      <c r="AN97" s="565"/>
      <c r="AO97" s="564"/>
      <c r="AP97" s="564"/>
      <c r="AQ97" s="565"/>
    </row>
    <row r="98" spans="1:44" s="529" customFormat="1" ht="18.75" customHeight="1" x14ac:dyDescent="0.3">
      <c r="A98" s="556" t="s">
        <v>373</v>
      </c>
      <c r="B98" s="800"/>
      <c r="C98" s="799"/>
      <c r="D98" s="564"/>
      <c r="E98" s="800">
        <v>-227</v>
      </c>
      <c r="F98" s="799">
        <v>941.29399999999998</v>
      </c>
      <c r="G98" s="559">
        <f>IF(E98=0, "    ---- ", IF(ABS(ROUND(100/E98*F98-100,1))&lt;999,ROUND(100/E98*F98-100,1),IF(ROUND(100/E98*F98-100,1)&gt;999,999,-999)))</f>
        <v>-514.70000000000005</v>
      </c>
      <c r="H98" s="901"/>
      <c r="I98" s="564"/>
      <c r="J98" s="565"/>
      <c r="K98" s="800"/>
      <c r="L98" s="799"/>
      <c r="M98" s="564"/>
      <c r="N98" s="800"/>
      <c r="O98" s="799"/>
      <c r="P98" s="565"/>
      <c r="Q98" s="388"/>
      <c r="R98" s="564"/>
      <c r="S98" s="565"/>
      <c r="T98" s="800"/>
      <c r="U98" s="799"/>
      <c r="V98" s="565"/>
      <c r="W98" s="800"/>
      <c r="X98" s="799"/>
      <c r="Y98" s="559"/>
      <c r="Z98" s="388"/>
      <c r="AA98" s="564"/>
      <c r="AB98" s="565"/>
      <c r="AC98" s="800"/>
      <c r="AD98" s="799"/>
      <c r="AE98" s="565"/>
      <c r="AF98" s="800">
        <v>2E-3</v>
      </c>
      <c r="AG98" s="799">
        <v>0</v>
      </c>
      <c r="AH98" s="559">
        <f>IF(AF98=0, "    ---- ", IF(ABS(ROUND(100/AF98*AG98-100,1))&lt;999,ROUND(100/AF98*AG98-100,1),IF(ROUND(100/AF98*AG98-100,1)&gt;999,999,-999)))</f>
        <v>-100</v>
      </c>
      <c r="AI98" s="868"/>
      <c r="AJ98" s="799"/>
      <c r="AK98" s="565"/>
      <c r="AL98" s="561">
        <f t="shared" ref="AL98:AM106" si="31">B98+E98+H98+K98+Q98+T98+W98+Z98+AF98+AI98</f>
        <v>-226.99799999999999</v>
      </c>
      <c r="AM98" s="561">
        <f t="shared" si="31"/>
        <v>941.29399999999998</v>
      </c>
      <c r="AN98" s="565">
        <f t="shared" si="27"/>
        <v>-514.70000000000005</v>
      </c>
      <c r="AO98" s="561">
        <f t="shared" ref="AO98:AP105" si="32">+B98+E98+H98+K98+N98+Q98+T98+W98+Z98+AC98+AF98+AI98</f>
        <v>-226.99799999999999</v>
      </c>
      <c r="AP98" s="561">
        <f t="shared" si="32"/>
        <v>941.29399999999998</v>
      </c>
      <c r="AQ98" s="565">
        <f t="shared" si="28"/>
        <v>-514.70000000000005</v>
      </c>
    </row>
    <row r="99" spans="1:44" s="529" customFormat="1" ht="18.75" customHeight="1" x14ac:dyDescent="0.3">
      <c r="A99" s="556" t="s">
        <v>374</v>
      </c>
      <c r="B99" s="800"/>
      <c r="C99" s="799"/>
      <c r="D99" s="564"/>
      <c r="E99" s="800"/>
      <c r="F99" s="799"/>
      <c r="G99" s="559"/>
      <c r="H99" s="901"/>
      <c r="I99" s="564"/>
      <c r="J99" s="565"/>
      <c r="K99" s="800"/>
      <c r="L99" s="799"/>
      <c r="M99" s="564"/>
      <c r="N99" s="800"/>
      <c r="O99" s="799"/>
      <c r="P99" s="565"/>
      <c r="Q99" s="388"/>
      <c r="R99" s="564"/>
      <c r="S99" s="565"/>
      <c r="T99" s="800"/>
      <c r="U99" s="799"/>
      <c r="V99" s="565"/>
      <c r="W99" s="800"/>
      <c r="X99" s="799"/>
      <c r="Y99" s="559"/>
      <c r="Z99" s="388"/>
      <c r="AA99" s="564"/>
      <c r="AB99" s="565"/>
      <c r="AC99" s="800"/>
      <c r="AD99" s="799"/>
      <c r="AE99" s="565"/>
      <c r="AF99" s="800"/>
      <c r="AG99" s="799"/>
      <c r="AH99" s="559"/>
      <c r="AI99" s="868"/>
      <c r="AJ99" s="799"/>
      <c r="AK99" s="565"/>
      <c r="AL99" s="561">
        <f t="shared" si="31"/>
        <v>0</v>
      </c>
      <c r="AM99" s="561">
        <f t="shared" si="31"/>
        <v>0</v>
      </c>
      <c r="AN99" s="565" t="str">
        <f t="shared" si="27"/>
        <v xml:space="preserve">    ---- </v>
      </c>
      <c r="AO99" s="561">
        <f t="shared" si="32"/>
        <v>0</v>
      </c>
      <c r="AP99" s="561">
        <f t="shared" si="32"/>
        <v>0</v>
      </c>
      <c r="AQ99" s="565" t="str">
        <f t="shared" si="28"/>
        <v xml:space="preserve">    ---- </v>
      </c>
    </row>
    <row r="100" spans="1:44" s="529" customFormat="1" ht="18.75" customHeight="1" x14ac:dyDescent="0.3">
      <c r="A100" s="556" t="s">
        <v>375</v>
      </c>
      <c r="B100" s="800">
        <v>7.3079999999999998</v>
      </c>
      <c r="C100" s="799">
        <v>11.592000000000001</v>
      </c>
      <c r="D100" s="564">
        <f>IF(B100=0, "    ---- ", IF(ABS(ROUND(100/B100*C100-100,1))&lt;999,ROUND(100/B100*C100-100,1),IF(ROUND(100/B100*C100-100,1)&gt;999,999,-999)))</f>
        <v>58.6</v>
      </c>
      <c r="E100" s="800">
        <v>15</v>
      </c>
      <c r="F100" s="799">
        <v>15.646000000000001</v>
      </c>
      <c r="G100" s="559">
        <f>IF(E100=0, "    ---- ", IF(ABS(ROUND(100/E100*F100-100,1))&lt;999,ROUND(100/E100*F100-100,1),IF(ROUND(100/E100*F100-100,1)&gt;999,999,-999)))</f>
        <v>4.3</v>
      </c>
      <c r="H100" s="901"/>
      <c r="I100" s="564"/>
      <c r="J100" s="565"/>
      <c r="K100" s="800">
        <v>11.3</v>
      </c>
      <c r="L100" s="799">
        <v>1</v>
      </c>
      <c r="M100" s="564">
        <f>IF(K100=0, "    ---- ", IF(ABS(ROUND(100/K100*L100-100,1))&lt;999,ROUND(100/K100*L100-100,1),IF(ROUND(100/K100*L100-100,1)&gt;999,999,-999)))</f>
        <v>-91.2</v>
      </c>
      <c r="N100" s="800"/>
      <c r="O100" s="799"/>
      <c r="P100" s="565"/>
      <c r="Q100" s="388"/>
      <c r="R100" s="564"/>
      <c r="S100" s="565"/>
      <c r="T100" s="800"/>
      <c r="U100" s="799"/>
      <c r="V100" s="565"/>
      <c r="W100" s="800">
        <v>16.63814811986774</v>
      </c>
      <c r="X100" s="799">
        <v>13.811562749412756</v>
      </c>
      <c r="Y100" s="559">
        <f t="shared" si="15"/>
        <v>-17</v>
      </c>
      <c r="Z100" s="388"/>
      <c r="AA100" s="564"/>
      <c r="AB100" s="565"/>
      <c r="AC100" s="800">
        <v>12.4179365693701</v>
      </c>
      <c r="AD100" s="799">
        <v>12.9566504863111</v>
      </c>
      <c r="AE100" s="565">
        <f>IF(AC100=0, "    ---- ", IF(ABS(ROUND(100/AC100*AD100-100,1))&lt;999,ROUND(100/AC100*AD100-100,1),IF(ROUND(100/AC100*AD100-100,1)&gt;999,999,-999)))</f>
        <v>4.3</v>
      </c>
      <c r="AF100" s="800">
        <v>-5.1050000000000004</v>
      </c>
      <c r="AG100" s="799">
        <v>4</v>
      </c>
      <c r="AH100" s="559">
        <f>IF(AF100=0, "    ---- ", IF(ABS(ROUND(100/AF100*AG100-100,1))&lt;999,ROUND(100/AF100*AG100-100,1),IF(ROUND(100/AF100*AG100-100,1)&gt;999,999,-999)))</f>
        <v>-178.4</v>
      </c>
      <c r="AI100" s="868">
        <v>-6.6</v>
      </c>
      <c r="AJ100" s="799">
        <v>-34</v>
      </c>
      <c r="AK100" s="565">
        <f>IF(AI100=0, "    ---- ", IF(ABS(ROUND(100/AI100*AJ100-100,1))&lt;999,ROUND(100/AI100*AJ100-100,1),IF(ROUND(100/AI100*AJ100-100,1)&gt;999,999,-999)))</f>
        <v>415.2</v>
      </c>
      <c r="AL100" s="561">
        <f t="shared" si="31"/>
        <v>38.541148119867735</v>
      </c>
      <c r="AM100" s="561">
        <f t="shared" si="31"/>
        <v>12.049562749412758</v>
      </c>
      <c r="AN100" s="565">
        <f t="shared" si="27"/>
        <v>-68.7</v>
      </c>
      <c r="AO100" s="561">
        <f t="shared" si="32"/>
        <v>50.959084689237834</v>
      </c>
      <c r="AP100" s="561">
        <f t="shared" si="32"/>
        <v>25.006213235723855</v>
      </c>
      <c r="AQ100" s="565">
        <f t="shared" si="28"/>
        <v>-50.9</v>
      </c>
    </row>
    <row r="101" spans="1:44" s="529" customFormat="1" ht="18.75" customHeight="1" x14ac:dyDescent="0.3">
      <c r="A101" s="556" t="s">
        <v>376</v>
      </c>
      <c r="B101" s="800"/>
      <c r="C101" s="799"/>
      <c r="D101" s="564"/>
      <c r="E101" s="800"/>
      <c r="F101" s="799"/>
      <c r="G101" s="559"/>
      <c r="H101" s="901"/>
      <c r="I101" s="564"/>
      <c r="J101" s="565"/>
      <c r="K101" s="800"/>
      <c r="L101" s="799"/>
      <c r="M101" s="564"/>
      <c r="N101" s="800"/>
      <c r="O101" s="799"/>
      <c r="P101" s="565"/>
      <c r="Q101" s="388"/>
      <c r="R101" s="564"/>
      <c r="S101" s="565"/>
      <c r="T101" s="800"/>
      <c r="U101" s="799"/>
      <c r="V101" s="565"/>
      <c r="W101" s="800"/>
      <c r="X101" s="799"/>
      <c r="Y101" s="559"/>
      <c r="Z101" s="388"/>
      <c r="AA101" s="564"/>
      <c r="AB101" s="565"/>
      <c r="AC101" s="800"/>
      <c r="AD101" s="799"/>
      <c r="AE101" s="565"/>
      <c r="AF101" s="800"/>
      <c r="AG101" s="799"/>
      <c r="AH101" s="559"/>
      <c r="AI101" s="868"/>
      <c r="AJ101" s="799"/>
      <c r="AK101" s="565"/>
      <c r="AL101" s="561">
        <f t="shared" si="31"/>
        <v>0</v>
      </c>
      <c r="AM101" s="561">
        <f t="shared" si="31"/>
        <v>0</v>
      </c>
      <c r="AN101" s="565" t="str">
        <f t="shared" si="27"/>
        <v xml:space="preserve">    ---- </v>
      </c>
      <c r="AO101" s="561">
        <f t="shared" si="32"/>
        <v>0</v>
      </c>
      <c r="AP101" s="561">
        <f t="shared" si="32"/>
        <v>0</v>
      </c>
      <c r="AQ101" s="565" t="str">
        <f t="shared" si="28"/>
        <v xml:space="preserve">    ---- </v>
      </c>
    </row>
    <row r="102" spans="1:44" s="529" customFormat="1" ht="18.75" customHeight="1" x14ac:dyDescent="0.3">
      <c r="A102" s="556" t="s">
        <v>377</v>
      </c>
      <c r="B102" s="800"/>
      <c r="C102" s="799"/>
      <c r="D102" s="564"/>
      <c r="E102" s="800"/>
      <c r="F102" s="799"/>
      <c r="G102" s="559"/>
      <c r="H102" s="901"/>
      <c r="I102" s="564"/>
      <c r="J102" s="565"/>
      <c r="K102" s="800"/>
      <c r="L102" s="799"/>
      <c r="M102" s="564"/>
      <c r="N102" s="800"/>
      <c r="O102" s="799"/>
      <c r="P102" s="565"/>
      <c r="Q102" s="388"/>
      <c r="R102" s="564"/>
      <c r="S102" s="565"/>
      <c r="T102" s="800"/>
      <c r="U102" s="799"/>
      <c r="V102" s="565"/>
      <c r="W102" s="800"/>
      <c r="X102" s="799"/>
      <c r="Y102" s="559"/>
      <c r="Z102" s="388"/>
      <c r="AA102" s="564"/>
      <c r="AB102" s="565"/>
      <c r="AC102" s="800"/>
      <c r="AD102" s="799"/>
      <c r="AE102" s="565"/>
      <c r="AF102" s="800"/>
      <c r="AG102" s="799"/>
      <c r="AH102" s="559"/>
      <c r="AI102" s="868"/>
      <c r="AJ102" s="799"/>
      <c r="AK102" s="565"/>
      <c r="AL102" s="561">
        <f t="shared" si="31"/>
        <v>0</v>
      </c>
      <c r="AM102" s="561">
        <f t="shared" si="31"/>
        <v>0</v>
      </c>
      <c r="AN102" s="565" t="str">
        <f t="shared" si="27"/>
        <v xml:space="preserve">    ---- </v>
      </c>
      <c r="AO102" s="561">
        <f t="shared" si="32"/>
        <v>0</v>
      </c>
      <c r="AP102" s="561">
        <f t="shared" si="32"/>
        <v>0</v>
      </c>
      <c r="AQ102" s="565" t="str">
        <f t="shared" si="28"/>
        <v xml:space="preserve">    ---- </v>
      </c>
    </row>
    <row r="103" spans="1:44" s="529" customFormat="1" ht="18.75" customHeight="1" x14ac:dyDescent="0.3">
      <c r="A103" s="556" t="s">
        <v>378</v>
      </c>
      <c r="B103" s="800">
        <v>2.36</v>
      </c>
      <c r="C103" s="799">
        <v>-2.9740000000000002</v>
      </c>
      <c r="D103" s="564">
        <f>IF(B103=0, "    ---- ", IF(ABS(ROUND(100/B103*C103-100,1))&lt;999,ROUND(100/B103*C103-100,1),IF(ROUND(100/B103*C103-100,1)&gt;999,999,-999)))</f>
        <v>-226</v>
      </c>
      <c r="E103" s="800">
        <v>-1</v>
      </c>
      <c r="F103" s="799">
        <v>0.12</v>
      </c>
      <c r="G103" s="559">
        <f>IF(E103=0, "    ---- ", IF(ABS(ROUND(100/E103*F103-100,1))&lt;999,ROUND(100/E103*F103-100,1),IF(ROUND(100/E103*F103-100,1)&gt;999,999,-999)))</f>
        <v>-112</v>
      </c>
      <c r="H103" s="901"/>
      <c r="I103" s="564"/>
      <c r="J103" s="565"/>
      <c r="K103" s="800">
        <v>1.2</v>
      </c>
      <c r="L103" s="799">
        <v>1.6</v>
      </c>
      <c r="M103" s="564">
        <f>IF(K103=0, "    ---- ", IF(ABS(ROUND(100/K103*L103-100,1))&lt;999,ROUND(100/K103*L103-100,1),IF(ROUND(100/K103*L103-100,1)&gt;999,999,-999)))</f>
        <v>33.299999999999997</v>
      </c>
      <c r="N103" s="800"/>
      <c r="O103" s="799"/>
      <c r="P103" s="565"/>
      <c r="Q103" s="388"/>
      <c r="R103" s="564"/>
      <c r="S103" s="565"/>
      <c r="T103" s="800"/>
      <c r="U103" s="799"/>
      <c r="V103" s="565"/>
      <c r="W103" s="800">
        <v>-4.0377220000000014</v>
      </c>
      <c r="X103" s="799">
        <v>-4.5543994715737588</v>
      </c>
      <c r="Y103" s="559">
        <f t="shared" si="15"/>
        <v>12.8</v>
      </c>
      <c r="Z103" s="388"/>
      <c r="AA103" s="564"/>
      <c r="AB103" s="565"/>
      <c r="AC103" s="800"/>
      <c r="AD103" s="799"/>
      <c r="AE103" s="565"/>
      <c r="AF103" s="800">
        <v>-1.5349999999999999</v>
      </c>
      <c r="AG103" s="799">
        <v>-1</v>
      </c>
      <c r="AH103" s="559">
        <f>IF(AF103=0, "    ---- ", IF(ABS(ROUND(100/AF103*AG103-100,1))&lt;999,ROUND(100/AF103*AG103-100,1),IF(ROUND(100/AF103*AG103-100,1)&gt;999,999,-999)))</f>
        <v>-34.9</v>
      </c>
      <c r="AI103" s="868"/>
      <c r="AJ103" s="799">
        <v>-1</v>
      </c>
      <c r="AK103" s="565" t="str">
        <f>IF(AI103=0, "    ---- ", IF(ABS(ROUND(100/AI103*AJ103-100,1))&lt;999,ROUND(100/AI103*AJ103-100,1),IF(ROUND(100/AI103*AJ103-100,1)&gt;999,999,-999)))</f>
        <v xml:space="preserve">    ---- </v>
      </c>
      <c r="AL103" s="561">
        <f t="shared" si="31"/>
        <v>-3.0127220000000019</v>
      </c>
      <c r="AM103" s="561">
        <f t="shared" si="31"/>
        <v>-7.8083994715737592</v>
      </c>
      <c r="AN103" s="565">
        <f t="shared" si="27"/>
        <v>159.19999999999999</v>
      </c>
      <c r="AO103" s="561">
        <f t="shared" si="32"/>
        <v>-3.0127220000000019</v>
      </c>
      <c r="AP103" s="561">
        <f t="shared" si="32"/>
        <v>-7.8083994715737592</v>
      </c>
      <c r="AQ103" s="565">
        <f t="shared" si="28"/>
        <v>159.19999999999999</v>
      </c>
    </row>
    <row r="104" spans="1:44" s="529" customFormat="1" ht="18.75" customHeight="1" x14ac:dyDescent="0.3">
      <c r="A104" s="556" t="s">
        <v>379</v>
      </c>
      <c r="B104" s="800"/>
      <c r="C104" s="799"/>
      <c r="D104" s="564"/>
      <c r="E104" s="800"/>
      <c r="F104" s="799"/>
      <c r="G104" s="559"/>
      <c r="H104" s="901"/>
      <c r="I104" s="564"/>
      <c r="J104" s="565"/>
      <c r="K104" s="800"/>
      <c r="L104" s="799"/>
      <c r="M104" s="564"/>
      <c r="N104" s="800"/>
      <c r="O104" s="799"/>
      <c r="P104" s="565"/>
      <c r="Q104" s="388"/>
      <c r="R104" s="564"/>
      <c r="S104" s="565"/>
      <c r="T104" s="800"/>
      <c r="U104" s="799"/>
      <c r="V104" s="565"/>
      <c r="W104" s="800"/>
      <c r="X104" s="799"/>
      <c r="Y104" s="559"/>
      <c r="Z104" s="388"/>
      <c r="AA104" s="564"/>
      <c r="AB104" s="565"/>
      <c r="AC104" s="800"/>
      <c r="AD104" s="799"/>
      <c r="AE104" s="565"/>
      <c r="AF104" s="800"/>
      <c r="AG104" s="799"/>
      <c r="AH104" s="559"/>
      <c r="AI104" s="868"/>
      <c r="AJ104" s="799"/>
      <c r="AK104" s="565"/>
      <c r="AL104" s="561">
        <f t="shared" si="31"/>
        <v>0</v>
      </c>
      <c r="AM104" s="561">
        <f t="shared" si="31"/>
        <v>0</v>
      </c>
      <c r="AN104" s="565" t="str">
        <f t="shared" si="27"/>
        <v xml:space="preserve">    ---- </v>
      </c>
      <c r="AO104" s="561">
        <f t="shared" si="32"/>
        <v>0</v>
      </c>
      <c r="AP104" s="561">
        <f t="shared" si="32"/>
        <v>0</v>
      </c>
      <c r="AQ104" s="565" t="str">
        <f t="shared" si="28"/>
        <v xml:space="preserve">    ---- </v>
      </c>
    </row>
    <row r="105" spans="1:44" s="529" customFormat="1" ht="18.75" customHeight="1" x14ac:dyDescent="0.3">
      <c r="A105" s="556" t="s">
        <v>380</v>
      </c>
      <c r="B105" s="800"/>
      <c r="C105" s="799"/>
      <c r="D105" s="564"/>
      <c r="E105" s="800"/>
      <c r="F105" s="799"/>
      <c r="G105" s="559"/>
      <c r="H105" s="901"/>
      <c r="I105" s="564"/>
      <c r="J105" s="565"/>
      <c r="K105" s="800"/>
      <c r="L105" s="799"/>
      <c r="M105" s="564"/>
      <c r="N105" s="800"/>
      <c r="O105" s="799"/>
      <c r="P105" s="565"/>
      <c r="Q105" s="388"/>
      <c r="R105" s="564"/>
      <c r="S105" s="565"/>
      <c r="T105" s="800"/>
      <c r="U105" s="799"/>
      <c r="V105" s="565"/>
      <c r="W105" s="800"/>
      <c r="X105" s="799"/>
      <c r="Y105" s="559"/>
      <c r="Z105" s="388"/>
      <c r="AA105" s="564"/>
      <c r="AB105" s="565"/>
      <c r="AC105" s="800"/>
      <c r="AD105" s="799"/>
      <c r="AE105" s="565"/>
      <c r="AF105" s="800"/>
      <c r="AG105" s="799"/>
      <c r="AH105" s="559"/>
      <c r="AI105" s="868">
        <v>-2</v>
      </c>
      <c r="AJ105" s="799"/>
      <c r="AK105" s="565"/>
      <c r="AL105" s="561">
        <f t="shared" si="31"/>
        <v>-2</v>
      </c>
      <c r="AM105" s="561">
        <f t="shared" si="31"/>
        <v>0</v>
      </c>
      <c r="AN105" s="565">
        <f t="shared" si="27"/>
        <v>-100</v>
      </c>
      <c r="AO105" s="561">
        <f t="shared" si="32"/>
        <v>-2</v>
      </c>
      <c r="AP105" s="561">
        <f t="shared" si="32"/>
        <v>0</v>
      </c>
      <c r="AQ105" s="565">
        <f t="shared" si="28"/>
        <v>-100</v>
      </c>
    </row>
    <row r="106" spans="1:44" s="563" customFormat="1" ht="18.75" customHeight="1" x14ac:dyDescent="0.3">
      <c r="A106" s="550" t="s">
        <v>381</v>
      </c>
      <c r="B106" s="801">
        <v>9.6679999999999993</v>
      </c>
      <c r="C106" s="797">
        <f>SUM(C98:C103)+C105</f>
        <v>8.6180000000000003</v>
      </c>
      <c r="D106" s="566">
        <f>IF(B106=0, "    ---- ", IF(ABS(ROUND(100/B106*C106-100,1))&lt;999,ROUND(100/B106*C106-100,1),IF(ROUND(100/B106*C106-100,1)&gt;999,999,-999)))</f>
        <v>-10.9</v>
      </c>
      <c r="E106" s="801">
        <v>-213</v>
      </c>
      <c r="F106" s="797">
        <f>SUM(F98:F103)+F105</f>
        <v>957.06</v>
      </c>
      <c r="G106" s="554">
        <f>IF(E106=0, "    ---- ", IF(ABS(ROUND(100/E106*F106-100,1))&lt;999,ROUND(100/E106*F106-100,1),IF(ROUND(100/E106*F106-100,1)&gt;999,999,-999)))</f>
        <v>-549.29999999999995</v>
      </c>
      <c r="H106" s="902"/>
      <c r="I106" s="566"/>
      <c r="J106" s="567"/>
      <c r="K106" s="801">
        <v>12.5</v>
      </c>
      <c r="L106" s="797">
        <f>SUM(L98:L103)+L105</f>
        <v>2.6</v>
      </c>
      <c r="M106" s="566">
        <f>IF(K106=0, "    ---- ", IF(ABS(ROUND(100/K106*L106-100,1))&lt;999,ROUND(100/K106*L106-100,1),IF(ROUND(100/K106*L106-100,1)&gt;999,999,-999)))</f>
        <v>-79.2</v>
      </c>
      <c r="N106" s="801"/>
      <c r="O106" s="797"/>
      <c r="P106" s="567"/>
      <c r="Q106" s="551"/>
      <c r="R106" s="566"/>
      <c r="S106" s="567"/>
      <c r="T106" s="801"/>
      <c r="U106" s="797"/>
      <c r="V106" s="567"/>
      <c r="W106" s="801">
        <v>12.600426119867738</v>
      </c>
      <c r="X106" s="797">
        <f>SUM(X98:X103)+X105</f>
        <v>9.2571632778389983</v>
      </c>
      <c r="Y106" s="554">
        <f t="shared" si="15"/>
        <v>-26.5</v>
      </c>
      <c r="Z106" s="551"/>
      <c r="AA106" s="566"/>
      <c r="AB106" s="567"/>
      <c r="AC106" s="801">
        <v>12.4179365693701</v>
      </c>
      <c r="AD106" s="797">
        <f>SUM(AD98:AD103)+AD105</f>
        <v>12.9566504863111</v>
      </c>
      <c r="AE106" s="567">
        <f>IF(AC106=0, "    ---- ", IF(ABS(ROUND(100/AC106*AD106-100,1))&lt;999,ROUND(100/AC106*AD106-100,1),IF(ROUND(100/AC106*AD106-100,1)&gt;999,999,-999)))</f>
        <v>4.3</v>
      </c>
      <c r="AF106" s="801">
        <v>-6.6380000000000008</v>
      </c>
      <c r="AG106" s="797">
        <f>SUM(AG98:AG103)+AG105</f>
        <v>3</v>
      </c>
      <c r="AH106" s="554">
        <f>IF(AF106=0, "    ---- ", IF(ABS(ROUND(100/AF106*AG106-100,1))&lt;999,ROUND(100/AF106*AG106-100,1),IF(ROUND(100/AF106*AG106-100,1)&gt;999,999,-999)))</f>
        <v>-145.19999999999999</v>
      </c>
      <c r="AI106" s="869">
        <v>-8.6</v>
      </c>
      <c r="AJ106" s="797">
        <f>SUM(AJ98:AJ103)+AJ105</f>
        <v>-35</v>
      </c>
      <c r="AK106" s="567">
        <f>IF(AI106=0, "    ---- ", IF(ABS(ROUND(100/AI106*AJ106-100,1))&lt;999,ROUND(100/AI106*AJ106-100,1),IF(ROUND(100/AI106*AJ106-100,1)&gt;999,999,-999)))</f>
        <v>307</v>
      </c>
      <c r="AL106" s="562">
        <f t="shared" si="31"/>
        <v>-193.46957388013226</v>
      </c>
      <c r="AM106" s="562">
        <f t="shared" si="31"/>
        <v>945.53516327783905</v>
      </c>
      <c r="AN106" s="567">
        <f t="shared" si="27"/>
        <v>-588.70000000000005</v>
      </c>
      <c r="AO106" s="554">
        <f t="shared" ref="AO106:AP108" si="33">+B106+E106+H106+K106+N106+Q106+T106+W106+Z106+AC106+AF106+AI106</f>
        <v>-181.05163731076215</v>
      </c>
      <c r="AP106" s="943">
        <f t="shared" si="33"/>
        <v>958.49181376415015</v>
      </c>
      <c r="AQ106" s="567">
        <f t="shared" si="28"/>
        <v>-629.4</v>
      </c>
    </row>
    <row r="107" spans="1:44" s="529" customFormat="1" ht="18.75" customHeight="1" x14ac:dyDescent="0.3">
      <c r="A107" s="556" t="s">
        <v>382</v>
      </c>
      <c r="B107" s="800"/>
      <c r="C107" s="799"/>
      <c r="D107" s="564"/>
      <c r="E107" s="800">
        <v>-227</v>
      </c>
      <c r="F107" s="799">
        <v>941.35299999999995</v>
      </c>
      <c r="G107" s="559">
        <f>IF(E107=0, "    ---- ", IF(ABS(ROUND(100/E107*F107-100,1))&lt;999,ROUND(100/E107*F107-100,1),IF(ROUND(100/E107*F107-100,1)&gt;999,999,-999)))</f>
        <v>-514.70000000000005</v>
      </c>
      <c r="H107" s="901"/>
      <c r="I107" s="564"/>
      <c r="J107" s="565"/>
      <c r="K107" s="800"/>
      <c r="L107" s="799"/>
      <c r="M107" s="564"/>
      <c r="N107" s="800"/>
      <c r="O107" s="799"/>
      <c r="P107" s="565"/>
      <c r="Q107" s="388"/>
      <c r="R107" s="564"/>
      <c r="S107" s="565"/>
      <c r="T107" s="800"/>
      <c r="U107" s="799"/>
      <c r="V107" s="565"/>
      <c r="W107" s="800"/>
      <c r="X107" s="799"/>
      <c r="Y107" s="559"/>
      <c r="Z107" s="388"/>
      <c r="AA107" s="564"/>
      <c r="AB107" s="565"/>
      <c r="AC107" s="800"/>
      <c r="AD107" s="799"/>
      <c r="AE107" s="565"/>
      <c r="AF107" s="800"/>
      <c r="AG107" s="799"/>
      <c r="AH107" s="559"/>
      <c r="AI107" s="868"/>
      <c r="AJ107" s="799"/>
      <c r="AK107" s="565"/>
      <c r="AL107" s="561">
        <f t="shared" ref="AL107:AM107" si="34">B107+E107+H107+K107+Q107+T107+W107+Z107+AF107+AI107</f>
        <v>-227</v>
      </c>
      <c r="AM107" s="561">
        <f t="shared" si="34"/>
        <v>941.35299999999995</v>
      </c>
      <c r="AN107" s="565">
        <f t="shared" si="27"/>
        <v>-514.70000000000005</v>
      </c>
      <c r="AO107" s="561">
        <f t="shared" si="33"/>
        <v>-227</v>
      </c>
      <c r="AP107" s="561">
        <f t="shared" si="33"/>
        <v>941.35299999999995</v>
      </c>
      <c r="AQ107" s="565">
        <f t="shared" si="28"/>
        <v>-514.70000000000005</v>
      </c>
    </row>
    <row r="108" spans="1:44" s="529" customFormat="1" ht="18.75" customHeight="1" x14ac:dyDescent="0.3">
      <c r="A108" s="568" t="s">
        <v>383</v>
      </c>
      <c r="B108" s="802">
        <v>9.6679999999999993</v>
      </c>
      <c r="C108" s="803">
        <v>8.6170000000000009</v>
      </c>
      <c r="D108" s="570">
        <f>IF(B108=0, "    ---- ", IF(ABS(ROUND(100/B108*C108-100,1))&lt;999,ROUND(100/B108*C108-100,1),IF(ROUND(100/B108*C108-100,1)&gt;999,999,-999)))</f>
        <v>-10.9</v>
      </c>
      <c r="E108" s="802">
        <v>14</v>
      </c>
      <c r="F108" s="803">
        <v>15.707000000000001</v>
      </c>
      <c r="G108" s="571">
        <f>IF(E108=0, "    ---- ", IF(ABS(ROUND(100/E108*F108-100,1))&lt;999,ROUND(100/E108*F108-100,1),IF(ROUND(100/E108*F108-100,1)&gt;999,999,-999)))</f>
        <v>12.2</v>
      </c>
      <c r="H108" s="903"/>
      <c r="I108" s="570"/>
      <c r="J108" s="572"/>
      <c r="K108" s="802">
        <v>12.5</v>
      </c>
      <c r="L108" s="803">
        <v>2.6</v>
      </c>
      <c r="M108" s="570">
        <f>IF(K108=0, "    ---- ", IF(ABS(ROUND(100/K108*L108-100,1))&lt;999,ROUND(100/K108*L108-100,1),IF(ROUND(100/K108*L108-100,1)&gt;999,999,-999)))</f>
        <v>-79.2</v>
      </c>
      <c r="N108" s="802"/>
      <c r="O108" s="803"/>
      <c r="P108" s="572"/>
      <c r="Q108" s="569"/>
      <c r="R108" s="570"/>
      <c r="S108" s="572"/>
      <c r="T108" s="802"/>
      <c r="U108" s="803"/>
      <c r="V108" s="572"/>
      <c r="W108" s="802">
        <v>12.600426119867738</v>
      </c>
      <c r="X108" s="803">
        <v>9.2571632778389983</v>
      </c>
      <c r="Y108" s="571">
        <f t="shared" si="15"/>
        <v>-26.5</v>
      </c>
      <c r="Z108" s="569"/>
      <c r="AA108" s="570"/>
      <c r="AB108" s="572"/>
      <c r="AC108" s="802">
        <v>12.4179365693701</v>
      </c>
      <c r="AD108" s="803">
        <v>13</v>
      </c>
      <c r="AE108" s="572"/>
      <c r="AF108" s="802">
        <v>-6.6379999999999999</v>
      </c>
      <c r="AG108" s="803">
        <v>3</v>
      </c>
      <c r="AH108" s="571">
        <f>IF(AF108=0, "    ---- ", IF(ABS(ROUND(100/AF108*AG108-100,1))&lt;999,ROUND(100/AF108*AG108-100,1),IF(ROUND(100/AF108*AG108-100,1)&gt;999,999,-999)))</f>
        <v>-145.19999999999999</v>
      </c>
      <c r="AI108" s="870">
        <v>-8.8000000000000007</v>
      </c>
      <c r="AJ108" s="803">
        <v>-35</v>
      </c>
      <c r="AK108" s="572">
        <f>IF(AI108=0, "    ---- ", IF(ABS(ROUND(100/AI108*AJ108-100,1))&lt;999,ROUND(100/AI108*AJ108-100,1),IF(ROUND(100/AI108*AJ108-100,1)&gt;999,999,-999)))</f>
        <v>297.7</v>
      </c>
      <c r="AL108" s="569">
        <f>B108+E108+H108+K108+Q108+T108+W108+Z108+AF108+AI108</f>
        <v>33.330426119867738</v>
      </c>
      <c r="AM108" s="569">
        <f>C108+F108+I108+L108+R108+U108+X108+AA108+AG108+AJ108</f>
        <v>4.1811632778390049</v>
      </c>
      <c r="AN108" s="572">
        <f t="shared" si="27"/>
        <v>-87.5</v>
      </c>
      <c r="AO108" s="571">
        <f t="shared" si="33"/>
        <v>45.748362689237837</v>
      </c>
      <c r="AP108" s="571">
        <f t="shared" si="33"/>
        <v>17.181163277839005</v>
      </c>
      <c r="AQ108" s="572">
        <f t="shared" si="28"/>
        <v>-62.4</v>
      </c>
    </row>
    <row r="109" spans="1:44" s="529" customFormat="1" ht="18.75" customHeight="1" x14ac:dyDescent="0.3">
      <c r="A109" s="529" t="s">
        <v>257</v>
      </c>
      <c r="B109" s="581"/>
      <c r="C109" s="581"/>
      <c r="D109" s="581"/>
      <c r="E109" s="582"/>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581"/>
      <c r="AD109" s="581"/>
      <c r="AE109" s="581"/>
      <c r="AF109" s="581"/>
      <c r="AG109" s="581"/>
      <c r="AH109" s="581"/>
      <c r="AI109" s="581"/>
      <c r="AJ109" s="581"/>
      <c r="AK109" s="581"/>
      <c r="AL109" s="581"/>
      <c r="AM109" s="581"/>
      <c r="AN109" s="581"/>
      <c r="AO109" s="581"/>
      <c r="AP109" s="581"/>
      <c r="AQ109" s="581"/>
    </row>
    <row r="110" spans="1:44" s="494" customFormat="1" ht="18.75" customHeight="1" x14ac:dyDescent="0.3">
      <c r="A110" s="524"/>
      <c r="B110" s="583"/>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3"/>
      <c r="AL110" s="583"/>
      <c r="AM110" s="583"/>
      <c r="AN110" s="583"/>
      <c r="AO110" s="583"/>
      <c r="AP110" s="583"/>
      <c r="AQ110" s="583"/>
      <c r="AR110" s="524"/>
    </row>
    <row r="111" spans="1:44" ht="18.75" x14ac:dyDescent="0.3">
      <c r="A111" s="529"/>
    </row>
    <row r="112" spans="1:44" ht="18.75" x14ac:dyDescent="0.3">
      <c r="A112" s="529"/>
    </row>
    <row r="113" spans="1:1" ht="18.75" x14ac:dyDescent="0.3">
      <c r="A113" s="529"/>
    </row>
    <row r="114" spans="1:1" ht="18.75" x14ac:dyDescent="0.3">
      <c r="A114" s="529"/>
    </row>
    <row r="115" spans="1:1" ht="18.75" x14ac:dyDescent="0.3">
      <c r="A115" s="529"/>
    </row>
    <row r="116" spans="1:1" ht="18.75" x14ac:dyDescent="0.3">
      <c r="A116" s="529"/>
    </row>
    <row r="117" spans="1:1" ht="18.75" x14ac:dyDescent="0.3">
      <c r="A117" s="529"/>
    </row>
    <row r="118" spans="1:1" ht="18.75" x14ac:dyDescent="0.3">
      <c r="A118" s="529"/>
    </row>
    <row r="119" spans="1:1" ht="18.75" x14ac:dyDescent="0.3">
      <c r="A119" s="529"/>
    </row>
    <row r="120" spans="1:1" ht="18.75" x14ac:dyDescent="0.3">
      <c r="A120" s="529"/>
    </row>
    <row r="121" spans="1:1" ht="18.75" x14ac:dyDescent="0.3">
      <c r="A121" s="529"/>
    </row>
    <row r="122" spans="1:1" ht="18.75" x14ac:dyDescent="0.3">
      <c r="A122" s="529"/>
    </row>
    <row r="123" spans="1:1" ht="18.75" x14ac:dyDescent="0.3">
      <c r="A123" s="529"/>
    </row>
    <row r="124" spans="1:1" ht="18.75" x14ac:dyDescent="0.3">
      <c r="A124" s="529"/>
    </row>
    <row r="125" spans="1:1" ht="18.75" x14ac:dyDescent="0.3">
      <c r="A125" s="529"/>
    </row>
    <row r="126" spans="1:1" ht="18.75" x14ac:dyDescent="0.3">
      <c r="A126" s="529"/>
    </row>
    <row r="127" spans="1:1" ht="18.75" x14ac:dyDescent="0.3">
      <c r="A127" s="529"/>
    </row>
    <row r="128" spans="1:1" ht="18.75" x14ac:dyDescent="0.3">
      <c r="A128" s="529"/>
    </row>
    <row r="129" spans="1:1" ht="18.75" x14ac:dyDescent="0.3">
      <c r="A129" s="529"/>
    </row>
    <row r="130" spans="1:1" ht="18.75" x14ac:dyDescent="0.3">
      <c r="A130" s="529"/>
    </row>
    <row r="131" spans="1:1" ht="18.75" x14ac:dyDescent="0.3">
      <c r="A131" s="529"/>
    </row>
    <row r="132" spans="1:1" ht="18.75" x14ac:dyDescent="0.3">
      <c r="A132" s="529"/>
    </row>
    <row r="133" spans="1:1" ht="18.75" x14ac:dyDescent="0.3">
      <c r="A133" s="529"/>
    </row>
    <row r="134" spans="1:1" ht="18.75" x14ac:dyDescent="0.3">
      <c r="A134" s="529"/>
    </row>
    <row r="135" spans="1:1" ht="18.75" x14ac:dyDescent="0.3">
      <c r="A135" s="529"/>
    </row>
    <row r="136" spans="1:1" ht="18.75" x14ac:dyDescent="0.3">
      <c r="A136" s="529"/>
    </row>
    <row r="137" spans="1:1" ht="18.75" x14ac:dyDescent="0.3">
      <c r="A137" s="529"/>
    </row>
    <row r="138" spans="1:1" ht="18.75" x14ac:dyDescent="0.3">
      <c r="A138" s="529"/>
    </row>
    <row r="139" spans="1:1" ht="18.75" x14ac:dyDescent="0.3">
      <c r="A139" s="529"/>
    </row>
    <row r="140" spans="1:1" ht="18.75" x14ac:dyDescent="0.3">
      <c r="A140" s="529"/>
    </row>
    <row r="141" spans="1:1" ht="18.75" x14ac:dyDescent="0.3">
      <c r="A141" s="529"/>
    </row>
    <row r="142" spans="1:1" ht="18.75" x14ac:dyDescent="0.3">
      <c r="A142" s="529"/>
    </row>
    <row r="143" spans="1:1" ht="18.75" x14ac:dyDescent="0.3">
      <c r="A143" s="529"/>
    </row>
    <row r="144" spans="1:1" ht="18.75" x14ac:dyDescent="0.3">
      <c r="A144" s="529"/>
    </row>
    <row r="145" spans="1:1" ht="18.75" x14ac:dyDescent="0.3">
      <c r="A145" s="529"/>
    </row>
    <row r="146" spans="1:1" ht="18.75" x14ac:dyDescent="0.3">
      <c r="A146" s="529"/>
    </row>
    <row r="147" spans="1:1" ht="18.75" x14ac:dyDescent="0.3">
      <c r="A147" s="529"/>
    </row>
    <row r="148" spans="1:1" ht="18.75" x14ac:dyDescent="0.3">
      <c r="A148" s="529"/>
    </row>
    <row r="149" spans="1:1" ht="18.75" x14ac:dyDescent="0.3">
      <c r="A149" s="529"/>
    </row>
    <row r="150" spans="1:1" ht="18.75" x14ac:dyDescent="0.3">
      <c r="A150" s="529"/>
    </row>
    <row r="151" spans="1:1" ht="18.75" x14ac:dyDescent="0.3">
      <c r="A151" s="529"/>
    </row>
    <row r="152" spans="1:1" ht="18.75" x14ac:dyDescent="0.3">
      <c r="A152" s="529"/>
    </row>
    <row r="153" spans="1:1" ht="18.75" x14ac:dyDescent="0.3">
      <c r="A153" s="529"/>
    </row>
    <row r="154" spans="1:1" ht="18.75" x14ac:dyDescent="0.3">
      <c r="A154" s="529"/>
    </row>
    <row r="155" spans="1:1" ht="18.75" x14ac:dyDescent="0.3">
      <c r="A155" s="529"/>
    </row>
    <row r="156" spans="1:1" ht="18.75" x14ac:dyDescent="0.3">
      <c r="A156" s="529"/>
    </row>
    <row r="157" spans="1:1" ht="18.75" x14ac:dyDescent="0.3">
      <c r="A157" s="529"/>
    </row>
    <row r="158" spans="1:1" ht="18.75" x14ac:dyDescent="0.3">
      <c r="A158" s="529"/>
    </row>
    <row r="159" spans="1:1" ht="18.75" x14ac:dyDescent="0.3">
      <c r="A159" s="529"/>
    </row>
    <row r="160" spans="1:1" ht="18.75" x14ac:dyDescent="0.3">
      <c r="A160" s="529"/>
    </row>
    <row r="161" spans="1:1" ht="18.75" x14ac:dyDescent="0.3">
      <c r="A161" s="529"/>
    </row>
    <row r="162" spans="1:1" ht="18.75" x14ac:dyDescent="0.3">
      <c r="A162" s="529"/>
    </row>
    <row r="163" spans="1:1" ht="18.75" x14ac:dyDescent="0.3">
      <c r="A163" s="529"/>
    </row>
    <row r="164" spans="1:1" ht="18.75" x14ac:dyDescent="0.3">
      <c r="A164" s="529"/>
    </row>
    <row r="165" spans="1:1" ht="18.75" x14ac:dyDescent="0.3">
      <c r="A165" s="529"/>
    </row>
    <row r="166" spans="1:1" ht="18.75" x14ac:dyDescent="0.3">
      <c r="A166" s="529"/>
    </row>
    <row r="167" spans="1:1" ht="18.75" x14ac:dyDescent="0.3">
      <c r="A167" s="529"/>
    </row>
    <row r="168" spans="1:1" ht="18.75" x14ac:dyDescent="0.3">
      <c r="A168" s="529"/>
    </row>
    <row r="169" spans="1:1" ht="18.75" x14ac:dyDescent="0.3">
      <c r="A169" s="529"/>
    </row>
    <row r="170" spans="1:1" ht="18.75" x14ac:dyDescent="0.3">
      <c r="A170" s="529"/>
    </row>
    <row r="171" spans="1:1" ht="18.75" x14ac:dyDescent="0.3">
      <c r="A171" s="529"/>
    </row>
    <row r="172" spans="1:1" ht="18.75" x14ac:dyDescent="0.3">
      <c r="A172" s="529"/>
    </row>
    <row r="173" spans="1:1" ht="18.75" x14ac:dyDescent="0.3">
      <c r="A173" s="529"/>
    </row>
    <row r="174" spans="1:1" ht="18.75" x14ac:dyDescent="0.3">
      <c r="A174" s="529"/>
    </row>
    <row r="175" spans="1:1" ht="18.75" x14ac:dyDescent="0.3">
      <c r="A175" s="529"/>
    </row>
    <row r="176" spans="1:1" ht="18.75" x14ac:dyDescent="0.3">
      <c r="A176" s="529"/>
    </row>
    <row r="177" spans="1:1" ht="18.75" x14ac:dyDescent="0.3">
      <c r="A177" s="529"/>
    </row>
    <row r="178" spans="1:1" ht="18.75" x14ac:dyDescent="0.3">
      <c r="A178" s="529"/>
    </row>
    <row r="179" spans="1:1" ht="18.75" x14ac:dyDescent="0.3">
      <c r="A179" s="529"/>
    </row>
    <row r="180" spans="1:1" ht="18.75" x14ac:dyDescent="0.3">
      <c r="A180" s="529"/>
    </row>
    <row r="181" spans="1:1" ht="18.75" x14ac:dyDescent="0.3">
      <c r="A181" s="529"/>
    </row>
    <row r="182" spans="1:1" ht="18.75" x14ac:dyDescent="0.3">
      <c r="A182" s="529"/>
    </row>
    <row r="183" spans="1:1" ht="18.75" x14ac:dyDescent="0.3">
      <c r="A183" s="529"/>
    </row>
    <row r="184" spans="1:1" ht="18.75" x14ac:dyDescent="0.3">
      <c r="A184" s="529"/>
    </row>
    <row r="185" spans="1:1" ht="18.75" x14ac:dyDescent="0.3">
      <c r="A185" s="529"/>
    </row>
    <row r="186" spans="1:1" ht="18.75" x14ac:dyDescent="0.3">
      <c r="A186" s="529"/>
    </row>
    <row r="187" spans="1:1" ht="18.75" x14ac:dyDescent="0.3">
      <c r="A187" s="529"/>
    </row>
    <row r="188" spans="1:1" ht="18.75" x14ac:dyDescent="0.3">
      <c r="A188" s="529"/>
    </row>
    <row r="189" spans="1:1" ht="18.75" x14ac:dyDescent="0.3">
      <c r="A189" s="529"/>
    </row>
    <row r="190" spans="1:1" ht="18.75" x14ac:dyDescent="0.3">
      <c r="A190" s="529"/>
    </row>
  </sheetData>
  <mergeCells count="25">
    <mergeCell ref="AL7:AN7"/>
    <mergeCell ref="AO7:AQ7"/>
    <mergeCell ref="T7:V7"/>
    <mergeCell ref="W7:Y7"/>
    <mergeCell ref="Z7:AB7"/>
    <mergeCell ref="AC7:AE7"/>
    <mergeCell ref="AF7:AH7"/>
    <mergeCell ref="B7:D7"/>
    <mergeCell ref="E7:G7"/>
    <mergeCell ref="H7:J7"/>
    <mergeCell ref="K7:M7"/>
    <mergeCell ref="N7:P7"/>
    <mergeCell ref="Q7:S7"/>
    <mergeCell ref="Z6:AB6"/>
    <mergeCell ref="AF6:AH6"/>
    <mergeCell ref="AI6:AK6"/>
    <mergeCell ref="AI7:AK7"/>
    <mergeCell ref="AL6:AN6"/>
    <mergeCell ref="AO6:AQ6"/>
    <mergeCell ref="B6:D6"/>
    <mergeCell ref="E6:G6"/>
    <mergeCell ref="H6:J6"/>
    <mergeCell ref="K6:M6"/>
    <mergeCell ref="N6:P6"/>
    <mergeCell ref="T6:V6"/>
  </mergeCells>
  <conditionalFormatting sqref="Z20">
    <cfRule type="expression" dxfId="150" priority="449">
      <formula>#REF!="20≠21+22"</formula>
    </cfRule>
    <cfRule type="expression" dxfId="149" priority="450">
      <formula>#REF!="20≠12+13+14+15+16+17+19"</formula>
    </cfRule>
  </conditionalFormatting>
  <conditionalFormatting sqref="Z32">
    <cfRule type="expression" dxfId="148" priority="451">
      <formula>#REF!="32≠33+34"</formula>
    </cfRule>
  </conditionalFormatting>
  <conditionalFormatting sqref="Z44">
    <cfRule type="expression" dxfId="147" priority="452">
      <formula>#REF!="44≠45+46"</formula>
    </cfRule>
  </conditionalFormatting>
  <conditionalFormatting sqref="Z56">
    <cfRule type="expression" dxfId="146" priority="453">
      <formula>#REF!="56≠57+58"</formula>
    </cfRule>
  </conditionalFormatting>
  <conditionalFormatting sqref="Z70">
    <cfRule type="expression" dxfId="145" priority="454">
      <formula>#REF!="70≠62+63+64+65+66+67+69"</formula>
    </cfRule>
  </conditionalFormatting>
  <conditionalFormatting sqref="Z82">
    <cfRule type="expression" dxfId="144" priority="455">
      <formula>#REF!="82≠83+84"</formula>
    </cfRule>
  </conditionalFormatting>
  <conditionalFormatting sqref="Z94">
    <cfRule type="expression" dxfId="143" priority="456">
      <formula>#REF!="94≠95+96"</formula>
    </cfRule>
  </conditionalFormatting>
  <conditionalFormatting sqref="Z106">
    <cfRule type="expression" dxfId="142" priority="457">
      <formula>#REF!="106≠107+108"</formula>
    </cfRule>
  </conditionalFormatting>
  <conditionalFormatting sqref="Z32">
    <cfRule type="expression" dxfId="141" priority="458">
      <formula>#REF!="32≠24+25+26+27+28+29+31"</formula>
    </cfRule>
  </conditionalFormatting>
  <conditionalFormatting sqref="Z44">
    <cfRule type="expression" dxfId="140" priority="459">
      <formula>#REF!="44≠36+37+38+39+40+41+43"</formula>
    </cfRule>
  </conditionalFormatting>
  <conditionalFormatting sqref="Z56">
    <cfRule type="expression" dxfId="139" priority="460">
      <formula>#REF!="56≠48+49+50+51+52+53+55"</formula>
    </cfRule>
  </conditionalFormatting>
  <conditionalFormatting sqref="Z70">
    <cfRule type="expression" dxfId="138" priority="461">
      <formula>#REF!="70≠71+72"</formula>
    </cfRule>
  </conditionalFormatting>
  <conditionalFormatting sqref="Z82">
    <cfRule type="expression" dxfId="137" priority="462">
      <formula>#REF!="82≠74+75+76+77+78+79+81"</formula>
    </cfRule>
  </conditionalFormatting>
  <conditionalFormatting sqref="Z94">
    <cfRule type="expression" dxfId="136" priority="463">
      <formula>#REF!="94≠86+87+88+89+90+91+93"</formula>
    </cfRule>
  </conditionalFormatting>
  <conditionalFormatting sqref="Z106">
    <cfRule type="expression" dxfId="135" priority="464">
      <formula>#REF!="106≠98+99+100+101+102+103+105"</formula>
    </cfRule>
  </conditionalFormatting>
  <conditionalFormatting sqref="Q20">
    <cfRule type="expression" dxfId="134" priority="385">
      <formula>#REF!="20≠21+22"</formula>
    </cfRule>
    <cfRule type="expression" dxfId="133" priority="386">
      <formula>#REF!="20≠12+13+14+15+16+17+19"</formula>
    </cfRule>
  </conditionalFormatting>
  <conditionalFormatting sqref="Q32">
    <cfRule type="expression" dxfId="132" priority="387">
      <formula>#REF!="32≠33+34"</formula>
    </cfRule>
  </conditionalFormatting>
  <conditionalFormatting sqref="Q44">
    <cfRule type="expression" dxfId="131" priority="388">
      <formula>#REF!="44≠45+46"</formula>
    </cfRule>
  </conditionalFormatting>
  <conditionalFormatting sqref="Q56">
    <cfRule type="expression" dxfId="130" priority="389">
      <formula>#REF!="56≠57+58"</formula>
    </cfRule>
  </conditionalFormatting>
  <conditionalFormatting sqref="Q70">
    <cfRule type="expression" dxfId="129" priority="390">
      <formula>#REF!="70≠62+63+64+65+66+67+69"</formula>
    </cfRule>
  </conditionalFormatting>
  <conditionalFormatting sqref="Q82">
    <cfRule type="expression" dxfId="128" priority="391">
      <formula>#REF!="82≠83+84"</formula>
    </cfRule>
  </conditionalFormatting>
  <conditionalFormatting sqref="Q94">
    <cfRule type="expression" dxfId="127" priority="392">
      <formula>#REF!="94≠95+96"</formula>
    </cfRule>
  </conditionalFormatting>
  <conditionalFormatting sqref="Q106">
    <cfRule type="expression" dxfId="126" priority="393">
      <formula>#REF!="106≠107+108"</formula>
    </cfRule>
  </conditionalFormatting>
  <conditionalFormatting sqref="Q32">
    <cfRule type="expression" dxfId="125" priority="394">
      <formula>#REF!="32≠24+25+26+27+28+29+31"</formula>
    </cfRule>
  </conditionalFormatting>
  <conditionalFormatting sqref="Q44">
    <cfRule type="expression" dxfId="124" priority="395">
      <formula>#REF!="44≠36+37+38+39+40+41+43"</formula>
    </cfRule>
  </conditionalFormatting>
  <conditionalFormatting sqref="Q56">
    <cfRule type="expression" dxfId="123" priority="396">
      <formula>#REF!="56≠48+49+50+51+52+53+55"</formula>
    </cfRule>
  </conditionalFormatting>
  <conditionalFormatting sqref="Q70">
    <cfRule type="expression" dxfId="122" priority="397">
      <formula>#REF!="70≠71+72"</formula>
    </cfRule>
  </conditionalFormatting>
  <conditionalFormatting sqref="Q82">
    <cfRule type="expression" dxfId="121" priority="398">
      <formula>#REF!="82≠74+75+76+77+78+79+81"</formula>
    </cfRule>
  </conditionalFormatting>
  <conditionalFormatting sqref="Q94">
    <cfRule type="expression" dxfId="120" priority="399">
      <formula>#REF!="94≠86+87+88+89+90+91+93"</formula>
    </cfRule>
  </conditionalFormatting>
  <conditionalFormatting sqref="Q106">
    <cfRule type="expression" dxfId="119" priority="400">
      <formula>#REF!="106≠98+99+100+101+102+103+105"</formula>
    </cfRule>
  </conditionalFormatting>
  <conditionalFormatting sqref="AA20 R20 K20:L20 B20:C20 AI20:AJ20 W20:X20 E20:F20 H20:I20 N20:O20 AC20:AD20 T20:U20 AF20:AG20">
    <cfRule type="expression" dxfId="118" priority="1480">
      <formula>#REF!="20≠21+22"</formula>
    </cfRule>
    <cfRule type="expression" dxfId="117" priority="1481">
      <formula>#REF!="20≠12+13+14+15+16+17+19"</formula>
    </cfRule>
  </conditionalFormatting>
  <conditionalFormatting sqref="AA32 R32 K32:L32 B32:C32 AI32:AJ32 W32:X32 E32:F32 H32:I32 N32:O32 AC32:AD32 T32:U32 AF32:AG32">
    <cfRule type="expression" dxfId="116" priority="1482">
      <formula>#REF!="32≠33+34"</formula>
    </cfRule>
  </conditionalFormatting>
  <conditionalFormatting sqref="AA44 R44 K44:L44 B44:C44 AI44:AJ44 W44:X44 E44:F44 H44:I44 N44:O44 AC44:AD44 T44:U44 AF44:AG44">
    <cfRule type="expression" dxfId="115" priority="1483">
      <formula>#REF!="44≠45+46"</formula>
    </cfRule>
  </conditionalFormatting>
  <conditionalFormatting sqref="AA56 R56 K56:L56 B56:C56 AI56:AJ56 W56:X56 E56:F56 H56:I56 N56:O56 AC56:AD56 T56:U56 AF56:AG56">
    <cfRule type="expression" dxfId="114" priority="1484">
      <formula>#REF!="56≠57+58"</formula>
    </cfRule>
  </conditionalFormatting>
  <conditionalFormatting sqref="AA70 R70 K70:L70 B70:C70 AI70:AJ70 W70:X70 E70:F70 H70:I70 N70:O70 AC70:AD70 T70:U70 AF70:AG70">
    <cfRule type="expression" dxfId="113" priority="1485">
      <formula>#REF!="70≠62+63+64+65+66+67+69"</formula>
    </cfRule>
  </conditionalFormatting>
  <conditionalFormatting sqref="AA82 R82 K82:L82 B82:C82 AI82:AJ82 W82:X82 E82:F82 H82:I82 N82:O82 AC82:AD82 T82:U82 AF82:AG82">
    <cfRule type="expression" dxfId="112" priority="1486">
      <formula>#REF!="82≠83+84"</formula>
    </cfRule>
  </conditionalFormatting>
  <conditionalFormatting sqref="AA94 R94 K94:L94 B94:C94 AI94:AJ94 W94:X94 E94:F94 H94:I94 N94:O94 AC94:AD94 T94:U94 AF94:AG94">
    <cfRule type="expression" dxfId="111" priority="1487">
      <formula>#REF!="94≠95+96"</formula>
    </cfRule>
  </conditionalFormatting>
  <conditionalFormatting sqref="AA106 R106 K106:L106 B106:C106 AI106:AJ106 W106:X106 E106:F106 H106:I106 N106:O106 AC106:AD106 T106:U106 AF106:AG106">
    <cfRule type="expression" dxfId="110" priority="1488">
      <formula>#REF!="106≠107+108"</formula>
    </cfRule>
  </conditionalFormatting>
  <conditionalFormatting sqref="AA32 R32 K32:L32 B32:C32 AI32:AJ32 W32:X32 E32:F32 H32:I32 N32:O32 AC32:AD32 T32:U32 AF32:AG32">
    <cfRule type="expression" dxfId="109" priority="1489">
      <formula>#REF!="32≠24+25+26+27+28+29+31"</formula>
    </cfRule>
  </conditionalFormatting>
  <conditionalFormatting sqref="AA44 R44 K44:L44 B44:C44 AI44:AJ44 W44:X44 E44:F44 H44:I44 N44:O44 AC44:AD44 T44:U44 AF44:AG44">
    <cfRule type="expression" dxfId="108" priority="1490">
      <formula>#REF!="44≠36+37+38+39+40+41+43"</formula>
    </cfRule>
  </conditionalFormatting>
  <conditionalFormatting sqref="AA56 R56 K56:L56 B56:C56 AI56:AJ56 W56:X56 E56:F56 H56:I56 N56:O56 AC56:AD56 T56:U56 AF56:AG56">
    <cfRule type="expression" dxfId="107" priority="1491">
      <formula>#REF!="56≠48+49+50+51+52+53+55"</formula>
    </cfRule>
  </conditionalFormatting>
  <conditionalFormatting sqref="AA70 R70 K70:L70 B70:C70 AI70:AJ70 W70:X70 E70:F70 H70:I70 N70:O70 AC70:AD70 T70:U70 AF70:AG70">
    <cfRule type="expression" dxfId="106" priority="1492">
      <formula>#REF!="70≠71+72"</formula>
    </cfRule>
  </conditionalFormatting>
  <conditionalFormatting sqref="AA82 R82 K82:L82 B82:C82 AI82:AJ82 W82:X82 E82:F82 H82:I82 N82:O82 AC82:AD82 T82:U82 AF82:AG82">
    <cfRule type="expression" dxfId="105" priority="1493">
      <formula>#REF!="82≠74+75+76+77+78+79+81"</formula>
    </cfRule>
  </conditionalFormatting>
  <conditionalFormatting sqref="AA94 R94 K94:L94 B94:C94 AI94:AJ94 W94:X94 E94:F94 H94:I94 N94:O94 AC94:AD94 T94:U94 AF94:AG94">
    <cfRule type="expression" dxfId="104" priority="1494">
      <formula>#REF!="94≠86+87+88+89+90+91+93"</formula>
    </cfRule>
  </conditionalFormatting>
  <conditionalFormatting sqref="AA106 R106 K106:L106 B106:C106 AI106:AJ106 W106:X106 E106:F106 H106:I106 N106:O106 AC106:AD106 T106:U106 AF106:AG106">
    <cfRule type="expression" dxfId="103" priority="1495">
      <formula>#REF!="106≠98+99+100+101+102+103+105"</formula>
    </cfRule>
  </conditionalFormatting>
  <hyperlinks>
    <hyperlink ref="B1" location="Innhold!A1" display="Tilbake" xr:uid="{00000000-0004-0000-1F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rowBreaks count="1" manualBreakCount="1">
    <brk id="59" max="39" man="1"/>
  </rowBreaks>
  <colBreaks count="4" manualBreakCount="4">
    <brk id="10" min="1" max="108" man="1"/>
    <brk id="19" min="1" max="108" man="1"/>
    <brk id="28" min="1" max="108" man="1"/>
    <brk id="34" min="1" max="108"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U221"/>
  <sheetViews>
    <sheetView showGridLines="0" zoomScale="60" zoomScaleNormal="60" workbookViewId="0">
      <pane xSplit="1" ySplit="9" topLeftCell="B10" activePane="bottomRight" state="frozen"/>
      <selection activeCell="AU39" sqref="AU39"/>
      <selection pane="topRight" activeCell="AU39" sqref="AU39"/>
      <selection pane="bottomLeft" activeCell="AU39" sqref="AU39"/>
      <selection pane="bottomRight" activeCell="A5" sqref="A5"/>
    </sheetView>
  </sheetViews>
  <sheetFormatPr baseColWidth="10" defaultColWidth="12.5703125" defaultRowHeight="15.75" x14ac:dyDescent="0.25"/>
  <cols>
    <col min="1" max="1" width="90.7109375" style="585" customWidth="1"/>
    <col min="2" max="43" width="11.7109375" style="585" customWidth="1"/>
    <col min="44" max="44" width="0" style="585" hidden="1" customWidth="1"/>
    <col min="45" max="16384" width="12.5703125" style="585"/>
  </cols>
  <sheetData>
    <row r="1" spans="1:47" ht="20.25" customHeight="1" x14ac:dyDescent="0.3">
      <c r="A1" s="528" t="s">
        <v>176</v>
      </c>
      <c r="B1" s="420" t="s">
        <v>52</v>
      </c>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row>
    <row r="2" spans="1:47" ht="20.100000000000001" customHeight="1" x14ac:dyDescent="0.3">
      <c r="A2" s="586" t="s">
        <v>265</v>
      </c>
      <c r="B2" s="584"/>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row>
    <row r="3" spans="1:47" ht="20.100000000000001" customHeight="1" x14ac:dyDescent="0.3">
      <c r="A3" s="587" t="s">
        <v>391</v>
      </c>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row>
    <row r="4" spans="1:47" ht="20.100000000000001" customHeight="1" x14ac:dyDescent="0.3">
      <c r="A4" s="588" t="s">
        <v>392</v>
      </c>
      <c r="B4" s="589"/>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9"/>
      <c r="AD4" s="589"/>
      <c r="AE4" s="589"/>
      <c r="AF4" s="584"/>
      <c r="AG4" s="584"/>
      <c r="AH4" s="584"/>
      <c r="AI4" s="584"/>
      <c r="AJ4" s="584"/>
      <c r="AK4" s="584"/>
      <c r="AL4" s="584"/>
      <c r="AM4" s="584"/>
      <c r="AN4" s="584"/>
      <c r="AO4" s="584"/>
      <c r="AP4" s="584"/>
      <c r="AQ4" s="584"/>
      <c r="AR4" s="589"/>
      <c r="AS4" s="584"/>
      <c r="AT4" s="584"/>
      <c r="AU4" s="584"/>
    </row>
    <row r="5" spans="1:47" ht="18.75" customHeight="1" x14ac:dyDescent="0.3">
      <c r="A5" s="590" t="s">
        <v>367</v>
      </c>
      <c r="B5" s="591"/>
      <c r="C5" s="591"/>
      <c r="D5" s="592"/>
      <c r="E5" s="593"/>
      <c r="F5" s="591"/>
      <c r="G5" s="592"/>
      <c r="H5" s="593"/>
      <c r="I5" s="591"/>
      <c r="J5" s="592"/>
      <c r="K5" s="591"/>
      <c r="L5" s="591"/>
      <c r="M5" s="591"/>
      <c r="N5" s="591"/>
      <c r="O5" s="591"/>
      <c r="P5" s="592"/>
      <c r="Q5" s="593"/>
      <c r="R5" s="591"/>
      <c r="S5" s="592"/>
      <c r="T5" s="593"/>
      <c r="U5" s="591"/>
      <c r="V5" s="592"/>
      <c r="W5" s="593"/>
      <c r="X5" s="591"/>
      <c r="Y5" s="592"/>
      <c r="Z5" s="593"/>
      <c r="AA5" s="591"/>
      <c r="AB5" s="592"/>
      <c r="AC5" s="593"/>
      <c r="AD5" s="591"/>
      <c r="AE5" s="592"/>
      <c r="AF5" s="593"/>
      <c r="AG5" s="591"/>
      <c r="AH5" s="592"/>
      <c r="AI5" s="593"/>
      <c r="AJ5" s="591"/>
      <c r="AK5" s="592"/>
      <c r="AL5" s="593"/>
      <c r="AM5" s="591"/>
      <c r="AN5" s="592"/>
      <c r="AO5" s="593"/>
      <c r="AP5" s="591"/>
      <c r="AQ5" s="592"/>
      <c r="AR5" s="589"/>
      <c r="AS5" s="589"/>
      <c r="AT5" s="584"/>
      <c r="AU5" s="584"/>
    </row>
    <row r="6" spans="1:47" ht="18.75" customHeight="1" x14ac:dyDescent="0.3">
      <c r="A6" s="594" t="s">
        <v>104</v>
      </c>
      <c r="B6" s="994" t="s">
        <v>179</v>
      </c>
      <c r="C6" s="995"/>
      <c r="D6" s="996"/>
      <c r="E6" s="994" t="s">
        <v>180</v>
      </c>
      <c r="F6" s="995"/>
      <c r="G6" s="996"/>
      <c r="H6" s="994" t="s">
        <v>181</v>
      </c>
      <c r="I6" s="995"/>
      <c r="J6" s="996"/>
      <c r="K6" s="994" t="s">
        <v>182</v>
      </c>
      <c r="L6" s="995"/>
      <c r="M6" s="996"/>
      <c r="N6" s="994" t="s">
        <v>183</v>
      </c>
      <c r="O6" s="995"/>
      <c r="P6" s="996"/>
      <c r="Q6" s="934" t="s">
        <v>183</v>
      </c>
      <c r="R6" s="935"/>
      <c r="S6" s="936"/>
      <c r="T6" s="994" t="s">
        <v>63</v>
      </c>
      <c r="U6" s="995"/>
      <c r="V6" s="996"/>
      <c r="W6" s="855"/>
      <c r="X6" s="856"/>
      <c r="Y6" s="857"/>
      <c r="Z6" s="994" t="s">
        <v>184</v>
      </c>
      <c r="AA6" s="995"/>
      <c r="AB6" s="996"/>
      <c r="AC6" s="883"/>
      <c r="AD6" s="884"/>
      <c r="AE6" s="885"/>
      <c r="AF6" s="994"/>
      <c r="AG6" s="995"/>
      <c r="AH6" s="996"/>
      <c r="AI6" s="994" t="s">
        <v>75</v>
      </c>
      <c r="AJ6" s="995"/>
      <c r="AK6" s="996"/>
      <c r="AL6" s="991" t="s">
        <v>2</v>
      </c>
      <c r="AM6" s="992"/>
      <c r="AN6" s="993"/>
      <c r="AO6" s="994" t="s">
        <v>2</v>
      </c>
      <c r="AP6" s="995"/>
      <c r="AQ6" s="996"/>
      <c r="AR6" s="589"/>
      <c r="AS6" s="589"/>
      <c r="AT6" s="584"/>
      <c r="AU6" s="584"/>
    </row>
    <row r="7" spans="1:47" ht="18.75" customHeight="1" x14ac:dyDescent="0.3">
      <c r="A7" s="595"/>
      <c r="B7" s="997" t="s">
        <v>185</v>
      </c>
      <c r="C7" s="998"/>
      <c r="D7" s="999"/>
      <c r="E7" s="997" t="s">
        <v>186</v>
      </c>
      <c r="F7" s="998"/>
      <c r="G7" s="999"/>
      <c r="H7" s="997" t="s">
        <v>186</v>
      </c>
      <c r="I7" s="998"/>
      <c r="J7" s="999"/>
      <c r="K7" s="997" t="s">
        <v>187</v>
      </c>
      <c r="L7" s="998"/>
      <c r="M7" s="999"/>
      <c r="N7" s="997" t="s">
        <v>93</v>
      </c>
      <c r="O7" s="998"/>
      <c r="P7" s="999"/>
      <c r="Q7" s="997" t="s">
        <v>63</v>
      </c>
      <c r="R7" s="998"/>
      <c r="S7" s="999"/>
      <c r="T7" s="997" t="s">
        <v>188</v>
      </c>
      <c r="U7" s="998"/>
      <c r="V7" s="999"/>
      <c r="W7" s="997" t="s">
        <v>68</v>
      </c>
      <c r="X7" s="998"/>
      <c r="Y7" s="999"/>
      <c r="Z7" s="997" t="s">
        <v>185</v>
      </c>
      <c r="AA7" s="998"/>
      <c r="AB7" s="999"/>
      <c r="AC7" s="997" t="s">
        <v>74</v>
      </c>
      <c r="AD7" s="998"/>
      <c r="AE7" s="999"/>
      <c r="AF7" s="997" t="s">
        <v>70</v>
      </c>
      <c r="AG7" s="998"/>
      <c r="AH7" s="999"/>
      <c r="AI7" s="997" t="s">
        <v>186</v>
      </c>
      <c r="AJ7" s="998"/>
      <c r="AK7" s="999"/>
      <c r="AL7" s="1000" t="s">
        <v>291</v>
      </c>
      <c r="AM7" s="1001"/>
      <c r="AN7" s="1002"/>
      <c r="AO7" s="1003" t="s">
        <v>292</v>
      </c>
      <c r="AP7" s="1004"/>
      <c r="AQ7" s="1005"/>
      <c r="AR7" s="589"/>
      <c r="AS7" s="589"/>
      <c r="AT7" s="584"/>
      <c r="AU7" s="584"/>
    </row>
    <row r="8" spans="1:47" ht="18.75" customHeight="1" x14ac:dyDescent="0.3">
      <c r="A8" s="595"/>
      <c r="B8" s="540"/>
      <c r="C8" s="540"/>
      <c r="D8" s="541" t="s">
        <v>83</v>
      </c>
      <c r="E8" s="540"/>
      <c r="F8" s="540"/>
      <c r="G8" s="541" t="s">
        <v>83</v>
      </c>
      <c r="H8" s="540"/>
      <c r="I8" s="540"/>
      <c r="J8" s="541" t="s">
        <v>83</v>
      </c>
      <c r="K8" s="540"/>
      <c r="L8" s="540"/>
      <c r="M8" s="541" t="s">
        <v>83</v>
      </c>
      <c r="N8" s="540"/>
      <c r="O8" s="540"/>
      <c r="P8" s="541" t="s">
        <v>83</v>
      </c>
      <c r="Q8" s="540"/>
      <c r="R8" s="540"/>
      <c r="S8" s="541" t="s">
        <v>83</v>
      </c>
      <c r="T8" s="540"/>
      <c r="U8" s="540"/>
      <c r="V8" s="541" t="s">
        <v>83</v>
      </c>
      <c r="W8" s="540"/>
      <c r="X8" s="540"/>
      <c r="Y8" s="541" t="s">
        <v>83</v>
      </c>
      <c r="Z8" s="540"/>
      <c r="AA8" s="540"/>
      <c r="AB8" s="541" t="s">
        <v>83</v>
      </c>
      <c r="AC8" s="540"/>
      <c r="AD8" s="540"/>
      <c r="AE8" s="541" t="s">
        <v>83</v>
      </c>
      <c r="AF8" s="540"/>
      <c r="AG8" s="540"/>
      <c r="AH8" s="541" t="s">
        <v>83</v>
      </c>
      <c r="AI8" s="540"/>
      <c r="AJ8" s="540"/>
      <c r="AK8" s="541" t="s">
        <v>83</v>
      </c>
      <c r="AL8" s="540"/>
      <c r="AM8" s="540"/>
      <c r="AN8" s="541" t="s">
        <v>83</v>
      </c>
      <c r="AO8" s="540"/>
      <c r="AP8" s="540"/>
      <c r="AQ8" s="541" t="s">
        <v>83</v>
      </c>
      <c r="AR8" s="589"/>
      <c r="AS8" s="589"/>
      <c r="AT8" s="584"/>
      <c r="AU8" s="584"/>
    </row>
    <row r="9" spans="1:47" ht="18.75" customHeight="1" x14ac:dyDescent="0.3">
      <c r="A9" s="596" t="s">
        <v>293</v>
      </c>
      <c r="B9" s="543">
        <v>2018</v>
      </c>
      <c r="C9" s="543">
        <v>2019</v>
      </c>
      <c r="D9" s="544" t="s">
        <v>85</v>
      </c>
      <c r="E9" s="842">
        <v>2018</v>
      </c>
      <c r="F9" s="842">
        <v>2019</v>
      </c>
      <c r="G9" s="544" t="s">
        <v>85</v>
      </c>
      <c r="H9" s="543">
        <v>2018</v>
      </c>
      <c r="I9" s="543">
        <v>2019</v>
      </c>
      <c r="J9" s="544" t="s">
        <v>85</v>
      </c>
      <c r="K9" s="543">
        <v>2018</v>
      </c>
      <c r="L9" s="543">
        <v>2019</v>
      </c>
      <c r="M9" s="544" t="s">
        <v>85</v>
      </c>
      <c r="N9" s="842">
        <v>2018</v>
      </c>
      <c r="O9" s="842">
        <v>2019</v>
      </c>
      <c r="P9" s="544" t="s">
        <v>85</v>
      </c>
      <c r="Q9" s="543">
        <v>2018</v>
      </c>
      <c r="R9" s="543">
        <v>2019</v>
      </c>
      <c r="S9" s="544" t="s">
        <v>85</v>
      </c>
      <c r="T9" s="842">
        <v>2018</v>
      </c>
      <c r="U9" s="842">
        <v>2019</v>
      </c>
      <c r="V9" s="544" t="s">
        <v>85</v>
      </c>
      <c r="W9" s="842">
        <v>2018</v>
      </c>
      <c r="X9" s="842">
        <v>2019</v>
      </c>
      <c r="Y9" s="544" t="s">
        <v>85</v>
      </c>
      <c r="Z9" s="842">
        <v>2018</v>
      </c>
      <c r="AA9" s="842">
        <v>2019</v>
      </c>
      <c r="AB9" s="544" t="s">
        <v>85</v>
      </c>
      <c r="AC9" s="842">
        <v>2018</v>
      </c>
      <c r="AD9" s="842">
        <v>2019</v>
      </c>
      <c r="AE9" s="544" t="s">
        <v>85</v>
      </c>
      <c r="AF9" s="842">
        <v>2018</v>
      </c>
      <c r="AG9" s="842">
        <v>2019</v>
      </c>
      <c r="AH9" s="544" t="s">
        <v>85</v>
      </c>
      <c r="AI9" s="842">
        <v>2018</v>
      </c>
      <c r="AJ9" s="842">
        <v>2019</v>
      </c>
      <c r="AK9" s="544" t="s">
        <v>85</v>
      </c>
      <c r="AL9" s="842">
        <v>2018</v>
      </c>
      <c r="AM9" s="842">
        <v>2019</v>
      </c>
      <c r="AN9" s="544" t="s">
        <v>85</v>
      </c>
      <c r="AO9" s="842">
        <v>2018</v>
      </c>
      <c r="AP9" s="842">
        <v>2019</v>
      </c>
      <c r="AQ9" s="544" t="s">
        <v>85</v>
      </c>
      <c r="AR9" s="589"/>
      <c r="AS9" s="589"/>
      <c r="AT9" s="584"/>
      <c r="AU9" s="584"/>
    </row>
    <row r="10" spans="1:47" ht="18.75" customHeight="1" x14ac:dyDescent="0.3">
      <c r="A10" s="597"/>
      <c r="B10" s="794"/>
      <c r="C10" s="807"/>
      <c r="D10" s="598"/>
      <c r="E10" s="863"/>
      <c r="F10" s="807"/>
      <c r="G10" s="599"/>
      <c r="H10" s="905"/>
      <c r="I10" s="906"/>
      <c r="J10" s="600"/>
      <c r="K10" s="806"/>
      <c r="L10" s="807"/>
      <c r="M10" s="598"/>
      <c r="N10" s="917"/>
      <c r="O10" s="807"/>
      <c r="P10" s="601"/>
      <c r="Q10" s="863"/>
      <c r="R10" s="602"/>
      <c r="S10" s="599"/>
      <c r="T10" s="863"/>
      <c r="U10" s="807"/>
      <c r="V10" s="601"/>
      <c r="W10" s="806"/>
      <c r="X10" s="807"/>
      <c r="Y10" s="599"/>
      <c r="Z10" s="863"/>
      <c r="AA10" s="807"/>
      <c r="AB10" s="599"/>
      <c r="AC10" s="806"/>
      <c r="AD10" s="807"/>
      <c r="AE10" s="599"/>
      <c r="AF10" s="806"/>
      <c r="AG10" s="807"/>
      <c r="AH10" s="599"/>
      <c r="AI10" s="806"/>
      <c r="AJ10" s="807"/>
      <c r="AK10" s="599"/>
      <c r="AL10" s="598"/>
      <c r="AM10" s="598"/>
      <c r="AN10" s="599"/>
      <c r="AO10" s="602"/>
      <c r="AP10" s="602"/>
      <c r="AQ10" s="599"/>
      <c r="AR10" s="589"/>
      <c r="AS10" s="589"/>
      <c r="AT10" s="584"/>
      <c r="AU10" s="584"/>
    </row>
    <row r="11" spans="1:47" ht="18.75" customHeight="1" x14ac:dyDescent="0.3">
      <c r="A11" s="550" t="s">
        <v>393</v>
      </c>
      <c r="B11" s="801"/>
      <c r="C11" s="797"/>
      <c r="D11" s="603"/>
      <c r="E11" s="801"/>
      <c r="F11" s="797"/>
      <c r="G11" s="604"/>
      <c r="H11" s="902"/>
      <c r="I11" s="566"/>
      <c r="J11" s="604"/>
      <c r="K11" s="801"/>
      <c r="L11" s="797"/>
      <c r="M11" s="603"/>
      <c r="N11" s="801"/>
      <c r="O11" s="797"/>
      <c r="P11" s="604"/>
      <c r="Q11" s="801"/>
      <c r="R11" s="566"/>
      <c r="S11" s="604"/>
      <c r="T11" s="801"/>
      <c r="U11" s="797"/>
      <c r="V11" s="604"/>
      <c r="W11" s="874"/>
      <c r="X11" s="797"/>
      <c r="Y11" s="604"/>
      <c r="Z11" s="801"/>
      <c r="AA11" s="797"/>
      <c r="AB11" s="604"/>
      <c r="AC11" s="801"/>
      <c r="AD11" s="797"/>
      <c r="AE11" s="604"/>
      <c r="AF11" s="801"/>
      <c r="AG11" s="797"/>
      <c r="AH11" s="604"/>
      <c r="AI11" s="801"/>
      <c r="AJ11" s="797"/>
      <c r="AK11" s="604"/>
      <c r="AL11" s="603"/>
      <c r="AM11" s="603"/>
      <c r="AN11" s="604"/>
      <c r="AO11" s="566"/>
      <c r="AP11" s="566"/>
      <c r="AQ11" s="604"/>
      <c r="AR11" s="589"/>
      <c r="AS11" s="589"/>
      <c r="AT11" s="584"/>
      <c r="AU11" s="584"/>
    </row>
    <row r="12" spans="1:47" s="607" customFormat="1" ht="18.75" customHeight="1" x14ac:dyDescent="0.3">
      <c r="A12" s="556" t="s">
        <v>373</v>
      </c>
      <c r="B12" s="800">
        <v>4.5190000000000001</v>
      </c>
      <c r="C12" s="799">
        <f>0.171+0.102</f>
        <v>0.27300000000000002</v>
      </c>
      <c r="D12" s="605">
        <f>IF(B12=0, "    ---- ", IF(ABS(ROUND(100/B12*C12-100,1))&lt;999,ROUND(100/B12*C12-100,1),IF(ROUND(100/B12*C12-100,1)&gt;999,999,-999)))</f>
        <v>-94</v>
      </c>
      <c r="E12" s="800">
        <v>4</v>
      </c>
      <c r="F12" s="799">
        <f>156.51+48.38</f>
        <v>204.89</v>
      </c>
      <c r="G12" s="606">
        <f t="shared" ref="G12:G17" si="0">IF(E12=0, "    ---- ", IF(ABS(ROUND(100/E12*F12-100,1))&lt;999,ROUND(100/E12*F12-100,1),IF(ROUND(100/E12*F12-100,1)&gt;999,999,-999)))</f>
        <v>999</v>
      </c>
      <c r="H12" s="901"/>
      <c r="I12" s="564"/>
      <c r="J12" s="606"/>
      <c r="K12" s="800"/>
      <c r="L12" s="799"/>
      <c r="M12" s="605"/>
      <c r="N12" s="800"/>
      <c r="O12" s="799"/>
      <c r="P12" s="606"/>
      <c r="Q12" s="800"/>
      <c r="R12" s="564"/>
      <c r="S12" s="606"/>
      <c r="T12" s="800">
        <v>11</v>
      </c>
      <c r="U12" s="799">
        <v>5</v>
      </c>
      <c r="V12" s="606">
        <f t="shared" ref="V12:V17" si="1">IF(T12=0, "    ---- ", IF(ABS(ROUND(100/T12*U12-100,1))&lt;999,ROUND(100/T12*U12-100,1),IF(ROUND(100/T12*U12-100,1)&gt;999,999,-999)))</f>
        <v>-54.5</v>
      </c>
      <c r="W12" s="875">
        <v>192.3374211957109</v>
      </c>
      <c r="X12" s="799">
        <v>106.18869109101105</v>
      </c>
      <c r="Y12" s="606">
        <f>IF(W12=0, "    ---- ", IF(ABS(ROUND(100/W12*X12-100,1))&lt;999,ROUND(100/W12*X12-100,1),IF(ROUND(100/W12*X12-100,1)&gt;999,999,-999)))</f>
        <v>-44.8</v>
      </c>
      <c r="Z12" s="800"/>
      <c r="AA12" s="799"/>
      <c r="AB12" s="606"/>
      <c r="AC12" s="800"/>
      <c r="AD12" s="799"/>
      <c r="AE12" s="606"/>
      <c r="AF12" s="800">
        <v>48.78</v>
      </c>
      <c r="AG12" s="799">
        <v>143</v>
      </c>
      <c r="AH12" s="606">
        <f>IF(AF12=0, "    ---- ", IF(ABS(ROUND(100/AF12*AG12-100,1))&lt;999,ROUND(100/AF12*AG12-100,1),IF(ROUND(100/AF12*AG12-100,1)&gt;999,999,-999)))</f>
        <v>193.2</v>
      </c>
      <c r="AI12" s="800">
        <v>-35</v>
      </c>
      <c r="AJ12" s="799">
        <v>210</v>
      </c>
      <c r="AK12" s="606">
        <f t="shared" ref="AK12:AK22" si="2">IF(AI12=0, "    ---- ", IF(ABS(ROUND(100/AI12*AJ12-100,1))&lt;999,ROUND(100/AI12*AJ12-100,1),IF(ROUND(100/AI12*AJ12-100,1)&gt;999,999,-999)))</f>
        <v>-700</v>
      </c>
      <c r="AL12" s="605">
        <f>B12+E12+H12+K12+Q12+T12+W12+Z12+AF12+AI12</f>
        <v>225.63642119571091</v>
      </c>
      <c r="AM12" s="605">
        <f>C12+F12+I12+L12+R12+U12+X12+AA12+AG12+AJ12</f>
        <v>669.35169109101105</v>
      </c>
      <c r="AN12" s="606">
        <f t="shared" ref="AN12:AN43" si="3">IF(AL12=0, "    ---- ", IF(ABS(ROUND(100/AL12*AM12-100,1))&lt;999,ROUND(100/AL12*AM12-100,1),IF(ROUND(100/AL12*AM12-100,1)&gt;999,999,-999)))</f>
        <v>196.7</v>
      </c>
      <c r="AO12" s="564">
        <f>+B12+E12+H12+K12+N12+Q12+T12+W12+Z12+AC12+AF12+AI12</f>
        <v>225.63642119571091</v>
      </c>
      <c r="AP12" s="564">
        <f>+C12+F12+I12+L12+O12+R12+U12+X12+AA12+AD12+AG12+AJ12</f>
        <v>669.35169109101105</v>
      </c>
      <c r="AQ12" s="606">
        <f t="shared" ref="AQ12:AQ43" si="4">IF(AO12=0, "    ---- ", IF(ABS(ROUND(100/AO12*AP12-100,1))&lt;999,ROUND(100/AO12*AP12-100,1),IF(ROUND(100/AO12*AP12-100,1)&gt;999,999,-999)))</f>
        <v>196.7</v>
      </c>
      <c r="AR12" s="589"/>
      <c r="AS12" s="589"/>
      <c r="AT12" s="584"/>
      <c r="AU12" s="584"/>
    </row>
    <row r="13" spans="1:47" s="607" customFormat="1" ht="18.75" customHeight="1" x14ac:dyDescent="0.3">
      <c r="A13" s="556" t="s">
        <v>374</v>
      </c>
      <c r="B13" s="800"/>
      <c r="C13" s="799"/>
      <c r="D13" s="605"/>
      <c r="E13" s="800">
        <v>32</v>
      </c>
      <c r="F13" s="799">
        <f>-10.55-14.786</f>
        <v>-25.335999999999999</v>
      </c>
      <c r="G13" s="606">
        <f t="shared" si="0"/>
        <v>-179.2</v>
      </c>
      <c r="H13" s="901"/>
      <c r="I13" s="564"/>
      <c r="J13" s="606"/>
      <c r="K13" s="800"/>
      <c r="L13" s="799"/>
      <c r="M13" s="605"/>
      <c r="N13" s="800"/>
      <c r="O13" s="799"/>
      <c r="P13" s="606"/>
      <c r="Q13" s="800"/>
      <c r="R13" s="564"/>
      <c r="S13" s="606"/>
      <c r="T13" s="800">
        <v>-3</v>
      </c>
      <c r="U13" s="799">
        <v>0</v>
      </c>
      <c r="V13" s="606">
        <f t="shared" si="1"/>
        <v>-100</v>
      </c>
      <c r="W13" s="875">
        <v>-149.05894699999999</v>
      </c>
      <c r="X13" s="799">
        <v>-77.548491999999996</v>
      </c>
      <c r="Y13" s="606">
        <f>IF(W13=0, "    ---- ", IF(ABS(ROUND(100/W13*X13-100,1))&lt;999,ROUND(100/W13*X13-100,1),IF(ROUND(100/W13*X13-100,1)&gt;999,999,-999)))</f>
        <v>-48</v>
      </c>
      <c r="Z13" s="800"/>
      <c r="AA13" s="799"/>
      <c r="AB13" s="606"/>
      <c r="AC13" s="800"/>
      <c r="AD13" s="799"/>
      <c r="AE13" s="606"/>
      <c r="AF13" s="800">
        <v>-43.070999999999998</v>
      </c>
      <c r="AG13" s="799">
        <v>-61</v>
      </c>
      <c r="AH13" s="606">
        <f>IF(AF13=0, "    ---- ", IF(ABS(ROUND(100/AF13*AG13-100,1))&lt;999,ROUND(100/AF13*AG13-100,1),IF(ROUND(100/AF13*AG13-100,1)&gt;999,999,-999)))</f>
        <v>41.6</v>
      </c>
      <c r="AI13" s="800">
        <v>59.5</v>
      </c>
      <c r="AJ13" s="799">
        <v>-167</v>
      </c>
      <c r="AK13" s="606">
        <f t="shared" si="2"/>
        <v>-380.7</v>
      </c>
      <c r="AL13" s="605">
        <f t="shared" ref="AL13:AM19" si="5">B13+E13+H13+K13+Q13+T13+W13+Z13+AF13+AI13</f>
        <v>-103.62994699999999</v>
      </c>
      <c r="AM13" s="605">
        <f t="shared" si="5"/>
        <v>-330.88449200000002</v>
      </c>
      <c r="AN13" s="606">
        <f t="shared" si="3"/>
        <v>219.3</v>
      </c>
      <c r="AO13" s="564">
        <f t="shared" ref="AO13:AP22" si="6">+B13+E13+H13+K13+N13+Q13+T13+W13+Z13+AC13+AF13+AI13</f>
        <v>-103.62994699999999</v>
      </c>
      <c r="AP13" s="564">
        <f t="shared" si="6"/>
        <v>-330.88449200000002</v>
      </c>
      <c r="AQ13" s="606">
        <f t="shared" si="4"/>
        <v>219.3</v>
      </c>
      <c r="AR13" s="589"/>
      <c r="AS13" s="589"/>
      <c r="AT13" s="584"/>
      <c r="AU13" s="584"/>
    </row>
    <row r="14" spans="1:47" s="607" customFormat="1" ht="18.75" customHeight="1" x14ac:dyDescent="0.3">
      <c r="A14" s="556" t="s">
        <v>375</v>
      </c>
      <c r="B14" s="800">
        <v>-1.486</v>
      </c>
      <c r="C14" s="799">
        <f>-2.549-0.092</f>
        <v>-2.641</v>
      </c>
      <c r="D14" s="605">
        <f>IF(B14=0, "    ---- ", IF(ABS(ROUND(100/B14*C14-100,1))&lt;999,ROUND(100/B14*C14-100,1),IF(ROUND(100/B14*C14-100,1)&gt;999,999,-999)))</f>
        <v>77.7</v>
      </c>
      <c r="E14" s="800">
        <v>7</v>
      </c>
      <c r="F14" s="799">
        <f>8.034+3.125</f>
        <v>11.159000000000001</v>
      </c>
      <c r="G14" s="606">
        <f t="shared" si="0"/>
        <v>59.4</v>
      </c>
      <c r="H14" s="901"/>
      <c r="I14" s="564"/>
      <c r="J14" s="606"/>
      <c r="K14" s="800"/>
      <c r="L14" s="799"/>
      <c r="M14" s="605"/>
      <c r="N14" s="800"/>
      <c r="O14" s="799"/>
      <c r="P14" s="606"/>
      <c r="Q14" s="800"/>
      <c r="R14" s="564"/>
      <c r="S14" s="606"/>
      <c r="T14" s="800">
        <v>-1</v>
      </c>
      <c r="U14" s="799">
        <v>-2</v>
      </c>
      <c r="V14" s="606">
        <f t="shared" si="1"/>
        <v>100</v>
      </c>
      <c r="W14" s="875">
        <v>-5.166596241457559</v>
      </c>
      <c r="X14" s="799">
        <v>2.4832603043745158</v>
      </c>
      <c r="Y14" s="606">
        <f t="shared" ref="Y14:Y21" si="7">IF(W14=0, "    ---- ", IF(ABS(ROUND(100/W14*X14-100,1))&lt;999,ROUND(100/W14*X14-100,1),IF(ROUND(100/W14*X14-100,1)&gt;999,999,-999)))</f>
        <v>-148.1</v>
      </c>
      <c r="Z14" s="800"/>
      <c r="AA14" s="799"/>
      <c r="AB14" s="606"/>
      <c r="AC14" s="800"/>
      <c r="AD14" s="799"/>
      <c r="AE14" s="606"/>
      <c r="AF14" s="800">
        <v>-21.489000000000001</v>
      </c>
      <c r="AG14" s="799">
        <v>-15</v>
      </c>
      <c r="AH14" s="606">
        <f>IF(AF14=0, "    ---- ", IF(ABS(ROUND(100/AF14*AG14-100,1))&lt;999,ROUND(100/AF14*AG14-100,1),IF(ROUND(100/AF14*AG14-100,1)&gt;999,999,-999)))</f>
        <v>-30.2</v>
      </c>
      <c r="AI14" s="800">
        <v>0.2</v>
      </c>
      <c r="AJ14" s="799">
        <v>0</v>
      </c>
      <c r="AK14" s="606">
        <f t="shared" si="2"/>
        <v>-100</v>
      </c>
      <c r="AL14" s="605">
        <f t="shared" si="5"/>
        <v>-21.94159624145756</v>
      </c>
      <c r="AM14" s="605">
        <f t="shared" si="5"/>
        <v>-5.998739695625483</v>
      </c>
      <c r="AN14" s="606">
        <f t="shared" si="3"/>
        <v>-72.7</v>
      </c>
      <c r="AO14" s="564">
        <f t="shared" si="6"/>
        <v>-21.94159624145756</v>
      </c>
      <c r="AP14" s="564">
        <f t="shared" si="6"/>
        <v>-5.998739695625483</v>
      </c>
      <c r="AQ14" s="606">
        <f t="shared" si="4"/>
        <v>-72.7</v>
      </c>
      <c r="AR14" s="589"/>
      <c r="AS14" s="589"/>
      <c r="AT14" s="584"/>
      <c r="AU14" s="584"/>
    </row>
    <row r="15" spans="1:47" s="607" customFormat="1" ht="18.75" customHeight="1" x14ac:dyDescent="0.3">
      <c r="A15" s="556" t="s">
        <v>376</v>
      </c>
      <c r="B15" s="800"/>
      <c r="C15" s="799"/>
      <c r="D15" s="605"/>
      <c r="E15" s="800">
        <v>26</v>
      </c>
      <c r="F15" s="799">
        <v>23.449000000000002</v>
      </c>
      <c r="G15" s="606">
        <f t="shared" si="0"/>
        <v>-9.8000000000000007</v>
      </c>
      <c r="H15" s="901"/>
      <c r="I15" s="564"/>
      <c r="J15" s="606"/>
      <c r="K15" s="800"/>
      <c r="L15" s="799"/>
      <c r="M15" s="605"/>
      <c r="N15" s="800"/>
      <c r="O15" s="799"/>
      <c r="P15" s="606"/>
      <c r="Q15" s="800"/>
      <c r="R15" s="564"/>
      <c r="S15" s="606"/>
      <c r="T15" s="800">
        <v>1</v>
      </c>
      <c r="U15" s="799">
        <v>1</v>
      </c>
      <c r="V15" s="606">
        <f t="shared" si="1"/>
        <v>0</v>
      </c>
      <c r="W15" s="875">
        <v>0.99353970000000014</v>
      </c>
      <c r="X15" s="799">
        <v>0.86702040000000002</v>
      </c>
      <c r="Y15" s="606">
        <f t="shared" si="7"/>
        <v>-12.7</v>
      </c>
      <c r="Z15" s="800"/>
      <c r="AA15" s="799"/>
      <c r="AB15" s="606"/>
      <c r="AC15" s="800"/>
      <c r="AD15" s="799"/>
      <c r="AE15" s="606"/>
      <c r="AF15" s="800"/>
      <c r="AG15" s="799"/>
      <c r="AH15" s="606"/>
      <c r="AI15" s="800">
        <v>38.700000000000003</v>
      </c>
      <c r="AJ15" s="799">
        <v>34</v>
      </c>
      <c r="AK15" s="606">
        <f t="shared" si="2"/>
        <v>-12.1</v>
      </c>
      <c r="AL15" s="605">
        <f t="shared" si="5"/>
        <v>66.693539700000002</v>
      </c>
      <c r="AM15" s="605">
        <f t="shared" si="5"/>
        <v>59.316020399999999</v>
      </c>
      <c r="AN15" s="606">
        <f t="shared" si="3"/>
        <v>-11.1</v>
      </c>
      <c r="AO15" s="564">
        <f t="shared" si="6"/>
        <v>66.693539700000002</v>
      </c>
      <c r="AP15" s="564">
        <f t="shared" si="6"/>
        <v>59.316020399999999</v>
      </c>
      <c r="AQ15" s="606">
        <f t="shared" si="4"/>
        <v>-11.1</v>
      </c>
      <c r="AR15" s="589"/>
      <c r="AS15" s="589"/>
      <c r="AT15" s="584"/>
      <c r="AU15" s="584"/>
    </row>
    <row r="16" spans="1:47" s="607" customFormat="1" ht="18.75" customHeight="1" x14ac:dyDescent="0.3">
      <c r="A16" s="556" t="s">
        <v>377</v>
      </c>
      <c r="B16" s="800">
        <v>1.0660000000000001</v>
      </c>
      <c r="C16" s="799">
        <v>1.339</v>
      </c>
      <c r="D16" s="605">
        <f>IF(B16=0, "    ---- ", IF(ABS(ROUND(100/B16*C16-100,1))&lt;999,ROUND(100/B16*C16-100,1),IF(ROUND(100/B16*C16-100,1)&gt;999,999,-999)))</f>
        <v>25.6</v>
      </c>
      <c r="E16" s="800">
        <v>105</v>
      </c>
      <c r="F16" s="799">
        <v>82.373999999999995</v>
      </c>
      <c r="G16" s="606">
        <f t="shared" si="0"/>
        <v>-21.5</v>
      </c>
      <c r="H16" s="901"/>
      <c r="I16" s="564"/>
      <c r="J16" s="606"/>
      <c r="K16" s="800"/>
      <c r="L16" s="799"/>
      <c r="M16" s="605"/>
      <c r="N16" s="800"/>
      <c r="O16" s="799"/>
      <c r="P16" s="606"/>
      <c r="Q16" s="800"/>
      <c r="R16" s="564"/>
      <c r="S16" s="606"/>
      <c r="T16" s="800">
        <v>3</v>
      </c>
      <c r="U16" s="799">
        <v>2</v>
      </c>
      <c r="V16" s="606">
        <f t="shared" si="1"/>
        <v>-33.299999999999997</v>
      </c>
      <c r="W16" s="875">
        <v>95.968997999999999</v>
      </c>
      <c r="X16" s="799">
        <v>85.551824999999994</v>
      </c>
      <c r="Y16" s="606">
        <f t="shared" si="7"/>
        <v>-10.9</v>
      </c>
      <c r="Z16" s="800"/>
      <c r="AA16" s="799"/>
      <c r="AB16" s="606"/>
      <c r="AC16" s="800"/>
      <c r="AD16" s="799"/>
      <c r="AE16" s="606"/>
      <c r="AF16" s="800">
        <v>16.335999999999999</v>
      </c>
      <c r="AG16" s="799">
        <v>15</v>
      </c>
      <c r="AH16" s="606">
        <f>IF(AF16=0, "    ---- ", IF(ABS(ROUND(100/AF16*AG16-100,1))&lt;999,ROUND(100/AF16*AG16-100,1),IF(ROUND(100/AF16*AG16-100,1)&gt;999,999,-999)))</f>
        <v>-8.1999999999999993</v>
      </c>
      <c r="AI16" s="800">
        <v>243</v>
      </c>
      <c r="AJ16" s="799">
        <v>237</v>
      </c>
      <c r="AK16" s="606">
        <f t="shared" si="2"/>
        <v>-2.5</v>
      </c>
      <c r="AL16" s="605">
        <f t="shared" si="5"/>
        <v>464.37099799999999</v>
      </c>
      <c r="AM16" s="605">
        <f t="shared" si="5"/>
        <v>423.26482499999997</v>
      </c>
      <c r="AN16" s="606">
        <f t="shared" si="3"/>
        <v>-8.9</v>
      </c>
      <c r="AO16" s="564">
        <f t="shared" si="6"/>
        <v>464.37099799999999</v>
      </c>
      <c r="AP16" s="564">
        <f t="shared" si="6"/>
        <v>423.26482499999997</v>
      </c>
      <c r="AQ16" s="606">
        <f t="shared" si="4"/>
        <v>-8.9</v>
      </c>
      <c r="AR16" s="589"/>
      <c r="AS16" s="589"/>
      <c r="AT16" s="584"/>
      <c r="AU16" s="584"/>
    </row>
    <row r="17" spans="1:47" s="607" customFormat="1" ht="18.75" customHeight="1" x14ac:dyDescent="0.3">
      <c r="A17" s="556" t="s">
        <v>378</v>
      </c>
      <c r="B17" s="800">
        <v>-2.75</v>
      </c>
      <c r="C17" s="799">
        <f>-4.226-1.126</f>
        <v>-5.3520000000000003</v>
      </c>
      <c r="D17" s="605">
        <f>IF(B17=0, "    ---- ", IF(ABS(ROUND(100/B17*C17-100,1))&lt;999,ROUND(100/B17*C17-100,1),IF(ROUND(100/B17*C17-100,1)&gt;999,999,-999)))</f>
        <v>94.6</v>
      </c>
      <c r="E17" s="800">
        <v>-7</v>
      </c>
      <c r="F17" s="799">
        <f>-0.983+4.855</f>
        <v>3.8720000000000003</v>
      </c>
      <c r="G17" s="606">
        <f t="shared" si="0"/>
        <v>-155.30000000000001</v>
      </c>
      <c r="H17" s="901"/>
      <c r="I17" s="564"/>
      <c r="J17" s="606"/>
      <c r="K17" s="800"/>
      <c r="L17" s="799"/>
      <c r="M17" s="605"/>
      <c r="N17" s="800"/>
      <c r="O17" s="799"/>
      <c r="P17" s="606"/>
      <c r="Q17" s="800"/>
      <c r="R17" s="564"/>
      <c r="S17" s="606"/>
      <c r="T17" s="800">
        <v>3</v>
      </c>
      <c r="U17" s="799">
        <v>2</v>
      </c>
      <c r="V17" s="606">
        <f t="shared" si="1"/>
        <v>-33.299999999999997</v>
      </c>
      <c r="W17" s="875">
        <v>-1.6996496151556411</v>
      </c>
      <c r="X17" s="799">
        <v>-2.2998246663571047</v>
      </c>
      <c r="Y17" s="606">
        <f t="shared" si="7"/>
        <v>35.299999999999997</v>
      </c>
      <c r="Z17" s="800"/>
      <c r="AA17" s="799"/>
      <c r="AB17" s="606"/>
      <c r="AC17" s="800"/>
      <c r="AD17" s="799"/>
      <c r="AE17" s="606"/>
      <c r="AF17" s="800">
        <v>7.1669999999999998</v>
      </c>
      <c r="AG17" s="799">
        <v>2</v>
      </c>
      <c r="AH17" s="606">
        <f>IF(AF17=0, "    ---- ", IF(ABS(ROUND(100/AF17*AG17-100,1))&lt;999,ROUND(100/AF17*AG17-100,1),IF(ROUND(100/AF17*AG17-100,1)&gt;999,999,-999)))</f>
        <v>-72.099999999999994</v>
      </c>
      <c r="AI17" s="800">
        <v>-0.9</v>
      </c>
      <c r="AJ17" s="799">
        <v>-30</v>
      </c>
      <c r="AK17" s="606">
        <f t="shared" si="2"/>
        <v>999</v>
      </c>
      <c r="AL17" s="605">
        <f t="shared" si="5"/>
        <v>-2.1826496151556412</v>
      </c>
      <c r="AM17" s="605">
        <f t="shared" si="5"/>
        <v>-29.779824666357104</v>
      </c>
      <c r="AN17" s="606">
        <f t="shared" si="3"/>
        <v>999</v>
      </c>
      <c r="AO17" s="564">
        <f t="shared" si="6"/>
        <v>-2.1826496151556412</v>
      </c>
      <c r="AP17" s="564">
        <f t="shared" si="6"/>
        <v>-29.779824666357104</v>
      </c>
      <c r="AQ17" s="606">
        <f t="shared" si="4"/>
        <v>999</v>
      </c>
      <c r="AR17" s="589"/>
      <c r="AS17" s="589"/>
      <c r="AT17" s="584"/>
      <c r="AU17" s="584"/>
    </row>
    <row r="18" spans="1:47" s="607" customFormat="1" ht="18.75" customHeight="1" x14ac:dyDescent="0.3">
      <c r="A18" s="556" t="s">
        <v>379</v>
      </c>
      <c r="B18" s="800"/>
      <c r="C18" s="799"/>
      <c r="D18" s="605"/>
      <c r="E18" s="800"/>
      <c r="F18" s="799"/>
      <c r="G18" s="606"/>
      <c r="H18" s="901"/>
      <c r="I18" s="564"/>
      <c r="J18" s="606"/>
      <c r="K18" s="800"/>
      <c r="L18" s="799"/>
      <c r="M18" s="605"/>
      <c r="N18" s="800"/>
      <c r="O18" s="799"/>
      <c r="P18" s="606"/>
      <c r="Q18" s="800"/>
      <c r="R18" s="564"/>
      <c r="S18" s="606"/>
      <c r="T18" s="800">
        <v>2</v>
      </c>
      <c r="U18" s="799">
        <v>1</v>
      </c>
      <c r="V18" s="606"/>
      <c r="W18" s="875">
        <v>17.365427629203445</v>
      </c>
      <c r="X18" s="799">
        <v>15.574069166215221</v>
      </c>
      <c r="Y18" s="606">
        <f t="shared" si="7"/>
        <v>-10.3</v>
      </c>
      <c r="Z18" s="800"/>
      <c r="AA18" s="799"/>
      <c r="AB18" s="606"/>
      <c r="AC18" s="800"/>
      <c r="AD18" s="799"/>
      <c r="AE18" s="606"/>
      <c r="AF18" s="800"/>
      <c r="AG18" s="799"/>
      <c r="AH18" s="606"/>
      <c r="AI18" s="800">
        <v>12.3</v>
      </c>
      <c r="AJ18" s="799">
        <v>2</v>
      </c>
      <c r="AK18" s="606">
        <f t="shared" si="2"/>
        <v>-83.7</v>
      </c>
      <c r="AL18" s="605">
        <f t="shared" si="5"/>
        <v>31.665427629203446</v>
      </c>
      <c r="AM18" s="605">
        <f t="shared" si="5"/>
        <v>18.574069166215221</v>
      </c>
      <c r="AN18" s="606">
        <f t="shared" si="3"/>
        <v>-41.3</v>
      </c>
      <c r="AO18" s="564">
        <f t="shared" si="6"/>
        <v>31.665427629203446</v>
      </c>
      <c r="AP18" s="564">
        <f t="shared" si="6"/>
        <v>18.574069166215221</v>
      </c>
      <c r="AQ18" s="606">
        <f t="shared" si="4"/>
        <v>-41.3</v>
      </c>
      <c r="AR18" s="589"/>
      <c r="AS18" s="589"/>
      <c r="AT18" s="584"/>
      <c r="AU18" s="584"/>
    </row>
    <row r="19" spans="1:47" s="607" customFormat="1" ht="18.75" customHeight="1" x14ac:dyDescent="0.3">
      <c r="A19" s="556" t="s">
        <v>380</v>
      </c>
      <c r="B19" s="800"/>
      <c r="C19" s="799"/>
      <c r="D19" s="605"/>
      <c r="E19" s="800"/>
      <c r="F19" s="799"/>
      <c r="G19" s="606"/>
      <c r="H19" s="901"/>
      <c r="I19" s="564"/>
      <c r="J19" s="606"/>
      <c r="K19" s="800"/>
      <c r="L19" s="799"/>
      <c r="M19" s="605"/>
      <c r="N19" s="800"/>
      <c r="O19" s="799"/>
      <c r="P19" s="606"/>
      <c r="Q19" s="800"/>
      <c r="R19" s="564"/>
      <c r="S19" s="606"/>
      <c r="T19" s="800">
        <v>6</v>
      </c>
      <c r="U19" s="799">
        <v>-1</v>
      </c>
      <c r="V19" s="606">
        <f>IF(T19=0, "    ---- ", IF(ABS(ROUND(100/T19*U19-100,1))&lt;999,ROUND(100/T19*U19-100,1),IF(ROUND(100/T19*U19-100,1)&gt;999,999,-999)))</f>
        <v>-116.7</v>
      </c>
      <c r="W19" s="875">
        <v>-16.072652999999999</v>
      </c>
      <c r="X19" s="799">
        <v>0</v>
      </c>
      <c r="Y19" s="606">
        <f t="shared" si="7"/>
        <v>-100</v>
      </c>
      <c r="Z19" s="800"/>
      <c r="AA19" s="799"/>
      <c r="AB19" s="606"/>
      <c r="AC19" s="800"/>
      <c r="AD19" s="799"/>
      <c r="AE19" s="606"/>
      <c r="AF19" s="800"/>
      <c r="AG19" s="799"/>
      <c r="AH19" s="606"/>
      <c r="AI19" s="800"/>
      <c r="AJ19" s="799"/>
      <c r="AK19" s="606"/>
      <c r="AL19" s="605">
        <f t="shared" si="5"/>
        <v>-10.072652999999999</v>
      </c>
      <c r="AM19" s="605">
        <f t="shared" si="5"/>
        <v>-1</v>
      </c>
      <c r="AN19" s="606">
        <f t="shared" si="3"/>
        <v>-90.1</v>
      </c>
      <c r="AO19" s="564">
        <f t="shared" si="6"/>
        <v>-10.072652999999999</v>
      </c>
      <c r="AP19" s="564">
        <f t="shared" si="6"/>
        <v>-1</v>
      </c>
      <c r="AQ19" s="606">
        <f t="shared" si="4"/>
        <v>-90.1</v>
      </c>
      <c r="AR19" s="589"/>
      <c r="AS19" s="589"/>
      <c r="AT19" s="584"/>
      <c r="AU19" s="584"/>
    </row>
    <row r="20" spans="1:47" s="610" customFormat="1" ht="18.75" customHeight="1" x14ac:dyDescent="0.3">
      <c r="A20" s="550" t="s">
        <v>381</v>
      </c>
      <c r="B20" s="801">
        <v>1.3490000000000002</v>
      </c>
      <c r="C20" s="797">
        <f>SUM(C12:C17)+C19</f>
        <v>-6.3810000000000002</v>
      </c>
      <c r="D20" s="603">
        <f>IF(B20=0, "    ---- ", IF(ABS(ROUND(100/B20*C20-100,1))&lt;999,ROUND(100/B20*C20-100,1),IF(ROUND(100/B20*C20-100,1)&gt;999,999,-999)))</f>
        <v>-573</v>
      </c>
      <c r="E20" s="801">
        <v>167</v>
      </c>
      <c r="F20" s="797">
        <f>SUM(F12:F17)+F19</f>
        <v>300.40799999999996</v>
      </c>
      <c r="G20" s="604">
        <f>IF(E20=0, "    ---- ", IF(ABS(ROUND(100/E20*F20-100,1))&lt;999,ROUND(100/E20*F20-100,1),IF(ROUND(100/E20*F20-100,1)&gt;999,999,-999)))</f>
        <v>79.900000000000006</v>
      </c>
      <c r="H20" s="902"/>
      <c r="I20" s="566"/>
      <c r="J20" s="604"/>
      <c r="K20" s="801"/>
      <c r="L20" s="797"/>
      <c r="M20" s="603"/>
      <c r="N20" s="801"/>
      <c r="O20" s="797"/>
      <c r="P20" s="604"/>
      <c r="Q20" s="801"/>
      <c r="R20" s="566"/>
      <c r="S20" s="604"/>
      <c r="T20" s="801">
        <v>20</v>
      </c>
      <c r="U20" s="797">
        <f>SUM(U12:U17)+U19</f>
        <v>7</v>
      </c>
      <c r="V20" s="604">
        <f>IF(T20=0, "    ---- ", IF(ABS(ROUND(100/T20*U20-100,1))&lt;999,ROUND(100/T20*U20-100,1),IF(ROUND(100/T20*U20-100,1)&gt;999,999,-999)))</f>
        <v>-65</v>
      </c>
      <c r="W20" s="874">
        <v>117.30211303909772</v>
      </c>
      <c r="X20" s="797">
        <f>SUM(X12:X17)+X19</f>
        <v>115.24248012902845</v>
      </c>
      <c r="Y20" s="604">
        <f t="shared" si="7"/>
        <v>-1.8</v>
      </c>
      <c r="Z20" s="801"/>
      <c r="AA20" s="797"/>
      <c r="AB20" s="604"/>
      <c r="AC20" s="801"/>
      <c r="AD20" s="797"/>
      <c r="AE20" s="604"/>
      <c r="AF20" s="801">
        <v>7.7230000000000008</v>
      </c>
      <c r="AG20" s="797">
        <f>SUM(AG12:AG17)+AG19</f>
        <v>84</v>
      </c>
      <c r="AH20" s="604">
        <f>IF(AF20=0, "    ---- ", IF(ABS(ROUND(100/AF20*AG20-100,1))&lt;999,ROUND(100/AF20*AG20-100,1),IF(ROUND(100/AF20*AG20-100,1)&gt;999,999,-999)))</f>
        <v>987.7</v>
      </c>
      <c r="AI20" s="801">
        <v>305.5</v>
      </c>
      <c r="AJ20" s="797">
        <f>SUM(AJ12:AJ17)+AJ19</f>
        <v>284</v>
      </c>
      <c r="AK20" s="604">
        <f t="shared" si="2"/>
        <v>-7</v>
      </c>
      <c r="AL20" s="603">
        <f>B20+E20+H20+K20+Q20+T20+W20+Z20+AF20+AI20</f>
        <v>618.87411303909767</v>
      </c>
      <c r="AM20" s="603">
        <f>C20+F20+I20+L20+R20+U20+X20+AA20+AG20+AJ20</f>
        <v>784.26948012902835</v>
      </c>
      <c r="AN20" s="604">
        <f t="shared" si="3"/>
        <v>26.7</v>
      </c>
      <c r="AO20" s="566">
        <f t="shared" si="6"/>
        <v>618.87411303909767</v>
      </c>
      <c r="AP20" s="566">
        <f t="shared" si="6"/>
        <v>784.26948012902835</v>
      </c>
      <c r="AQ20" s="604">
        <f t="shared" si="4"/>
        <v>26.7</v>
      </c>
      <c r="AR20" s="608"/>
      <c r="AS20" s="587"/>
      <c r="AT20" s="609"/>
      <c r="AU20" s="609"/>
    </row>
    <row r="21" spans="1:47" s="607" customFormat="1" ht="18.75" customHeight="1" x14ac:dyDescent="0.3">
      <c r="A21" s="556" t="s">
        <v>382</v>
      </c>
      <c r="B21" s="800">
        <v>6.71</v>
      </c>
      <c r="C21" s="799">
        <f>0.171+0.102</f>
        <v>0.27300000000000002</v>
      </c>
      <c r="D21" s="605">
        <f>IF(B21=0, "    ---- ", IF(ABS(ROUND(100/B21*C21-100,1))&lt;999,ROUND(100/B21*C21-100,1),IF(ROUND(100/B21*C21-100,1)&gt;999,999,-999)))</f>
        <v>-95.9</v>
      </c>
      <c r="E21" s="800">
        <v>52</v>
      </c>
      <c r="F21" s="799">
        <f>145.96+27.02</f>
        <v>172.98000000000002</v>
      </c>
      <c r="G21" s="606">
        <f>IF(E21=0, "    ---- ", IF(ABS(ROUND(100/E21*F21-100,1))&lt;999,ROUND(100/E21*F21-100,1),IF(ROUND(100/E21*F21-100,1)&gt;999,999,-999)))</f>
        <v>232.7</v>
      </c>
      <c r="H21" s="901"/>
      <c r="I21" s="564"/>
      <c r="J21" s="606"/>
      <c r="K21" s="800"/>
      <c r="L21" s="799"/>
      <c r="M21" s="605"/>
      <c r="N21" s="800"/>
      <c r="O21" s="799"/>
      <c r="P21" s="606"/>
      <c r="Q21" s="800"/>
      <c r="R21" s="564"/>
      <c r="S21" s="606"/>
      <c r="T21" s="800">
        <v>9</v>
      </c>
      <c r="U21" s="799">
        <v>6</v>
      </c>
      <c r="V21" s="606">
        <f>IF(T21=0, "    ---- ", IF(ABS(ROUND(100/T21*U21-100,1))&lt;999,ROUND(100/T21*U21-100,1),IF(ROUND(100/T21*U21-100,1)&gt;999,999,-999)))</f>
        <v>-33.299999999999997</v>
      </c>
      <c r="W21" s="875">
        <v>41.807523921848386</v>
      </c>
      <c r="X21" s="799">
        <v>28.131732333642901</v>
      </c>
      <c r="Y21" s="606">
        <f t="shared" si="7"/>
        <v>-32.700000000000003</v>
      </c>
      <c r="Z21" s="800"/>
      <c r="AA21" s="799"/>
      <c r="AB21" s="606"/>
      <c r="AC21" s="800"/>
      <c r="AD21" s="799"/>
      <c r="AE21" s="606"/>
      <c r="AF21" s="800">
        <v>9.2919999999999998</v>
      </c>
      <c r="AG21" s="799">
        <v>83</v>
      </c>
      <c r="AH21" s="606">
        <f>IF(AF21=0, "    ---- ", IF(ABS(ROUND(100/AF21*AG21-100,1))&lt;999,ROUND(100/AF21*AG21-100,1),IF(ROUND(100/AF21*AG21-100,1)&gt;999,999,-999)))</f>
        <v>793.2</v>
      </c>
      <c r="AI21" s="800">
        <v>38.9</v>
      </c>
      <c r="AJ21" s="799">
        <v>63</v>
      </c>
      <c r="AK21" s="606">
        <f t="shared" si="2"/>
        <v>62</v>
      </c>
      <c r="AL21" s="605">
        <f t="shared" ref="AL21:AM22" si="8">B21+E21+H21+K21+Q21+T21+W21+Z21+AF21+AI21</f>
        <v>157.70952392184839</v>
      </c>
      <c r="AM21" s="605">
        <f t="shared" si="8"/>
        <v>353.38473233364289</v>
      </c>
      <c r="AN21" s="606">
        <f t="shared" si="3"/>
        <v>124.1</v>
      </c>
      <c r="AO21" s="564">
        <f t="shared" si="6"/>
        <v>157.70952392184839</v>
      </c>
      <c r="AP21" s="564">
        <f t="shared" si="6"/>
        <v>353.38473233364289</v>
      </c>
      <c r="AQ21" s="606">
        <f t="shared" si="4"/>
        <v>124.1</v>
      </c>
      <c r="AR21" s="589"/>
      <c r="AS21" s="589"/>
      <c r="AT21" s="584"/>
      <c r="AU21" s="584"/>
    </row>
    <row r="22" spans="1:47" s="607" customFormat="1" ht="18.75" customHeight="1" x14ac:dyDescent="0.3">
      <c r="A22" s="556" t="s">
        <v>383</v>
      </c>
      <c r="B22" s="800">
        <v>-5.3580000000000005</v>
      </c>
      <c r="C22" s="799">
        <f>-5.436-1.218</f>
        <v>-6.6539999999999999</v>
      </c>
      <c r="D22" s="605">
        <f>IF(B22=0, "    ---- ", IF(ABS(ROUND(100/B22*C22-100,1))&lt;999,ROUND(100/B22*C22-100,1),IF(ROUND(100/B22*C22-100,1)&gt;999,999,-999)))</f>
        <v>24.2</v>
      </c>
      <c r="E22" s="800">
        <v>115</v>
      </c>
      <c r="F22" s="799">
        <f>112.874+14.55</f>
        <v>127.42399999999999</v>
      </c>
      <c r="G22" s="606">
        <f>IF(E22=0, "    ---- ", IF(ABS(ROUND(100/E22*F22-100,1))&lt;999,ROUND(100/E22*F22-100,1),IF(ROUND(100/E22*F22-100,1)&gt;999,999,-999)))</f>
        <v>10.8</v>
      </c>
      <c r="H22" s="901"/>
      <c r="I22" s="564"/>
      <c r="J22" s="606"/>
      <c r="K22" s="800"/>
      <c r="L22" s="799"/>
      <c r="M22" s="605"/>
      <c r="N22" s="800"/>
      <c r="O22" s="799"/>
      <c r="P22" s="606"/>
      <c r="Q22" s="800"/>
      <c r="R22" s="564"/>
      <c r="S22" s="606"/>
      <c r="T22" s="800">
        <v>11</v>
      </c>
      <c r="U22" s="799">
        <v>1</v>
      </c>
      <c r="V22" s="606">
        <f>IF(T22=0, "    ---- ", IF(ABS(ROUND(100/T22*U22-100,1))&lt;999,ROUND(100/T22*U22-100,1),IF(ROUND(100/T22*U22-100,1)&gt;999,999,-999)))</f>
        <v>-90.9</v>
      </c>
      <c r="W22" s="875">
        <v>75.494589117249333</v>
      </c>
      <c r="X22" s="799">
        <v>87.110747795385549</v>
      </c>
      <c r="Y22" s="606">
        <f>IF(W22=0, "    ---- ", IF(ABS(ROUND(100/W22*X22-100,1))&lt;999,ROUND(100/W22*X22-100,1),IF(ROUND(100/W22*X22-100,1)&gt;999,999,-999)))</f>
        <v>15.4</v>
      </c>
      <c r="Z22" s="800"/>
      <c r="AA22" s="799"/>
      <c r="AB22" s="606"/>
      <c r="AC22" s="800"/>
      <c r="AD22" s="799"/>
      <c r="AE22" s="606"/>
      <c r="AF22" s="800">
        <v>-1.569</v>
      </c>
      <c r="AG22" s="799">
        <v>1</v>
      </c>
      <c r="AH22" s="606">
        <f>IF(AF22=0, "    ---- ", IF(ABS(ROUND(100/AF22*AG22-100,1))&lt;999,ROUND(100/AF22*AG22-100,1),IF(ROUND(100/AF22*AG22-100,1)&gt;999,999,-999)))</f>
        <v>-163.69999999999999</v>
      </c>
      <c r="AI22" s="800">
        <v>267</v>
      </c>
      <c r="AJ22" s="799">
        <v>220</v>
      </c>
      <c r="AK22" s="606">
        <f t="shared" si="2"/>
        <v>-17.600000000000001</v>
      </c>
      <c r="AL22" s="605">
        <f t="shared" si="8"/>
        <v>461.56758911724933</v>
      </c>
      <c r="AM22" s="605">
        <f t="shared" si="8"/>
        <v>429.88074779538556</v>
      </c>
      <c r="AN22" s="606">
        <f t="shared" si="3"/>
        <v>-6.9</v>
      </c>
      <c r="AO22" s="564">
        <f t="shared" si="6"/>
        <v>461.56758911724933</v>
      </c>
      <c r="AP22" s="564">
        <f t="shared" si="6"/>
        <v>429.88074779538556</v>
      </c>
      <c r="AQ22" s="606">
        <f t="shared" si="4"/>
        <v>-6.9</v>
      </c>
      <c r="AR22" s="589"/>
      <c r="AS22" s="589"/>
      <c r="AT22" s="584"/>
      <c r="AU22" s="584"/>
    </row>
    <row r="23" spans="1:47" ht="18.75" customHeight="1" x14ac:dyDescent="0.3">
      <c r="A23" s="550" t="s">
        <v>394</v>
      </c>
      <c r="B23" s="801"/>
      <c r="C23" s="797"/>
      <c r="D23" s="603"/>
      <c r="E23" s="801"/>
      <c r="F23" s="797"/>
      <c r="G23" s="604"/>
      <c r="H23" s="902"/>
      <c r="I23" s="566"/>
      <c r="J23" s="604"/>
      <c r="K23" s="801"/>
      <c r="L23" s="797"/>
      <c r="M23" s="603"/>
      <c r="N23" s="801"/>
      <c r="O23" s="797"/>
      <c r="P23" s="604"/>
      <c r="Q23" s="801"/>
      <c r="R23" s="566"/>
      <c r="S23" s="604"/>
      <c r="T23" s="801"/>
      <c r="U23" s="797"/>
      <c r="V23" s="604"/>
      <c r="W23" s="874"/>
      <c r="X23" s="797"/>
      <c r="Y23" s="604"/>
      <c r="Z23" s="801"/>
      <c r="AA23" s="797"/>
      <c r="AB23" s="604"/>
      <c r="AC23" s="801"/>
      <c r="AD23" s="797"/>
      <c r="AE23" s="604"/>
      <c r="AF23" s="801"/>
      <c r="AG23" s="797"/>
      <c r="AH23" s="604"/>
      <c r="AI23" s="801"/>
      <c r="AJ23" s="797"/>
      <c r="AK23" s="604"/>
      <c r="AL23" s="603"/>
      <c r="AM23" s="603"/>
      <c r="AN23" s="604"/>
      <c r="AO23" s="566"/>
      <c r="AP23" s="566"/>
      <c r="AQ23" s="604"/>
      <c r="AR23" s="589"/>
      <c r="AS23" s="589"/>
      <c r="AT23" s="584"/>
      <c r="AU23" s="584"/>
    </row>
    <row r="24" spans="1:47" s="607" customFormat="1" ht="18.75" customHeight="1" x14ac:dyDescent="0.3">
      <c r="A24" s="556" t="s">
        <v>373</v>
      </c>
      <c r="B24" s="800"/>
      <c r="C24" s="799"/>
      <c r="D24" s="605"/>
      <c r="E24" s="800"/>
      <c r="F24" s="799"/>
      <c r="G24" s="606"/>
      <c r="H24" s="901"/>
      <c r="I24" s="564"/>
      <c r="J24" s="606"/>
      <c r="K24" s="800"/>
      <c r="L24" s="799"/>
      <c r="M24" s="605"/>
      <c r="N24" s="800"/>
      <c r="O24" s="799"/>
      <c r="P24" s="606"/>
      <c r="Q24" s="800"/>
      <c r="R24" s="564"/>
      <c r="S24" s="606"/>
      <c r="T24" s="800"/>
      <c r="U24" s="799"/>
      <c r="V24" s="606"/>
      <c r="W24" s="875"/>
      <c r="X24" s="799"/>
      <c r="Y24" s="606"/>
      <c r="Z24" s="800"/>
      <c r="AA24" s="799"/>
      <c r="AB24" s="606"/>
      <c r="AC24" s="800"/>
      <c r="AD24" s="799"/>
      <c r="AE24" s="606"/>
      <c r="AF24" s="800"/>
      <c r="AG24" s="799"/>
      <c r="AH24" s="606"/>
      <c r="AI24" s="800"/>
      <c r="AJ24" s="799"/>
      <c r="AK24" s="606"/>
      <c r="AL24" s="605">
        <f t="shared" ref="AL24:AM31" si="9">B24+E24+H24+K24+Q24+T24+W24+Z24+AF24+AI24</f>
        <v>0</v>
      </c>
      <c r="AM24" s="605">
        <f t="shared" si="9"/>
        <v>0</v>
      </c>
      <c r="AN24" s="606" t="str">
        <f t="shared" si="3"/>
        <v xml:space="preserve">    ---- </v>
      </c>
      <c r="AO24" s="564">
        <f t="shared" ref="AO24:AP34" si="10">+B24+E24+H24+K24+N24+Q24+T24+W24+Z24+AC24+AF24+AI24</f>
        <v>0</v>
      </c>
      <c r="AP24" s="564">
        <f t="shared" si="10"/>
        <v>0</v>
      </c>
      <c r="AQ24" s="606" t="str">
        <f t="shared" si="4"/>
        <v xml:space="preserve">    ---- </v>
      </c>
      <c r="AR24" s="589"/>
      <c r="AS24" s="589"/>
      <c r="AT24" s="584"/>
      <c r="AU24" s="584"/>
    </row>
    <row r="25" spans="1:47" s="607" customFormat="1" ht="18.75" customHeight="1" x14ac:dyDescent="0.3">
      <c r="A25" s="556" t="s">
        <v>374</v>
      </c>
      <c r="B25" s="800"/>
      <c r="C25" s="799"/>
      <c r="D25" s="605"/>
      <c r="E25" s="800"/>
      <c r="F25" s="799"/>
      <c r="G25" s="606"/>
      <c r="H25" s="901"/>
      <c r="I25" s="564"/>
      <c r="J25" s="606"/>
      <c r="K25" s="800"/>
      <c r="L25" s="799"/>
      <c r="M25" s="605"/>
      <c r="N25" s="800"/>
      <c r="O25" s="799"/>
      <c r="P25" s="606"/>
      <c r="Q25" s="800"/>
      <c r="R25" s="564"/>
      <c r="S25" s="606"/>
      <c r="T25" s="800"/>
      <c r="U25" s="799"/>
      <c r="V25" s="606"/>
      <c r="W25" s="875"/>
      <c r="X25" s="799"/>
      <c r="Y25" s="606"/>
      <c r="Z25" s="800"/>
      <c r="AA25" s="799"/>
      <c r="AB25" s="606"/>
      <c r="AC25" s="800"/>
      <c r="AD25" s="799"/>
      <c r="AE25" s="606"/>
      <c r="AF25" s="800"/>
      <c r="AG25" s="799"/>
      <c r="AH25" s="606"/>
      <c r="AI25" s="800"/>
      <c r="AJ25" s="799"/>
      <c r="AK25" s="606"/>
      <c r="AL25" s="605">
        <f t="shared" si="9"/>
        <v>0</v>
      </c>
      <c r="AM25" s="605">
        <f t="shared" si="9"/>
        <v>0</v>
      </c>
      <c r="AN25" s="606" t="str">
        <f t="shared" si="3"/>
        <v xml:space="preserve">    ---- </v>
      </c>
      <c r="AO25" s="564">
        <f t="shared" si="10"/>
        <v>0</v>
      </c>
      <c r="AP25" s="564">
        <f t="shared" si="10"/>
        <v>0</v>
      </c>
      <c r="AQ25" s="606" t="str">
        <f t="shared" si="4"/>
        <v xml:space="preserve">    ---- </v>
      </c>
      <c r="AR25" s="589"/>
      <c r="AS25" s="589"/>
      <c r="AT25" s="584"/>
      <c r="AU25" s="584"/>
    </row>
    <row r="26" spans="1:47" s="607" customFormat="1" ht="18.75" customHeight="1" x14ac:dyDescent="0.3">
      <c r="A26" s="556" t="s">
        <v>375</v>
      </c>
      <c r="B26" s="800"/>
      <c r="C26" s="799"/>
      <c r="D26" s="605"/>
      <c r="E26" s="800"/>
      <c r="F26" s="799"/>
      <c r="G26" s="606"/>
      <c r="H26" s="901"/>
      <c r="I26" s="564"/>
      <c r="J26" s="606"/>
      <c r="K26" s="800"/>
      <c r="L26" s="799"/>
      <c r="M26" s="605"/>
      <c r="N26" s="800"/>
      <c r="O26" s="799"/>
      <c r="P26" s="606"/>
      <c r="Q26" s="800"/>
      <c r="R26" s="564"/>
      <c r="S26" s="606"/>
      <c r="T26" s="800"/>
      <c r="U26" s="799"/>
      <c r="V26" s="606"/>
      <c r="W26" s="875"/>
      <c r="X26" s="799"/>
      <c r="Y26" s="606"/>
      <c r="Z26" s="800"/>
      <c r="AA26" s="799"/>
      <c r="AB26" s="606"/>
      <c r="AC26" s="800"/>
      <c r="AD26" s="799"/>
      <c r="AE26" s="606"/>
      <c r="AF26" s="800"/>
      <c r="AG26" s="799"/>
      <c r="AH26" s="606"/>
      <c r="AI26" s="800"/>
      <c r="AJ26" s="799"/>
      <c r="AK26" s="606"/>
      <c r="AL26" s="605">
        <f t="shared" si="9"/>
        <v>0</v>
      </c>
      <c r="AM26" s="605">
        <f t="shared" si="9"/>
        <v>0</v>
      </c>
      <c r="AN26" s="606" t="str">
        <f t="shared" si="3"/>
        <v xml:space="preserve">    ---- </v>
      </c>
      <c r="AO26" s="564">
        <f t="shared" si="10"/>
        <v>0</v>
      </c>
      <c r="AP26" s="564">
        <f t="shared" si="10"/>
        <v>0</v>
      </c>
      <c r="AQ26" s="606" t="str">
        <f t="shared" si="4"/>
        <v xml:space="preserve">    ---- </v>
      </c>
      <c r="AR26" s="589"/>
      <c r="AS26" s="589"/>
      <c r="AT26" s="584"/>
      <c r="AU26" s="584"/>
    </row>
    <row r="27" spans="1:47" s="607" customFormat="1" ht="18.75" customHeight="1" x14ac:dyDescent="0.3">
      <c r="A27" s="556" t="s">
        <v>376</v>
      </c>
      <c r="B27" s="800"/>
      <c r="C27" s="799"/>
      <c r="D27" s="605"/>
      <c r="E27" s="800"/>
      <c r="F27" s="799"/>
      <c r="G27" s="606"/>
      <c r="H27" s="901"/>
      <c r="I27" s="564"/>
      <c r="J27" s="606"/>
      <c r="K27" s="800"/>
      <c r="L27" s="799"/>
      <c r="M27" s="605"/>
      <c r="N27" s="800"/>
      <c r="O27" s="799"/>
      <c r="P27" s="606"/>
      <c r="Q27" s="800"/>
      <c r="R27" s="564"/>
      <c r="S27" s="606"/>
      <c r="T27" s="800"/>
      <c r="U27" s="799"/>
      <c r="V27" s="606"/>
      <c r="W27" s="875"/>
      <c r="X27" s="799"/>
      <c r="Y27" s="606"/>
      <c r="Z27" s="800"/>
      <c r="AA27" s="799"/>
      <c r="AB27" s="606"/>
      <c r="AC27" s="800"/>
      <c r="AD27" s="799"/>
      <c r="AE27" s="606"/>
      <c r="AF27" s="800"/>
      <c r="AG27" s="799"/>
      <c r="AH27" s="606"/>
      <c r="AI27" s="800"/>
      <c r="AJ27" s="799"/>
      <c r="AK27" s="606"/>
      <c r="AL27" s="605">
        <f t="shared" si="9"/>
        <v>0</v>
      </c>
      <c r="AM27" s="605">
        <f t="shared" si="9"/>
        <v>0</v>
      </c>
      <c r="AN27" s="606" t="str">
        <f t="shared" si="3"/>
        <v xml:space="preserve">    ---- </v>
      </c>
      <c r="AO27" s="564">
        <f t="shared" si="10"/>
        <v>0</v>
      </c>
      <c r="AP27" s="564">
        <f t="shared" si="10"/>
        <v>0</v>
      </c>
      <c r="AQ27" s="606" t="str">
        <f t="shared" si="4"/>
        <v xml:space="preserve">    ---- </v>
      </c>
      <c r="AR27" s="589"/>
      <c r="AS27" s="589"/>
      <c r="AT27" s="584"/>
      <c r="AU27" s="584"/>
    </row>
    <row r="28" spans="1:47" s="607" customFormat="1" ht="18.75" customHeight="1" x14ac:dyDescent="0.3">
      <c r="A28" s="556" t="s">
        <v>377</v>
      </c>
      <c r="B28" s="800"/>
      <c r="C28" s="799"/>
      <c r="D28" s="605"/>
      <c r="E28" s="800"/>
      <c r="F28" s="799"/>
      <c r="G28" s="606"/>
      <c r="H28" s="901"/>
      <c r="I28" s="564"/>
      <c r="J28" s="606"/>
      <c r="K28" s="800"/>
      <c r="L28" s="799"/>
      <c r="M28" s="605"/>
      <c r="N28" s="800"/>
      <c r="O28" s="799"/>
      <c r="P28" s="606"/>
      <c r="Q28" s="800"/>
      <c r="R28" s="564"/>
      <c r="S28" s="606"/>
      <c r="T28" s="800"/>
      <c r="U28" s="799"/>
      <c r="V28" s="606"/>
      <c r="W28" s="875"/>
      <c r="X28" s="799"/>
      <c r="Y28" s="606"/>
      <c r="Z28" s="800"/>
      <c r="AA28" s="799"/>
      <c r="AB28" s="606"/>
      <c r="AC28" s="800"/>
      <c r="AD28" s="799"/>
      <c r="AE28" s="606"/>
      <c r="AF28" s="800"/>
      <c r="AG28" s="799"/>
      <c r="AH28" s="606"/>
      <c r="AI28" s="800"/>
      <c r="AJ28" s="799"/>
      <c r="AK28" s="606"/>
      <c r="AL28" s="605">
        <f t="shared" si="9"/>
        <v>0</v>
      </c>
      <c r="AM28" s="605">
        <f t="shared" si="9"/>
        <v>0</v>
      </c>
      <c r="AN28" s="606" t="str">
        <f t="shared" si="3"/>
        <v xml:space="preserve">    ---- </v>
      </c>
      <c r="AO28" s="564">
        <f t="shared" si="10"/>
        <v>0</v>
      </c>
      <c r="AP28" s="564">
        <f t="shared" si="10"/>
        <v>0</v>
      </c>
      <c r="AQ28" s="606" t="str">
        <f t="shared" si="4"/>
        <v xml:space="preserve">    ---- </v>
      </c>
      <c r="AR28" s="589"/>
      <c r="AS28" s="589"/>
      <c r="AT28" s="584"/>
      <c r="AU28" s="584"/>
    </row>
    <row r="29" spans="1:47" s="607" customFormat="1" ht="18.75" customHeight="1" x14ac:dyDescent="0.3">
      <c r="A29" s="556" t="s">
        <v>378</v>
      </c>
      <c r="B29" s="800"/>
      <c r="C29" s="799"/>
      <c r="D29" s="605"/>
      <c r="E29" s="800"/>
      <c r="F29" s="799"/>
      <c r="G29" s="606"/>
      <c r="H29" s="901"/>
      <c r="I29" s="564"/>
      <c r="J29" s="606"/>
      <c r="K29" s="800"/>
      <c r="L29" s="799"/>
      <c r="M29" s="605"/>
      <c r="N29" s="800"/>
      <c r="O29" s="799"/>
      <c r="P29" s="606"/>
      <c r="Q29" s="800"/>
      <c r="R29" s="564"/>
      <c r="S29" s="606"/>
      <c r="T29" s="800"/>
      <c r="U29" s="799"/>
      <c r="V29" s="606"/>
      <c r="W29" s="875"/>
      <c r="X29" s="799"/>
      <c r="Y29" s="606"/>
      <c r="Z29" s="800"/>
      <c r="AA29" s="799"/>
      <c r="AB29" s="606"/>
      <c r="AC29" s="800"/>
      <c r="AD29" s="799"/>
      <c r="AE29" s="606"/>
      <c r="AF29" s="800"/>
      <c r="AG29" s="799"/>
      <c r="AH29" s="606"/>
      <c r="AI29" s="800"/>
      <c r="AJ29" s="799"/>
      <c r="AK29" s="606"/>
      <c r="AL29" s="605">
        <f t="shared" si="9"/>
        <v>0</v>
      </c>
      <c r="AM29" s="605">
        <f t="shared" si="9"/>
        <v>0</v>
      </c>
      <c r="AN29" s="606" t="str">
        <f t="shared" si="3"/>
        <v xml:space="preserve">    ---- </v>
      </c>
      <c r="AO29" s="564">
        <f t="shared" si="10"/>
        <v>0</v>
      </c>
      <c r="AP29" s="564">
        <f t="shared" si="10"/>
        <v>0</v>
      </c>
      <c r="AQ29" s="606" t="str">
        <f t="shared" si="4"/>
        <v xml:space="preserve">    ---- </v>
      </c>
      <c r="AR29" s="589"/>
      <c r="AS29" s="589"/>
      <c r="AT29" s="584"/>
      <c r="AU29" s="584"/>
    </row>
    <row r="30" spans="1:47" s="607" customFormat="1" ht="18.75" customHeight="1" x14ac:dyDescent="0.3">
      <c r="A30" s="556" t="s">
        <v>379</v>
      </c>
      <c r="B30" s="800"/>
      <c r="C30" s="799"/>
      <c r="D30" s="605"/>
      <c r="E30" s="800"/>
      <c r="F30" s="799"/>
      <c r="G30" s="606"/>
      <c r="H30" s="901"/>
      <c r="I30" s="564"/>
      <c r="J30" s="606"/>
      <c r="K30" s="800"/>
      <c r="L30" s="799"/>
      <c r="M30" s="605"/>
      <c r="N30" s="800"/>
      <c r="O30" s="799"/>
      <c r="P30" s="606"/>
      <c r="Q30" s="800"/>
      <c r="R30" s="564"/>
      <c r="S30" s="606"/>
      <c r="T30" s="800"/>
      <c r="U30" s="799"/>
      <c r="V30" s="606"/>
      <c r="W30" s="875"/>
      <c r="X30" s="799"/>
      <c r="Y30" s="606"/>
      <c r="Z30" s="800"/>
      <c r="AA30" s="799"/>
      <c r="AB30" s="606"/>
      <c r="AC30" s="800"/>
      <c r="AD30" s="799"/>
      <c r="AE30" s="606"/>
      <c r="AF30" s="800"/>
      <c r="AG30" s="799"/>
      <c r="AH30" s="606"/>
      <c r="AI30" s="800"/>
      <c r="AJ30" s="799"/>
      <c r="AK30" s="606"/>
      <c r="AL30" s="605">
        <f t="shared" si="9"/>
        <v>0</v>
      </c>
      <c r="AM30" s="605">
        <f t="shared" si="9"/>
        <v>0</v>
      </c>
      <c r="AN30" s="606" t="str">
        <f t="shared" si="3"/>
        <v xml:space="preserve">    ---- </v>
      </c>
      <c r="AO30" s="564">
        <f t="shared" si="10"/>
        <v>0</v>
      </c>
      <c r="AP30" s="564">
        <f t="shared" si="10"/>
        <v>0</v>
      </c>
      <c r="AQ30" s="606" t="str">
        <f t="shared" si="4"/>
        <v xml:space="preserve">    ---- </v>
      </c>
      <c r="AR30" s="589"/>
      <c r="AS30" s="589"/>
      <c r="AT30" s="584"/>
      <c r="AU30" s="584"/>
    </row>
    <row r="31" spans="1:47" s="607" customFormat="1" ht="18.75" customHeight="1" x14ac:dyDescent="0.3">
      <c r="A31" s="556" t="s">
        <v>380</v>
      </c>
      <c r="B31" s="800"/>
      <c r="C31" s="799"/>
      <c r="D31" s="605"/>
      <c r="E31" s="800"/>
      <c r="F31" s="799"/>
      <c r="G31" s="606"/>
      <c r="H31" s="901"/>
      <c r="I31" s="564"/>
      <c r="J31" s="606"/>
      <c r="K31" s="800"/>
      <c r="L31" s="799"/>
      <c r="M31" s="605"/>
      <c r="N31" s="800"/>
      <c r="O31" s="799"/>
      <c r="P31" s="606"/>
      <c r="Q31" s="800"/>
      <c r="R31" s="564"/>
      <c r="S31" s="606"/>
      <c r="T31" s="800"/>
      <c r="U31" s="799"/>
      <c r="V31" s="606"/>
      <c r="W31" s="875"/>
      <c r="X31" s="799"/>
      <c r="Y31" s="606"/>
      <c r="Z31" s="800"/>
      <c r="AA31" s="799"/>
      <c r="AB31" s="606"/>
      <c r="AC31" s="800"/>
      <c r="AD31" s="799"/>
      <c r="AE31" s="606"/>
      <c r="AF31" s="800"/>
      <c r="AG31" s="799"/>
      <c r="AH31" s="606"/>
      <c r="AI31" s="800"/>
      <c r="AJ31" s="799"/>
      <c r="AK31" s="606"/>
      <c r="AL31" s="605">
        <f t="shared" si="9"/>
        <v>0</v>
      </c>
      <c r="AM31" s="605">
        <f t="shared" si="9"/>
        <v>0</v>
      </c>
      <c r="AN31" s="606" t="str">
        <f t="shared" si="3"/>
        <v xml:space="preserve">    ---- </v>
      </c>
      <c r="AO31" s="564">
        <f t="shared" si="10"/>
        <v>0</v>
      </c>
      <c r="AP31" s="564">
        <f t="shared" si="10"/>
        <v>0</v>
      </c>
      <c r="AQ31" s="606" t="str">
        <f t="shared" si="4"/>
        <v xml:space="preserve">    ---- </v>
      </c>
      <c r="AR31" s="589"/>
      <c r="AS31" s="589"/>
      <c r="AT31" s="584"/>
      <c r="AU31" s="584"/>
    </row>
    <row r="32" spans="1:47" s="610" customFormat="1" ht="18.75" customHeight="1" x14ac:dyDescent="0.3">
      <c r="A32" s="550" t="s">
        <v>381</v>
      </c>
      <c r="B32" s="801"/>
      <c r="C32" s="797"/>
      <c r="D32" s="603"/>
      <c r="E32" s="801"/>
      <c r="F32" s="797"/>
      <c r="G32" s="604"/>
      <c r="H32" s="902"/>
      <c r="I32" s="566"/>
      <c r="J32" s="604"/>
      <c r="K32" s="801"/>
      <c r="L32" s="797"/>
      <c r="M32" s="603"/>
      <c r="N32" s="801"/>
      <c r="O32" s="797"/>
      <c r="P32" s="604"/>
      <c r="Q32" s="801"/>
      <c r="R32" s="566"/>
      <c r="S32" s="604"/>
      <c r="T32" s="801"/>
      <c r="U32" s="797"/>
      <c r="V32" s="604"/>
      <c r="W32" s="874"/>
      <c r="X32" s="797"/>
      <c r="Y32" s="604"/>
      <c r="Z32" s="801"/>
      <c r="AA32" s="797"/>
      <c r="AB32" s="604"/>
      <c r="AC32" s="801"/>
      <c r="AD32" s="797"/>
      <c r="AE32" s="604"/>
      <c r="AF32" s="801"/>
      <c r="AG32" s="797"/>
      <c r="AH32" s="604"/>
      <c r="AI32" s="801"/>
      <c r="AJ32" s="797"/>
      <c r="AK32" s="604"/>
      <c r="AL32" s="603">
        <f>B32+E32+H32+K32+Q32+T32+W32+Z32+AF32+AI32</f>
        <v>0</v>
      </c>
      <c r="AM32" s="603">
        <f>C32+F32+I32+L32+R32+U32+X32+AA32+AG32+AJ32</f>
        <v>0</v>
      </c>
      <c r="AN32" s="604" t="str">
        <f t="shared" si="3"/>
        <v xml:space="preserve">    ---- </v>
      </c>
      <c r="AO32" s="566">
        <f t="shared" si="10"/>
        <v>0</v>
      </c>
      <c r="AP32" s="566">
        <f t="shared" si="10"/>
        <v>0</v>
      </c>
      <c r="AQ32" s="604" t="str">
        <f t="shared" si="4"/>
        <v xml:space="preserve">    ---- </v>
      </c>
      <c r="AR32" s="587"/>
      <c r="AS32" s="587"/>
      <c r="AT32" s="609"/>
      <c r="AU32" s="609"/>
    </row>
    <row r="33" spans="1:47" s="607" customFormat="1" ht="18.75" customHeight="1" x14ac:dyDescent="0.3">
      <c r="A33" s="556" t="s">
        <v>382</v>
      </c>
      <c r="B33" s="800"/>
      <c r="C33" s="799"/>
      <c r="D33" s="605"/>
      <c r="E33" s="800"/>
      <c r="F33" s="799"/>
      <c r="G33" s="606"/>
      <c r="H33" s="901"/>
      <c r="I33" s="564"/>
      <c r="J33" s="606"/>
      <c r="K33" s="800"/>
      <c r="L33" s="799"/>
      <c r="M33" s="605"/>
      <c r="N33" s="800"/>
      <c r="O33" s="799"/>
      <c r="P33" s="606"/>
      <c r="Q33" s="800"/>
      <c r="R33" s="564"/>
      <c r="S33" s="606"/>
      <c r="T33" s="800"/>
      <c r="U33" s="799"/>
      <c r="V33" s="606"/>
      <c r="W33" s="875"/>
      <c r="X33" s="799"/>
      <c r="Y33" s="606"/>
      <c r="Z33" s="800"/>
      <c r="AA33" s="799"/>
      <c r="AB33" s="606"/>
      <c r="AC33" s="800"/>
      <c r="AD33" s="799"/>
      <c r="AE33" s="606"/>
      <c r="AF33" s="800"/>
      <c r="AG33" s="799"/>
      <c r="AH33" s="606"/>
      <c r="AI33" s="800"/>
      <c r="AJ33" s="799"/>
      <c r="AK33" s="606"/>
      <c r="AL33" s="605">
        <f t="shared" ref="AL33:AM34" si="11">B33+E33+H33+K33+Q33+T33+W33+Z33+AF33+AI33</f>
        <v>0</v>
      </c>
      <c r="AM33" s="605">
        <f t="shared" si="11"/>
        <v>0</v>
      </c>
      <c r="AN33" s="606" t="str">
        <f t="shared" si="3"/>
        <v xml:space="preserve">    ---- </v>
      </c>
      <c r="AO33" s="564">
        <f t="shared" si="10"/>
        <v>0</v>
      </c>
      <c r="AP33" s="564">
        <f t="shared" si="10"/>
        <v>0</v>
      </c>
      <c r="AQ33" s="606" t="str">
        <f t="shared" si="4"/>
        <v xml:space="preserve">    ---- </v>
      </c>
      <c r="AR33" s="589"/>
      <c r="AS33" s="589"/>
      <c r="AT33" s="584"/>
      <c r="AU33" s="584"/>
    </row>
    <row r="34" spans="1:47" s="607" customFormat="1" ht="18.75" customHeight="1" x14ac:dyDescent="0.3">
      <c r="A34" s="556" t="s">
        <v>383</v>
      </c>
      <c r="B34" s="800"/>
      <c r="C34" s="799"/>
      <c r="D34" s="605"/>
      <c r="E34" s="800"/>
      <c r="F34" s="799"/>
      <c r="G34" s="606"/>
      <c r="H34" s="901"/>
      <c r="I34" s="564"/>
      <c r="J34" s="606"/>
      <c r="K34" s="800"/>
      <c r="L34" s="799"/>
      <c r="M34" s="605"/>
      <c r="N34" s="800"/>
      <c r="O34" s="799"/>
      <c r="P34" s="606"/>
      <c r="Q34" s="800"/>
      <c r="R34" s="564"/>
      <c r="S34" s="606"/>
      <c r="T34" s="800"/>
      <c r="U34" s="799"/>
      <c r="V34" s="606"/>
      <c r="W34" s="875"/>
      <c r="X34" s="799"/>
      <c r="Y34" s="606"/>
      <c r="Z34" s="800"/>
      <c r="AA34" s="799"/>
      <c r="AB34" s="606"/>
      <c r="AC34" s="800"/>
      <c r="AD34" s="799"/>
      <c r="AE34" s="606"/>
      <c r="AF34" s="800"/>
      <c r="AG34" s="799"/>
      <c r="AH34" s="606"/>
      <c r="AI34" s="800"/>
      <c r="AJ34" s="799"/>
      <c r="AK34" s="606"/>
      <c r="AL34" s="605">
        <f t="shared" si="11"/>
        <v>0</v>
      </c>
      <c r="AM34" s="605">
        <f t="shared" si="11"/>
        <v>0</v>
      </c>
      <c r="AN34" s="606" t="str">
        <f t="shared" si="3"/>
        <v xml:space="preserve">    ---- </v>
      </c>
      <c r="AO34" s="564">
        <f t="shared" si="10"/>
        <v>0</v>
      </c>
      <c r="AP34" s="564">
        <f t="shared" si="10"/>
        <v>0</v>
      </c>
      <c r="AQ34" s="606" t="str">
        <f t="shared" si="4"/>
        <v xml:space="preserve">    ---- </v>
      </c>
      <c r="AR34" s="589"/>
      <c r="AS34" s="589"/>
      <c r="AT34" s="584"/>
      <c r="AU34" s="584"/>
    </row>
    <row r="35" spans="1:47" ht="18.75" customHeight="1" x14ac:dyDescent="0.3">
      <c r="A35" s="550" t="s">
        <v>395</v>
      </c>
      <c r="B35" s="800"/>
      <c r="C35" s="797"/>
      <c r="D35" s="603"/>
      <c r="E35" s="801"/>
      <c r="F35" s="797"/>
      <c r="G35" s="604"/>
      <c r="H35" s="902"/>
      <c r="I35" s="566"/>
      <c r="J35" s="604"/>
      <c r="K35" s="801"/>
      <c r="L35" s="797"/>
      <c r="M35" s="603"/>
      <c r="N35" s="801"/>
      <c r="O35" s="797"/>
      <c r="P35" s="604"/>
      <c r="Q35" s="801"/>
      <c r="R35" s="566"/>
      <c r="S35" s="604"/>
      <c r="T35" s="801"/>
      <c r="U35" s="797"/>
      <c r="V35" s="604"/>
      <c r="W35" s="874"/>
      <c r="X35" s="797"/>
      <c r="Y35" s="604"/>
      <c r="Z35" s="801"/>
      <c r="AA35" s="797"/>
      <c r="AB35" s="604"/>
      <c r="AC35" s="801"/>
      <c r="AD35" s="797"/>
      <c r="AE35" s="604"/>
      <c r="AF35" s="801"/>
      <c r="AG35" s="797"/>
      <c r="AH35" s="604"/>
      <c r="AI35" s="801"/>
      <c r="AJ35" s="797"/>
      <c r="AK35" s="604"/>
      <c r="AL35" s="603"/>
      <c r="AM35" s="603"/>
      <c r="AN35" s="604"/>
      <c r="AO35" s="566"/>
      <c r="AP35" s="566"/>
      <c r="AQ35" s="604"/>
      <c r="AR35" s="589"/>
      <c r="AS35" s="589"/>
      <c r="AT35" s="584"/>
      <c r="AU35" s="584"/>
    </row>
    <row r="36" spans="1:47" s="607" customFormat="1" ht="18.75" customHeight="1" x14ac:dyDescent="0.3">
      <c r="A36" s="556" t="s">
        <v>373</v>
      </c>
      <c r="B36" s="800"/>
      <c r="C36" s="799"/>
      <c r="D36" s="605"/>
      <c r="E36" s="800"/>
      <c r="F36" s="799"/>
      <c r="G36" s="606"/>
      <c r="H36" s="901"/>
      <c r="I36" s="564"/>
      <c r="J36" s="606"/>
      <c r="K36" s="800"/>
      <c r="L36" s="799"/>
      <c r="M36" s="605"/>
      <c r="N36" s="800"/>
      <c r="O36" s="799"/>
      <c r="P36" s="606"/>
      <c r="Q36" s="800"/>
      <c r="R36" s="564"/>
      <c r="S36" s="606"/>
      <c r="T36" s="800"/>
      <c r="U36" s="799"/>
      <c r="V36" s="606"/>
      <c r="W36" s="875"/>
      <c r="X36" s="799"/>
      <c r="Y36" s="606"/>
      <c r="Z36" s="800"/>
      <c r="AA36" s="799"/>
      <c r="AB36" s="606"/>
      <c r="AC36" s="800"/>
      <c r="AD36" s="799"/>
      <c r="AE36" s="606"/>
      <c r="AF36" s="800">
        <v>17.463999999999999</v>
      </c>
      <c r="AG36" s="799">
        <v>51</v>
      </c>
      <c r="AH36" s="606">
        <f>IF(AF36=0, "    ---- ", IF(ABS(ROUND(100/AF36*AG36-100,1))&lt;999,ROUND(100/AF36*AG36-100,1),IF(ROUND(100/AF36*AG36-100,1)&gt;999,999,-999)))</f>
        <v>192</v>
      </c>
      <c r="AI36" s="800"/>
      <c r="AJ36" s="799">
        <f>2-2</f>
        <v>0</v>
      </c>
      <c r="AK36" s="606" t="str">
        <f t="shared" ref="AK36:AK38" si="12">IF(AI36=0, "    ---- ", IF(ABS(ROUND(100/AI36*AJ36-100,1))&lt;999,ROUND(100/AI36*AJ36-100,1),IF(ROUND(100/AI36*AJ36-100,1)&gt;999,999,-999)))</f>
        <v xml:space="preserve">    ---- </v>
      </c>
      <c r="AL36" s="605">
        <f t="shared" ref="AL36:AM43" si="13">B36+E36+H36+K36+Q36+T36+W36+Z36+AF36+AI36</f>
        <v>17.463999999999999</v>
      </c>
      <c r="AM36" s="605">
        <f t="shared" si="13"/>
        <v>51</v>
      </c>
      <c r="AN36" s="606">
        <f t="shared" si="3"/>
        <v>192</v>
      </c>
      <c r="AO36" s="564">
        <f t="shared" ref="AO36:AP46" si="14">+B36+E36+H36+K36+N36+Q36+T36+W36+Z36+AC36+AF36+AI36</f>
        <v>17.463999999999999</v>
      </c>
      <c r="AP36" s="564">
        <f t="shared" si="14"/>
        <v>51</v>
      </c>
      <c r="AQ36" s="606">
        <f t="shared" si="4"/>
        <v>192</v>
      </c>
      <c r="AR36" s="589"/>
      <c r="AS36" s="589"/>
      <c r="AT36" s="584"/>
      <c r="AU36" s="584"/>
    </row>
    <row r="37" spans="1:47" s="607" customFormat="1" ht="18.75" customHeight="1" x14ac:dyDescent="0.3">
      <c r="A37" s="556" t="s">
        <v>374</v>
      </c>
      <c r="B37" s="800"/>
      <c r="C37" s="799"/>
      <c r="D37" s="605"/>
      <c r="E37" s="800"/>
      <c r="F37" s="799"/>
      <c r="G37" s="606"/>
      <c r="H37" s="901"/>
      <c r="I37" s="564"/>
      <c r="J37" s="606"/>
      <c r="K37" s="800"/>
      <c r="L37" s="799"/>
      <c r="M37" s="605"/>
      <c r="N37" s="800"/>
      <c r="O37" s="799"/>
      <c r="P37" s="606"/>
      <c r="Q37" s="800"/>
      <c r="R37" s="564"/>
      <c r="S37" s="606"/>
      <c r="T37" s="800"/>
      <c r="U37" s="799"/>
      <c r="V37" s="606"/>
      <c r="W37" s="800"/>
      <c r="X37" s="799"/>
      <c r="Y37" s="606"/>
      <c r="Z37" s="800"/>
      <c r="AA37" s="799"/>
      <c r="AB37" s="606"/>
      <c r="AC37" s="800"/>
      <c r="AD37" s="799"/>
      <c r="AE37" s="606"/>
      <c r="AF37" s="800"/>
      <c r="AG37" s="799"/>
      <c r="AH37" s="606"/>
      <c r="AI37" s="800"/>
      <c r="AJ37" s="799"/>
      <c r="AK37" s="606"/>
      <c r="AL37" s="605">
        <f t="shared" si="13"/>
        <v>0</v>
      </c>
      <c r="AM37" s="605">
        <f t="shared" si="13"/>
        <v>0</v>
      </c>
      <c r="AN37" s="606" t="str">
        <f t="shared" si="3"/>
        <v xml:space="preserve">    ---- </v>
      </c>
      <c r="AO37" s="564">
        <f t="shared" si="14"/>
        <v>0</v>
      </c>
      <c r="AP37" s="564">
        <f t="shared" si="14"/>
        <v>0</v>
      </c>
      <c r="AQ37" s="606" t="str">
        <f t="shared" si="4"/>
        <v xml:space="preserve">    ---- </v>
      </c>
      <c r="AR37" s="589"/>
      <c r="AS37" s="589"/>
      <c r="AT37" s="584"/>
      <c r="AU37" s="584"/>
    </row>
    <row r="38" spans="1:47" s="607" customFormat="1" ht="18.75" customHeight="1" x14ac:dyDescent="0.3">
      <c r="A38" s="556" t="s">
        <v>375</v>
      </c>
      <c r="B38" s="800"/>
      <c r="C38" s="799"/>
      <c r="D38" s="605"/>
      <c r="E38" s="800"/>
      <c r="F38" s="799"/>
      <c r="G38" s="606"/>
      <c r="H38" s="901"/>
      <c r="I38" s="564"/>
      <c r="J38" s="606"/>
      <c r="K38" s="800"/>
      <c r="L38" s="799"/>
      <c r="M38" s="605"/>
      <c r="N38" s="800"/>
      <c r="O38" s="799"/>
      <c r="P38" s="606"/>
      <c r="Q38" s="800"/>
      <c r="R38" s="564"/>
      <c r="S38" s="606"/>
      <c r="T38" s="800"/>
      <c r="U38" s="799"/>
      <c r="V38" s="606"/>
      <c r="W38" s="800"/>
      <c r="X38" s="799"/>
      <c r="Y38" s="606"/>
      <c r="Z38" s="800"/>
      <c r="AA38" s="799"/>
      <c r="AB38" s="606"/>
      <c r="AC38" s="800"/>
      <c r="AD38" s="799"/>
      <c r="AE38" s="606"/>
      <c r="AF38" s="800">
        <v>-7.1849999999999996</v>
      </c>
      <c r="AG38" s="799">
        <v>-2</v>
      </c>
      <c r="AH38" s="606">
        <f>IF(AF38=0, "    ---- ", IF(ABS(ROUND(100/AF38*AG38-100,1))&lt;999,ROUND(100/AF38*AG38-100,1),IF(ROUND(100/AF38*AG38-100,1)&gt;999,999,-999)))</f>
        <v>-72.2</v>
      </c>
      <c r="AI38" s="800"/>
      <c r="AJ38" s="799">
        <v>2</v>
      </c>
      <c r="AK38" s="606" t="str">
        <f t="shared" si="12"/>
        <v xml:space="preserve">    ---- </v>
      </c>
      <c r="AL38" s="605">
        <f t="shared" si="13"/>
        <v>-7.1849999999999996</v>
      </c>
      <c r="AM38" s="605">
        <f t="shared" si="13"/>
        <v>0</v>
      </c>
      <c r="AN38" s="606">
        <f t="shared" si="3"/>
        <v>-100</v>
      </c>
      <c r="AO38" s="564">
        <f t="shared" si="14"/>
        <v>-7.1849999999999996</v>
      </c>
      <c r="AP38" s="564">
        <f t="shared" si="14"/>
        <v>0</v>
      </c>
      <c r="AQ38" s="606">
        <f t="shared" si="4"/>
        <v>-100</v>
      </c>
      <c r="AR38" s="589"/>
      <c r="AS38" s="589"/>
      <c r="AT38" s="584"/>
      <c r="AU38" s="584"/>
    </row>
    <row r="39" spans="1:47" s="607" customFormat="1" ht="18.75" customHeight="1" x14ac:dyDescent="0.3">
      <c r="A39" s="556" t="s">
        <v>376</v>
      </c>
      <c r="B39" s="800"/>
      <c r="C39" s="799"/>
      <c r="D39" s="605"/>
      <c r="E39" s="800"/>
      <c r="F39" s="799"/>
      <c r="G39" s="606"/>
      <c r="H39" s="901"/>
      <c r="I39" s="564"/>
      <c r="J39" s="606"/>
      <c r="K39" s="800"/>
      <c r="L39" s="799"/>
      <c r="M39" s="605"/>
      <c r="N39" s="800"/>
      <c r="O39" s="799"/>
      <c r="P39" s="606"/>
      <c r="Q39" s="800"/>
      <c r="R39" s="564"/>
      <c r="S39" s="606"/>
      <c r="T39" s="800"/>
      <c r="U39" s="799"/>
      <c r="V39" s="606"/>
      <c r="W39" s="800"/>
      <c r="X39" s="799"/>
      <c r="Y39" s="606"/>
      <c r="Z39" s="800"/>
      <c r="AA39" s="799"/>
      <c r="AB39" s="606"/>
      <c r="AC39" s="800"/>
      <c r="AD39" s="799"/>
      <c r="AE39" s="606"/>
      <c r="AF39" s="800"/>
      <c r="AG39" s="799"/>
      <c r="AH39" s="606"/>
      <c r="AI39" s="800"/>
      <c r="AJ39" s="799"/>
      <c r="AK39" s="606"/>
      <c r="AL39" s="605">
        <f t="shared" si="13"/>
        <v>0</v>
      </c>
      <c r="AM39" s="605">
        <f t="shared" si="13"/>
        <v>0</v>
      </c>
      <c r="AN39" s="606" t="str">
        <f t="shared" si="3"/>
        <v xml:space="preserve">    ---- </v>
      </c>
      <c r="AO39" s="564">
        <f t="shared" si="14"/>
        <v>0</v>
      </c>
      <c r="AP39" s="564">
        <f t="shared" si="14"/>
        <v>0</v>
      </c>
      <c r="AQ39" s="606" t="str">
        <f t="shared" si="4"/>
        <v xml:space="preserve">    ---- </v>
      </c>
      <c r="AR39" s="589"/>
      <c r="AS39" s="589"/>
      <c r="AT39" s="584"/>
      <c r="AU39" s="584"/>
    </row>
    <row r="40" spans="1:47" s="607" customFormat="1" ht="18.75" customHeight="1" x14ac:dyDescent="0.3">
      <c r="A40" s="556" t="s">
        <v>377</v>
      </c>
      <c r="B40" s="800"/>
      <c r="C40" s="799"/>
      <c r="D40" s="605"/>
      <c r="E40" s="800"/>
      <c r="F40" s="799"/>
      <c r="G40" s="606"/>
      <c r="H40" s="901"/>
      <c r="I40" s="564"/>
      <c r="J40" s="606"/>
      <c r="K40" s="800"/>
      <c r="L40" s="799"/>
      <c r="M40" s="605"/>
      <c r="N40" s="800"/>
      <c r="O40" s="799"/>
      <c r="P40" s="606"/>
      <c r="Q40" s="800"/>
      <c r="R40" s="564"/>
      <c r="S40" s="606"/>
      <c r="T40" s="800"/>
      <c r="U40" s="799"/>
      <c r="V40" s="606"/>
      <c r="W40" s="800"/>
      <c r="X40" s="799"/>
      <c r="Y40" s="606"/>
      <c r="Z40" s="800"/>
      <c r="AA40" s="799"/>
      <c r="AB40" s="606"/>
      <c r="AC40" s="800"/>
      <c r="AD40" s="799"/>
      <c r="AE40" s="606"/>
      <c r="AF40" s="800">
        <v>2.964</v>
      </c>
      <c r="AG40" s="799">
        <v>3</v>
      </c>
      <c r="AH40" s="606">
        <f>IF(AF40=0, "    ---- ", IF(ABS(ROUND(100/AF40*AG40-100,1))&lt;999,ROUND(100/AF40*AG40-100,1),IF(ROUND(100/AF40*AG40-100,1)&gt;999,999,-999)))</f>
        <v>1.2</v>
      </c>
      <c r="AI40" s="800"/>
      <c r="AJ40" s="799"/>
      <c r="AK40" s="606"/>
      <c r="AL40" s="605">
        <f t="shared" si="13"/>
        <v>2.964</v>
      </c>
      <c r="AM40" s="605">
        <f t="shared" si="13"/>
        <v>3</v>
      </c>
      <c r="AN40" s="606">
        <f t="shared" si="3"/>
        <v>1.2</v>
      </c>
      <c r="AO40" s="564">
        <f t="shared" si="14"/>
        <v>2.964</v>
      </c>
      <c r="AP40" s="564">
        <f t="shared" si="14"/>
        <v>3</v>
      </c>
      <c r="AQ40" s="606">
        <f t="shared" si="4"/>
        <v>1.2</v>
      </c>
      <c r="AR40" s="589"/>
      <c r="AS40" s="589"/>
      <c r="AT40" s="584"/>
      <c r="AU40" s="584"/>
    </row>
    <row r="41" spans="1:47" s="607" customFormat="1" ht="18.75" customHeight="1" x14ac:dyDescent="0.3">
      <c r="A41" s="556" t="s">
        <v>378</v>
      </c>
      <c r="B41" s="800"/>
      <c r="C41" s="799"/>
      <c r="D41" s="605"/>
      <c r="E41" s="800"/>
      <c r="F41" s="799"/>
      <c r="G41" s="606"/>
      <c r="H41" s="901"/>
      <c r="I41" s="564"/>
      <c r="J41" s="606"/>
      <c r="K41" s="800"/>
      <c r="L41" s="799"/>
      <c r="M41" s="605"/>
      <c r="N41" s="800"/>
      <c r="O41" s="799"/>
      <c r="P41" s="606"/>
      <c r="Q41" s="800"/>
      <c r="R41" s="564"/>
      <c r="S41" s="606"/>
      <c r="T41" s="800"/>
      <c r="U41" s="799"/>
      <c r="V41" s="606"/>
      <c r="W41" s="800"/>
      <c r="X41" s="799"/>
      <c r="Y41" s="606"/>
      <c r="Z41" s="800"/>
      <c r="AA41" s="799"/>
      <c r="AB41" s="606"/>
      <c r="AC41" s="800"/>
      <c r="AD41" s="799"/>
      <c r="AE41" s="606"/>
      <c r="AF41" s="800">
        <v>-5.0000000000000001E-3</v>
      </c>
      <c r="AG41" s="799">
        <v>-1</v>
      </c>
      <c r="AH41" s="606">
        <f>IF(AF41=0, "    ---- ", IF(ABS(ROUND(100/AF41*AG41-100,1))&lt;999,ROUND(100/AF41*AG41-100,1),IF(ROUND(100/AF41*AG41-100,1)&gt;999,999,-999)))</f>
        <v>999</v>
      </c>
      <c r="AI41" s="800"/>
      <c r="AJ41" s="799"/>
      <c r="AK41" s="606"/>
      <c r="AL41" s="605">
        <f t="shared" si="13"/>
        <v>-5.0000000000000001E-3</v>
      </c>
      <c r="AM41" s="605">
        <f t="shared" si="13"/>
        <v>-1</v>
      </c>
      <c r="AN41" s="606">
        <f t="shared" si="3"/>
        <v>999</v>
      </c>
      <c r="AO41" s="564">
        <f t="shared" si="14"/>
        <v>-5.0000000000000001E-3</v>
      </c>
      <c r="AP41" s="564">
        <f t="shared" si="14"/>
        <v>-1</v>
      </c>
      <c r="AQ41" s="606">
        <f t="shared" si="4"/>
        <v>999</v>
      </c>
      <c r="AR41" s="589"/>
      <c r="AS41" s="589"/>
      <c r="AT41" s="584"/>
      <c r="AU41" s="584"/>
    </row>
    <row r="42" spans="1:47" s="607" customFormat="1" ht="18.75" customHeight="1" x14ac:dyDescent="0.3">
      <c r="A42" s="556" t="s">
        <v>379</v>
      </c>
      <c r="B42" s="800"/>
      <c r="C42" s="799"/>
      <c r="D42" s="605"/>
      <c r="E42" s="800"/>
      <c r="F42" s="799"/>
      <c r="G42" s="606"/>
      <c r="H42" s="901"/>
      <c r="I42" s="564"/>
      <c r="J42" s="606"/>
      <c r="K42" s="800"/>
      <c r="L42" s="799"/>
      <c r="M42" s="605"/>
      <c r="N42" s="800"/>
      <c r="O42" s="799"/>
      <c r="P42" s="606"/>
      <c r="Q42" s="800"/>
      <c r="R42" s="564"/>
      <c r="S42" s="606"/>
      <c r="T42" s="800"/>
      <c r="U42" s="799"/>
      <c r="V42" s="606"/>
      <c r="W42" s="800"/>
      <c r="X42" s="799"/>
      <c r="Y42" s="606"/>
      <c r="Z42" s="800"/>
      <c r="AA42" s="799"/>
      <c r="AB42" s="606"/>
      <c r="AC42" s="800"/>
      <c r="AD42" s="799"/>
      <c r="AE42" s="606"/>
      <c r="AF42" s="800"/>
      <c r="AG42" s="799"/>
      <c r="AH42" s="606"/>
      <c r="AI42" s="800"/>
      <c r="AJ42" s="799"/>
      <c r="AK42" s="606"/>
      <c r="AL42" s="605">
        <f t="shared" si="13"/>
        <v>0</v>
      </c>
      <c r="AM42" s="605">
        <f t="shared" si="13"/>
        <v>0</v>
      </c>
      <c r="AN42" s="606" t="str">
        <f t="shared" si="3"/>
        <v xml:space="preserve">    ---- </v>
      </c>
      <c r="AO42" s="564">
        <f t="shared" si="14"/>
        <v>0</v>
      </c>
      <c r="AP42" s="564">
        <f t="shared" si="14"/>
        <v>0</v>
      </c>
      <c r="AQ42" s="606" t="str">
        <f t="shared" si="4"/>
        <v xml:space="preserve">    ---- </v>
      </c>
      <c r="AR42" s="589"/>
      <c r="AS42" s="589"/>
      <c r="AT42" s="584"/>
      <c r="AU42" s="584"/>
    </row>
    <row r="43" spans="1:47" s="607" customFormat="1" ht="18.75" customHeight="1" x14ac:dyDescent="0.3">
      <c r="A43" s="556" t="s">
        <v>380</v>
      </c>
      <c r="B43" s="800"/>
      <c r="C43" s="809"/>
      <c r="D43" s="605"/>
      <c r="E43" s="808"/>
      <c r="F43" s="809"/>
      <c r="G43" s="606"/>
      <c r="H43" s="907"/>
      <c r="I43" s="605"/>
      <c r="J43" s="606"/>
      <c r="K43" s="808"/>
      <c r="L43" s="809"/>
      <c r="M43" s="605"/>
      <c r="N43" s="808"/>
      <c r="O43" s="809"/>
      <c r="P43" s="606"/>
      <c r="Q43" s="808"/>
      <c r="R43" s="605"/>
      <c r="S43" s="606"/>
      <c r="T43" s="808"/>
      <c r="U43" s="809"/>
      <c r="V43" s="606"/>
      <c r="W43" s="808"/>
      <c r="X43" s="809"/>
      <c r="Y43" s="606"/>
      <c r="Z43" s="808"/>
      <c r="AA43" s="809"/>
      <c r="AB43" s="606"/>
      <c r="AC43" s="808"/>
      <c r="AD43" s="809"/>
      <c r="AE43" s="606"/>
      <c r="AF43" s="808"/>
      <c r="AG43" s="809"/>
      <c r="AH43" s="606"/>
      <c r="AI43" s="808"/>
      <c r="AJ43" s="809"/>
      <c r="AK43" s="606"/>
      <c r="AL43" s="605">
        <f t="shared" si="13"/>
        <v>0</v>
      </c>
      <c r="AM43" s="605">
        <f t="shared" si="13"/>
        <v>0</v>
      </c>
      <c r="AN43" s="606" t="str">
        <f t="shared" si="3"/>
        <v xml:space="preserve">    ---- </v>
      </c>
      <c r="AO43" s="564">
        <f t="shared" si="14"/>
        <v>0</v>
      </c>
      <c r="AP43" s="564">
        <f t="shared" si="14"/>
        <v>0</v>
      </c>
      <c r="AQ43" s="606" t="str">
        <f t="shared" si="4"/>
        <v xml:space="preserve">    ---- </v>
      </c>
      <c r="AR43" s="589"/>
      <c r="AS43" s="589"/>
      <c r="AT43" s="584"/>
      <c r="AU43" s="584"/>
    </row>
    <row r="44" spans="1:47" s="610" customFormat="1" ht="18.75" customHeight="1" x14ac:dyDescent="0.3">
      <c r="A44" s="550" t="s">
        <v>381</v>
      </c>
      <c r="B44" s="801"/>
      <c r="C44" s="811"/>
      <c r="D44" s="603"/>
      <c r="E44" s="810"/>
      <c r="F44" s="811"/>
      <c r="G44" s="604"/>
      <c r="H44" s="908"/>
      <c r="I44" s="603"/>
      <c r="J44" s="604"/>
      <c r="K44" s="810"/>
      <c r="L44" s="811"/>
      <c r="M44" s="603"/>
      <c r="N44" s="810"/>
      <c r="O44" s="811"/>
      <c r="P44" s="604"/>
      <c r="Q44" s="810"/>
      <c r="R44" s="603"/>
      <c r="S44" s="604"/>
      <c r="T44" s="810"/>
      <c r="U44" s="811"/>
      <c r="V44" s="604"/>
      <c r="W44" s="810"/>
      <c r="X44" s="811"/>
      <c r="Y44" s="606"/>
      <c r="Z44" s="810"/>
      <c r="AA44" s="811"/>
      <c r="AB44" s="604"/>
      <c r="AC44" s="810"/>
      <c r="AD44" s="811"/>
      <c r="AE44" s="604"/>
      <c r="AF44" s="810">
        <v>13.238</v>
      </c>
      <c r="AG44" s="811">
        <f>SUM(AG36:AG41)+AG43</f>
        <v>51</v>
      </c>
      <c r="AH44" s="604">
        <f>IF(AF44=0, "    ---- ", IF(ABS(ROUND(100/AF44*AG44-100,1))&lt;999,ROUND(100/AF44*AG44-100,1),IF(ROUND(100/AF44*AG44-100,1)&gt;999,999,-999)))</f>
        <v>285.3</v>
      </c>
      <c r="AI44" s="810">
        <v>0</v>
      </c>
      <c r="AJ44" s="811">
        <f>SUM(AJ36:AJ41)+AJ43</f>
        <v>2</v>
      </c>
      <c r="AK44" s="606" t="str">
        <f t="shared" ref="AK44" si="15">IF(AI44=0, "    ---- ", IF(ABS(ROUND(100/AI44*AJ44-100,1))&lt;999,ROUND(100/AI44*AJ44-100,1),IF(ROUND(100/AI44*AJ44-100,1)&gt;999,999,-999)))</f>
        <v xml:space="preserve">    ---- </v>
      </c>
      <c r="AL44" s="603">
        <f>B44+E44+H44+K44+Q44+T44+W44+Z44+AF44+AI44</f>
        <v>13.238</v>
      </c>
      <c r="AM44" s="603">
        <f>C44+F44+I44+L44+R44+U44+X44+AA44+AG44+AJ44</f>
        <v>53</v>
      </c>
      <c r="AN44" s="604">
        <f>IF(AL44=0, "    ---- ", IF(ABS(ROUND(100/AL44*AM44-100,1))&lt;999,ROUND(100/AL44*AM44-100,1),IF(ROUND(100/AL44*AM44-100,1)&gt;999,999,-999)))</f>
        <v>300.39999999999998</v>
      </c>
      <c r="AO44" s="566">
        <f t="shared" si="14"/>
        <v>13.238</v>
      </c>
      <c r="AP44" s="566">
        <f t="shared" si="14"/>
        <v>53</v>
      </c>
      <c r="AQ44" s="604">
        <f>IF(AO44=0, "    ---- ", IF(ABS(ROUND(100/AO44*AP44-100,1))&lt;999,ROUND(100/AO44*AP44-100,1),IF(ROUND(100/AO44*AP44-100,1)&gt;999,999,-999)))</f>
        <v>300.39999999999998</v>
      </c>
      <c r="AR44" s="608"/>
      <c r="AS44" s="587"/>
      <c r="AT44" s="609"/>
      <c r="AU44" s="609"/>
    </row>
    <row r="45" spans="1:47" s="607" customFormat="1" ht="18.75" customHeight="1" x14ac:dyDescent="0.3">
      <c r="A45" s="556" t="s">
        <v>382</v>
      </c>
      <c r="B45" s="800"/>
      <c r="C45" s="809"/>
      <c r="D45" s="605"/>
      <c r="E45" s="808"/>
      <c r="F45" s="809"/>
      <c r="G45" s="606"/>
      <c r="H45" s="907"/>
      <c r="I45" s="605"/>
      <c r="J45" s="606"/>
      <c r="K45" s="808"/>
      <c r="L45" s="809"/>
      <c r="M45" s="605"/>
      <c r="N45" s="808"/>
      <c r="O45" s="809"/>
      <c r="P45" s="606"/>
      <c r="Q45" s="808"/>
      <c r="R45" s="605"/>
      <c r="S45" s="606"/>
      <c r="T45" s="808"/>
      <c r="U45" s="809"/>
      <c r="V45" s="606"/>
      <c r="W45" s="808"/>
      <c r="X45" s="809"/>
      <c r="Y45" s="606"/>
      <c r="Z45" s="808"/>
      <c r="AA45" s="809"/>
      <c r="AB45" s="606"/>
      <c r="AC45" s="808"/>
      <c r="AD45" s="809"/>
      <c r="AE45" s="606"/>
      <c r="AF45" s="808">
        <v>17.463999999999999</v>
      </c>
      <c r="AG45" s="809">
        <v>50</v>
      </c>
      <c r="AH45" s="606">
        <f>IF(AF45=0, "    ---- ", IF(ABS(ROUND(100/AF45*AG45-100,1))&lt;999,ROUND(100/AF45*AG45-100,1),IF(ROUND(100/AF45*AG45-100,1)&gt;999,999,-999)))</f>
        <v>186.3</v>
      </c>
      <c r="AI45" s="808"/>
      <c r="AJ45" s="809"/>
      <c r="AK45" s="606"/>
      <c r="AL45" s="605">
        <f t="shared" ref="AL45:AM46" si="16">B45+E45+H45+K45+Q45+T45+W45+Z45+AF45+AI45</f>
        <v>17.463999999999999</v>
      </c>
      <c r="AM45" s="605">
        <f t="shared" si="16"/>
        <v>50</v>
      </c>
      <c r="AN45" s="606">
        <f t="shared" ref="AN45:AN144" si="17">IF(AL45=0, "    ---- ", IF(ABS(ROUND(100/AL45*AM45-100,1))&lt;999,ROUND(100/AL45*AM45-100,1),IF(ROUND(100/AL45*AM45-100,1)&gt;999,999,-999)))</f>
        <v>186.3</v>
      </c>
      <c r="AO45" s="564">
        <f t="shared" si="14"/>
        <v>17.463999999999999</v>
      </c>
      <c r="AP45" s="564">
        <f t="shared" si="14"/>
        <v>50</v>
      </c>
      <c r="AQ45" s="606">
        <f t="shared" ref="AQ45:AQ144" si="18">IF(AO45=0, "    ---- ", IF(ABS(ROUND(100/AO45*AP45-100,1))&lt;999,ROUND(100/AO45*AP45-100,1),IF(ROUND(100/AO45*AP45-100,1)&gt;999,999,-999)))</f>
        <v>186.3</v>
      </c>
      <c r="AR45" s="589"/>
      <c r="AS45" s="589"/>
      <c r="AT45" s="584"/>
      <c r="AU45" s="584"/>
    </row>
    <row r="46" spans="1:47" s="607" customFormat="1" ht="18.75" customHeight="1" x14ac:dyDescent="0.3">
      <c r="A46" s="556" t="s">
        <v>383</v>
      </c>
      <c r="B46" s="800"/>
      <c r="C46" s="809"/>
      <c r="D46" s="605"/>
      <c r="E46" s="808"/>
      <c r="F46" s="809"/>
      <c r="G46" s="606"/>
      <c r="H46" s="907"/>
      <c r="I46" s="605"/>
      <c r="J46" s="606"/>
      <c r="K46" s="808"/>
      <c r="L46" s="809"/>
      <c r="M46" s="605"/>
      <c r="N46" s="808"/>
      <c r="O46" s="809"/>
      <c r="P46" s="606"/>
      <c r="Q46" s="808"/>
      <c r="R46" s="605"/>
      <c r="S46" s="606"/>
      <c r="T46" s="808"/>
      <c r="U46" s="809"/>
      <c r="V46" s="606"/>
      <c r="W46" s="808"/>
      <c r="X46" s="809"/>
      <c r="Y46" s="606"/>
      <c r="Z46" s="808"/>
      <c r="AA46" s="809"/>
      <c r="AB46" s="606"/>
      <c r="AC46" s="808"/>
      <c r="AD46" s="809"/>
      <c r="AE46" s="606"/>
      <c r="AF46" s="808">
        <v>-4.3280000000000003</v>
      </c>
      <c r="AG46" s="809">
        <v>1</v>
      </c>
      <c r="AH46" s="606">
        <f>IF(AF46=0, "    ---- ", IF(ABS(ROUND(100/AF46*AG46-100,1))&lt;999,ROUND(100/AF46*AG46-100,1),IF(ROUND(100/AF46*AG46-100,1)&gt;999,999,-999)))</f>
        <v>-123.1</v>
      </c>
      <c r="AI46" s="808"/>
      <c r="AJ46" s="809">
        <v>2</v>
      </c>
      <c r="AK46" s="606" t="str">
        <f t="shared" ref="AK46" si="19">IF(AI46=0, "    ---- ", IF(ABS(ROUND(100/AI46*AJ46-100,1))&lt;999,ROUND(100/AI46*AJ46-100,1),IF(ROUND(100/AI46*AJ46-100,1)&gt;999,999,-999)))</f>
        <v xml:space="preserve">    ---- </v>
      </c>
      <c r="AL46" s="605">
        <f t="shared" si="16"/>
        <v>-4.3280000000000003</v>
      </c>
      <c r="AM46" s="605">
        <f t="shared" si="16"/>
        <v>3</v>
      </c>
      <c r="AN46" s="606">
        <f t="shared" si="17"/>
        <v>-169.3</v>
      </c>
      <c r="AO46" s="564">
        <f t="shared" si="14"/>
        <v>-4.3280000000000003</v>
      </c>
      <c r="AP46" s="564">
        <f t="shared" si="14"/>
        <v>3</v>
      </c>
      <c r="AQ46" s="606">
        <f t="shared" si="18"/>
        <v>-169.3</v>
      </c>
      <c r="AR46" s="589"/>
      <c r="AS46" s="589"/>
      <c r="AT46" s="584"/>
      <c r="AU46" s="584"/>
    </row>
    <row r="47" spans="1:47" s="607" customFormat="1" ht="18.75" customHeight="1" x14ac:dyDescent="0.3">
      <c r="A47" s="550" t="s">
        <v>396</v>
      </c>
      <c r="B47" s="801"/>
      <c r="C47" s="809"/>
      <c r="D47" s="605"/>
      <c r="E47" s="808"/>
      <c r="F47" s="809"/>
      <c r="G47" s="606"/>
      <c r="H47" s="907"/>
      <c r="I47" s="605"/>
      <c r="J47" s="606"/>
      <c r="K47" s="808"/>
      <c r="L47" s="809"/>
      <c r="M47" s="605"/>
      <c r="N47" s="808"/>
      <c r="O47" s="809"/>
      <c r="P47" s="606"/>
      <c r="Q47" s="808"/>
      <c r="R47" s="605"/>
      <c r="S47" s="606"/>
      <c r="T47" s="808"/>
      <c r="U47" s="809"/>
      <c r="V47" s="606"/>
      <c r="W47" s="808"/>
      <c r="X47" s="809"/>
      <c r="Y47" s="606"/>
      <c r="Z47" s="808"/>
      <c r="AA47" s="809"/>
      <c r="AB47" s="606"/>
      <c r="AC47" s="808"/>
      <c r="AD47" s="809"/>
      <c r="AE47" s="606"/>
      <c r="AF47" s="808"/>
      <c r="AG47" s="809"/>
      <c r="AH47" s="606"/>
      <c r="AI47" s="808"/>
      <c r="AJ47" s="809"/>
      <c r="AK47" s="606"/>
      <c r="AL47" s="605"/>
      <c r="AM47" s="605"/>
      <c r="AN47" s="606"/>
      <c r="AO47" s="564"/>
      <c r="AP47" s="564"/>
      <c r="AQ47" s="606"/>
      <c r="AR47" s="589"/>
      <c r="AS47" s="589"/>
      <c r="AT47" s="584"/>
      <c r="AU47" s="584"/>
    </row>
    <row r="48" spans="1:47" s="607" customFormat="1" ht="18.75" customHeight="1" x14ac:dyDescent="0.3">
      <c r="A48" s="556" t="s">
        <v>373</v>
      </c>
      <c r="B48" s="800"/>
      <c r="C48" s="809"/>
      <c r="D48" s="605"/>
      <c r="E48" s="808">
        <v>-3170</v>
      </c>
      <c r="F48" s="809">
        <v>12735.245999999999</v>
      </c>
      <c r="G48" s="606">
        <f>IF(E48=0, "    ---- ", IF(ABS(ROUND(100/E48*F48-100,1))&lt;999,ROUND(100/E48*F48-100,1),IF(ROUND(100/E48*F48-100,1)&gt;999,999,-999)))</f>
        <v>-501.7</v>
      </c>
      <c r="H48" s="907">
        <v>1.1399999999999999</v>
      </c>
      <c r="I48" s="605">
        <v>11.616</v>
      </c>
      <c r="J48" s="606">
        <f>IF(H48=0, "    ---- ", IF(ABS(ROUND(100/H48*I48-100,1))&lt;999,ROUND(100/H48*I48-100,1),IF(ROUND(100/H48*I48-100,1)&gt;999,999,-999)))</f>
        <v>918.9</v>
      </c>
      <c r="K48" s="808">
        <v>12.8</v>
      </c>
      <c r="L48" s="809">
        <v>14.5</v>
      </c>
      <c r="M48" s="605">
        <f>IF(K48=0, "    ---- ", IF(ABS(ROUND(100/K48*L48-100,1))&lt;999,ROUND(100/K48*L48-100,1),IF(ROUND(100/K48*L48-100,1)&gt;999,999,-999)))</f>
        <v>13.3</v>
      </c>
      <c r="N48" s="808"/>
      <c r="O48" s="809"/>
      <c r="P48" s="606"/>
      <c r="Q48" s="808"/>
      <c r="R48" s="605"/>
      <c r="S48" s="606"/>
      <c r="T48" s="808"/>
      <c r="U48" s="809"/>
      <c r="V48" s="606"/>
      <c r="W48" s="808"/>
      <c r="X48" s="809"/>
      <c r="Y48" s="606"/>
      <c r="Z48" s="808"/>
      <c r="AA48" s="809"/>
      <c r="AB48" s="606"/>
      <c r="AC48" s="808"/>
      <c r="AD48" s="809"/>
      <c r="AE48" s="606"/>
      <c r="AF48" s="808">
        <v>1.145</v>
      </c>
      <c r="AG48" s="809">
        <v>22</v>
      </c>
      <c r="AH48" s="606">
        <f>IF(AF48=0, "    ---- ", IF(ABS(ROUND(100/AF48*AG48-100,1))&lt;999,ROUND(100/AF48*AG48-100,1),IF(ROUND(100/AF48*AG48-100,1)&gt;999,999,-999)))</f>
        <v>999</v>
      </c>
      <c r="AI48" s="808">
        <v>-1.1300000000000001</v>
      </c>
      <c r="AJ48" s="809">
        <v>-2</v>
      </c>
      <c r="AK48" s="606">
        <f>IF(AI48=0, "    ---- ", IF(ABS(ROUND(100/AI48*AJ48-100,1))&lt;999,ROUND(100/AI48*AJ48-100,1),IF(ROUND(100/AI48*AJ48-100,1)&gt;999,999,-999)))</f>
        <v>77</v>
      </c>
      <c r="AL48" s="605">
        <f t="shared" ref="AL48:AM55" si="20">B48+E48+H48+K48+Q48+T48+W48+Z48+AF48+AI48</f>
        <v>-3156.0450000000001</v>
      </c>
      <c r="AM48" s="605">
        <f t="shared" si="20"/>
        <v>12781.361999999999</v>
      </c>
      <c r="AN48" s="606">
        <f t="shared" si="17"/>
        <v>-505</v>
      </c>
      <c r="AO48" s="564">
        <f t="shared" ref="AO48:AP70" si="21">+B48+E48+H48+K48+N48+Q48+T48+W48+Z48+AC48+AF48+AI48</f>
        <v>-3156.0450000000001</v>
      </c>
      <c r="AP48" s="564">
        <f t="shared" si="21"/>
        <v>12781.361999999999</v>
      </c>
      <c r="AQ48" s="606">
        <f t="shared" si="18"/>
        <v>-505</v>
      </c>
      <c r="AR48" s="589"/>
      <c r="AS48" s="589"/>
      <c r="AT48" s="584"/>
      <c r="AU48" s="584"/>
    </row>
    <row r="49" spans="1:47" s="607" customFormat="1" ht="18.75" customHeight="1" x14ac:dyDescent="0.3">
      <c r="A49" s="556" t="s">
        <v>374</v>
      </c>
      <c r="B49" s="800"/>
      <c r="C49" s="809"/>
      <c r="D49" s="605"/>
      <c r="E49" s="808"/>
      <c r="F49" s="809"/>
      <c r="G49" s="606"/>
      <c r="H49" s="907"/>
      <c r="I49" s="605"/>
      <c r="J49" s="606"/>
      <c r="K49" s="808"/>
      <c r="L49" s="809"/>
      <c r="M49" s="605"/>
      <c r="N49" s="808"/>
      <c r="O49" s="809"/>
      <c r="P49" s="606"/>
      <c r="Q49" s="808"/>
      <c r="R49" s="605"/>
      <c r="S49" s="606"/>
      <c r="T49" s="808"/>
      <c r="U49" s="809"/>
      <c r="V49" s="606"/>
      <c r="W49" s="808"/>
      <c r="X49" s="809"/>
      <c r="Y49" s="606"/>
      <c r="Z49" s="808"/>
      <c r="AA49" s="809"/>
      <c r="AB49" s="606"/>
      <c r="AC49" s="808"/>
      <c r="AD49" s="809"/>
      <c r="AE49" s="606"/>
      <c r="AF49" s="808"/>
      <c r="AG49" s="809"/>
      <c r="AH49" s="606"/>
      <c r="AI49" s="808"/>
      <c r="AJ49" s="809"/>
      <c r="AK49" s="606"/>
      <c r="AL49" s="605">
        <f t="shared" si="20"/>
        <v>0</v>
      </c>
      <c r="AM49" s="605">
        <f t="shared" si="20"/>
        <v>0</v>
      </c>
      <c r="AN49" s="606" t="str">
        <f t="shared" si="17"/>
        <v xml:space="preserve">    ---- </v>
      </c>
      <c r="AO49" s="564">
        <f t="shared" si="21"/>
        <v>0</v>
      </c>
      <c r="AP49" s="564">
        <f t="shared" si="21"/>
        <v>0</v>
      </c>
      <c r="AQ49" s="606" t="str">
        <f t="shared" si="18"/>
        <v xml:space="preserve">    ---- </v>
      </c>
      <c r="AR49" s="589"/>
      <c r="AS49" s="589"/>
      <c r="AT49" s="584"/>
      <c r="AU49" s="584"/>
    </row>
    <row r="50" spans="1:47" s="607" customFormat="1" ht="18.75" customHeight="1" x14ac:dyDescent="0.3">
      <c r="A50" s="556" t="s">
        <v>375</v>
      </c>
      <c r="B50" s="800">
        <v>6.3559999999999999</v>
      </c>
      <c r="C50" s="809">
        <f>20.464+0.423-8.16</f>
        <v>12.726999999999997</v>
      </c>
      <c r="D50" s="605">
        <f>IF(B50=0, "    ---- ", IF(ABS(ROUND(100/B50*C50-100,1))&lt;999,ROUND(100/B50*C50-100,1),IF(ROUND(100/B50*C50-100,1)&gt;999,999,-999)))</f>
        <v>100.2</v>
      </c>
      <c r="E50" s="808">
        <v>256</v>
      </c>
      <c r="F50" s="809">
        <v>329.66399999999999</v>
      </c>
      <c r="G50" s="606">
        <f>IF(E50=0, "    ---- ", IF(ABS(ROUND(100/E50*F50-100,1))&lt;999,ROUND(100/E50*F50-100,1),IF(ROUND(100/E50*F50-100,1)&gt;999,999,-999)))</f>
        <v>28.8</v>
      </c>
      <c r="H50" s="907">
        <v>-45.6</v>
      </c>
      <c r="I50" s="605">
        <v>-13.301</v>
      </c>
      <c r="J50" s="606">
        <f>IF(H50=0, "    ---- ", IF(ABS(ROUND(100/H50*I50-100,1))&lt;999,ROUND(100/H50*I50-100,1),IF(ROUND(100/H50*I50-100,1)&gt;999,999,-999)))</f>
        <v>-70.8</v>
      </c>
      <c r="K50" s="808">
        <v>83.7</v>
      </c>
      <c r="L50" s="809">
        <v>89.9</v>
      </c>
      <c r="M50" s="605">
        <f>IF(K50=0, "    ---- ", IF(ABS(ROUND(100/K50*L50-100,1))&lt;999,ROUND(100/K50*L50-100,1),IF(ROUND(100/K50*L50-100,1)&gt;999,999,-999)))</f>
        <v>7.4</v>
      </c>
      <c r="N50" s="808"/>
      <c r="O50" s="809"/>
      <c r="P50" s="606"/>
      <c r="Q50" s="808"/>
      <c r="R50" s="605"/>
      <c r="S50" s="606"/>
      <c r="T50" s="808">
        <v>-33</v>
      </c>
      <c r="U50" s="809">
        <v>-32</v>
      </c>
      <c r="V50" s="606">
        <f>IF(T50=0, "    ---- ", IF(ABS(ROUND(100/T50*U50-100,1))&lt;999,ROUND(100/T50*U50-100,1),IF(ROUND(100/T50*U50-100,1)&gt;999,999,-999)))</f>
        <v>-3</v>
      </c>
      <c r="W50" s="808">
        <v>184.18767463801171</v>
      </c>
      <c r="X50" s="809">
        <v>195.47682170496452</v>
      </c>
      <c r="Y50" s="606">
        <f>IF(W50=0, "    ---- ", IF(ABS(ROUND(100/W50*X50-100,1))&lt;999,ROUND(100/W50*X50-100,1),IF(ROUND(100/W50*X50-100,1)&gt;999,999,-999)))</f>
        <v>6.1</v>
      </c>
      <c r="Z50" s="808"/>
      <c r="AA50" s="809"/>
      <c r="AB50" s="606"/>
      <c r="AC50" s="808">
        <v>1.3992193794557</v>
      </c>
      <c r="AD50" s="809">
        <v>-0.57018520376037096</v>
      </c>
      <c r="AE50" s="606">
        <f>IF(AC50=0, "    ---- ", IF(ABS(ROUND(100/AC50*AD50-100,1))&lt;999,ROUND(100/AC50*AD50-100,1),IF(ROUND(100/AC50*AD50-100,1)&gt;999,999,-999)))</f>
        <v>-140.80000000000001</v>
      </c>
      <c r="AF50" s="808">
        <v>55.106999999999999</v>
      </c>
      <c r="AG50" s="809">
        <v>56</v>
      </c>
      <c r="AH50" s="606">
        <f>IF(AF50=0, "    ---- ", IF(ABS(ROUND(100/AF50*AG50-100,1))&lt;999,ROUND(100/AF50*AG50-100,1),IF(ROUND(100/AF50*AG50-100,1)&gt;999,999,-999)))</f>
        <v>1.6</v>
      </c>
      <c r="AI50" s="808">
        <v>241.51999999999998</v>
      </c>
      <c r="AJ50" s="809">
        <f>28+220</f>
        <v>248</v>
      </c>
      <c r="AK50" s="606">
        <f>IF(AI50=0, "    ---- ", IF(ABS(ROUND(100/AI50*AJ50-100,1))&lt;999,ROUND(100/AI50*AJ50-100,1),IF(ROUND(100/AI50*AJ50-100,1)&gt;999,999,-999)))</f>
        <v>2.7</v>
      </c>
      <c r="AL50" s="605">
        <f t="shared" si="20"/>
        <v>748.27067463801166</v>
      </c>
      <c r="AM50" s="605">
        <f t="shared" si="20"/>
        <v>886.46682170496456</v>
      </c>
      <c r="AN50" s="606">
        <f t="shared" si="17"/>
        <v>18.5</v>
      </c>
      <c r="AO50" s="564">
        <f t="shared" si="21"/>
        <v>749.66989401746741</v>
      </c>
      <c r="AP50" s="564">
        <f t="shared" si="21"/>
        <v>885.89663650120417</v>
      </c>
      <c r="AQ50" s="606">
        <f t="shared" si="18"/>
        <v>18.2</v>
      </c>
      <c r="AR50" s="589"/>
      <c r="AS50" s="589"/>
      <c r="AT50" s="584"/>
      <c r="AU50" s="584"/>
    </row>
    <row r="51" spans="1:47" s="607" customFormat="1" ht="18.75" customHeight="1" x14ac:dyDescent="0.3">
      <c r="A51" s="556" t="s">
        <v>376</v>
      </c>
      <c r="B51" s="800"/>
      <c r="C51" s="809"/>
      <c r="D51" s="605"/>
      <c r="E51" s="808"/>
      <c r="F51" s="809"/>
      <c r="G51" s="606"/>
      <c r="H51" s="907"/>
      <c r="I51" s="605"/>
      <c r="J51" s="606"/>
      <c r="K51" s="808">
        <v>0.8</v>
      </c>
      <c r="L51" s="809">
        <v>1.5</v>
      </c>
      <c r="M51" s="605">
        <f t="shared" ref="M51:M52" si="22">IF(K51=0, "    ---- ", IF(ABS(ROUND(100/K51*L51-100,1))&lt;999,ROUND(100/K51*L51-100,1),IF(ROUND(100/K51*L51-100,1)&gt;999,999,-999)))</f>
        <v>87.5</v>
      </c>
      <c r="N51" s="808"/>
      <c r="O51" s="809"/>
      <c r="P51" s="606"/>
      <c r="Q51" s="808"/>
      <c r="R51" s="605"/>
      <c r="S51" s="606"/>
      <c r="T51" s="808"/>
      <c r="U51" s="809"/>
      <c r="V51" s="606"/>
      <c r="W51" s="808"/>
      <c r="X51" s="809"/>
      <c r="Y51" s="606"/>
      <c r="Z51" s="808"/>
      <c r="AA51" s="809"/>
      <c r="AB51" s="606"/>
      <c r="AC51" s="808"/>
      <c r="AD51" s="809"/>
      <c r="AE51" s="606"/>
      <c r="AF51" s="808"/>
      <c r="AG51" s="809"/>
      <c r="AH51" s="606"/>
      <c r="AI51" s="808"/>
      <c r="AJ51" s="809"/>
      <c r="AK51" s="606"/>
      <c r="AL51" s="605">
        <f t="shared" si="20"/>
        <v>0.8</v>
      </c>
      <c r="AM51" s="605">
        <f t="shared" si="20"/>
        <v>1.5</v>
      </c>
      <c r="AN51" s="606">
        <f t="shared" si="17"/>
        <v>87.5</v>
      </c>
      <c r="AO51" s="564">
        <f t="shared" si="21"/>
        <v>0.8</v>
      </c>
      <c r="AP51" s="564">
        <f t="shared" si="21"/>
        <v>1.5</v>
      </c>
      <c r="AQ51" s="606">
        <f t="shared" si="18"/>
        <v>87.5</v>
      </c>
      <c r="AR51" s="589"/>
      <c r="AS51" s="589"/>
      <c r="AT51" s="584"/>
      <c r="AU51" s="584"/>
    </row>
    <row r="52" spans="1:47" s="607" customFormat="1" ht="18.75" customHeight="1" x14ac:dyDescent="0.3">
      <c r="A52" s="556" t="s">
        <v>377</v>
      </c>
      <c r="B52" s="800"/>
      <c r="C52" s="809"/>
      <c r="D52" s="605"/>
      <c r="E52" s="808"/>
      <c r="F52" s="809"/>
      <c r="G52" s="606"/>
      <c r="H52" s="907"/>
      <c r="I52" s="605"/>
      <c r="J52" s="606"/>
      <c r="K52" s="808">
        <v>2.1</v>
      </c>
      <c r="L52" s="809">
        <v>4.5</v>
      </c>
      <c r="M52" s="605">
        <f t="shared" si="22"/>
        <v>114.3</v>
      </c>
      <c r="N52" s="808"/>
      <c r="O52" s="809"/>
      <c r="P52" s="606"/>
      <c r="Q52" s="808"/>
      <c r="R52" s="605"/>
      <c r="S52" s="606"/>
      <c r="T52" s="808"/>
      <c r="U52" s="809"/>
      <c r="V52" s="606"/>
      <c r="W52" s="808"/>
      <c r="X52" s="809"/>
      <c r="Y52" s="606"/>
      <c r="Z52" s="808"/>
      <c r="AA52" s="809"/>
      <c r="AB52" s="606"/>
      <c r="AC52" s="808"/>
      <c r="AD52" s="809"/>
      <c r="AE52" s="606"/>
      <c r="AF52" s="808"/>
      <c r="AG52" s="809"/>
      <c r="AH52" s="606"/>
      <c r="AI52" s="808"/>
      <c r="AJ52" s="809"/>
      <c r="AK52" s="606"/>
      <c r="AL52" s="605">
        <f t="shared" si="20"/>
        <v>2.1</v>
      </c>
      <c r="AM52" s="605">
        <f t="shared" si="20"/>
        <v>4.5</v>
      </c>
      <c r="AN52" s="606">
        <f t="shared" si="17"/>
        <v>114.3</v>
      </c>
      <c r="AO52" s="564">
        <f t="shared" si="21"/>
        <v>2.1</v>
      </c>
      <c r="AP52" s="564">
        <f t="shared" si="21"/>
        <v>4.5</v>
      </c>
      <c r="AQ52" s="606">
        <f t="shared" si="18"/>
        <v>114.3</v>
      </c>
      <c r="AR52" s="589"/>
      <c r="AS52" s="589"/>
      <c r="AT52" s="584"/>
      <c r="AU52" s="584"/>
    </row>
    <row r="53" spans="1:47" s="607" customFormat="1" ht="18.75" customHeight="1" x14ac:dyDescent="0.3">
      <c r="A53" s="556" t="s">
        <v>378</v>
      </c>
      <c r="B53" s="800"/>
      <c r="C53" s="809"/>
      <c r="D53" s="605"/>
      <c r="E53" s="808">
        <v>-1</v>
      </c>
      <c r="F53" s="809">
        <v>-0.36699999999999999</v>
      </c>
      <c r="G53" s="606">
        <f>IF(E53=0, "    ---- ", IF(ABS(ROUND(100/E53*F53-100,1))&lt;999,ROUND(100/E53*F53-100,1),IF(ROUND(100/E53*F53-100,1)&gt;999,999,-999)))</f>
        <v>-63.3</v>
      </c>
      <c r="H53" s="907">
        <v>13.48</v>
      </c>
      <c r="I53" s="605">
        <v>9.44</v>
      </c>
      <c r="J53" s="606">
        <f>IF(H53=0, "    ---- ", IF(ABS(ROUND(100/H53*I53-100,1))&lt;999,ROUND(100/H53*I53-100,1),IF(ROUND(100/H53*I53-100,1)&gt;999,999,-999)))</f>
        <v>-30</v>
      </c>
      <c r="K53" s="808">
        <v>25.5</v>
      </c>
      <c r="L53" s="809">
        <v>-0.4</v>
      </c>
      <c r="M53" s="605">
        <f>IF(K53=0, "    ---- ", IF(ABS(ROUND(100/K53*L53-100,1))&lt;999,ROUND(100/K53*L53-100,1),IF(ROUND(100/K53*L53-100,1)&gt;999,999,-999)))</f>
        <v>-101.6</v>
      </c>
      <c r="N53" s="808"/>
      <c r="O53" s="809"/>
      <c r="P53" s="606"/>
      <c r="Q53" s="808"/>
      <c r="R53" s="605"/>
      <c r="S53" s="606"/>
      <c r="T53" s="808"/>
      <c r="U53" s="809"/>
      <c r="V53" s="606"/>
      <c r="W53" s="808">
        <v>-2.1057380000000001</v>
      </c>
      <c r="X53" s="809">
        <v>-2.8160477799999999</v>
      </c>
      <c r="Y53" s="606">
        <f>IF(W53=0, "    ---- ", IF(ABS(ROUND(100/W53*X53-100,1))&lt;999,ROUND(100/W53*X53-100,1),IF(ROUND(100/W53*X53-100,1)&gt;999,999,-999)))</f>
        <v>33.700000000000003</v>
      </c>
      <c r="Z53" s="808"/>
      <c r="AA53" s="809"/>
      <c r="AB53" s="606"/>
      <c r="AC53" s="808"/>
      <c r="AD53" s="809"/>
      <c r="AE53" s="606"/>
      <c r="AF53" s="808">
        <v>-40.357999999999997</v>
      </c>
      <c r="AG53" s="809">
        <v>-31</v>
      </c>
      <c r="AH53" s="606">
        <f>IF(AF53=0, "    ---- ", IF(ABS(ROUND(100/AF53*AG53-100,1))&lt;999,ROUND(100/AF53*AG53-100,1),IF(ROUND(100/AF53*AG53-100,1)&gt;999,999,-999)))</f>
        <v>-23.2</v>
      </c>
      <c r="AI53" s="808">
        <v>-24.86</v>
      </c>
      <c r="AJ53" s="809"/>
      <c r="AK53" s="606">
        <f>IF(AI53=0, "    ---- ", IF(ABS(ROUND(100/AI53*AJ53-100,1))&lt;999,ROUND(100/AI53*AJ53-100,1),IF(ROUND(100/AI53*AJ53-100,1)&gt;999,999,-999)))</f>
        <v>-100</v>
      </c>
      <c r="AL53" s="605">
        <f t="shared" si="20"/>
        <v>-29.343737999999995</v>
      </c>
      <c r="AM53" s="605">
        <f t="shared" si="20"/>
        <v>-25.14304778</v>
      </c>
      <c r="AN53" s="606">
        <f t="shared" si="17"/>
        <v>-14.3</v>
      </c>
      <c r="AO53" s="564">
        <f t="shared" si="21"/>
        <v>-29.343737999999995</v>
      </c>
      <c r="AP53" s="564">
        <f t="shared" si="21"/>
        <v>-25.14304778</v>
      </c>
      <c r="AQ53" s="606">
        <f t="shared" si="18"/>
        <v>-14.3</v>
      </c>
      <c r="AR53" s="589"/>
      <c r="AS53" s="589"/>
      <c r="AT53" s="584"/>
      <c r="AU53" s="584"/>
    </row>
    <row r="54" spans="1:47" s="607" customFormat="1" ht="18.75" customHeight="1" x14ac:dyDescent="0.3">
      <c r="A54" s="556" t="s">
        <v>379</v>
      </c>
      <c r="B54" s="800"/>
      <c r="C54" s="809"/>
      <c r="D54" s="605"/>
      <c r="E54" s="808"/>
      <c r="F54" s="809"/>
      <c r="G54" s="606"/>
      <c r="H54" s="907"/>
      <c r="I54" s="605"/>
      <c r="J54" s="606"/>
      <c r="K54" s="808"/>
      <c r="L54" s="809"/>
      <c r="M54" s="605"/>
      <c r="N54" s="808"/>
      <c r="O54" s="809"/>
      <c r="P54" s="606"/>
      <c r="Q54" s="808"/>
      <c r="R54" s="605"/>
      <c r="S54" s="606"/>
      <c r="T54" s="808"/>
      <c r="U54" s="809"/>
      <c r="V54" s="606"/>
      <c r="W54" s="808"/>
      <c r="X54" s="809"/>
      <c r="Y54" s="606"/>
      <c r="Z54" s="808"/>
      <c r="AA54" s="809"/>
      <c r="AB54" s="606"/>
      <c r="AC54" s="808"/>
      <c r="AD54" s="809"/>
      <c r="AE54" s="606"/>
      <c r="AF54" s="808"/>
      <c r="AG54" s="809"/>
      <c r="AH54" s="606"/>
      <c r="AI54" s="808"/>
      <c r="AJ54" s="809"/>
      <c r="AK54" s="606"/>
      <c r="AL54" s="605">
        <f t="shared" si="20"/>
        <v>0</v>
      </c>
      <c r="AM54" s="605">
        <f t="shared" si="20"/>
        <v>0</v>
      </c>
      <c r="AN54" s="606" t="str">
        <f t="shared" si="17"/>
        <v xml:space="preserve">    ---- </v>
      </c>
      <c r="AO54" s="564">
        <f t="shared" si="21"/>
        <v>0</v>
      </c>
      <c r="AP54" s="564">
        <f t="shared" si="21"/>
        <v>0</v>
      </c>
      <c r="AQ54" s="606" t="str">
        <f t="shared" si="18"/>
        <v xml:space="preserve">    ---- </v>
      </c>
      <c r="AR54" s="589"/>
      <c r="AS54" s="589"/>
      <c r="AT54" s="584"/>
      <c r="AU54" s="584"/>
    </row>
    <row r="55" spans="1:47" s="607" customFormat="1" ht="18.75" customHeight="1" x14ac:dyDescent="0.3">
      <c r="A55" s="556" t="s">
        <v>380</v>
      </c>
      <c r="B55" s="800"/>
      <c r="C55" s="809"/>
      <c r="D55" s="605"/>
      <c r="E55" s="808"/>
      <c r="F55" s="809"/>
      <c r="G55" s="606"/>
      <c r="H55" s="907"/>
      <c r="I55" s="605">
        <v>8.0000000000000002E-3</v>
      </c>
      <c r="J55" s="606" t="str">
        <f>IF(H55=0, "    ---- ", IF(ABS(ROUND(100/H55*I55-100,1))&lt;999,ROUND(100/H55*I55-100,1),IF(ROUND(100/H55*I55-100,1)&gt;999,999,-999)))</f>
        <v xml:space="preserve">    ---- </v>
      </c>
      <c r="K55" s="808"/>
      <c r="L55" s="809"/>
      <c r="M55" s="605"/>
      <c r="N55" s="808"/>
      <c r="O55" s="809"/>
      <c r="P55" s="606"/>
      <c r="Q55" s="808"/>
      <c r="R55" s="605"/>
      <c r="S55" s="606"/>
      <c r="T55" s="808"/>
      <c r="U55" s="809"/>
      <c r="V55" s="606"/>
      <c r="W55" s="808">
        <v>0</v>
      </c>
      <c r="X55" s="809">
        <v>-4.8092554999999999</v>
      </c>
      <c r="Y55" s="606" t="str">
        <f>IF(W55=0, "    ---- ", IF(ABS(ROUND(100/W55*X55-100,1))&lt;999,ROUND(100/W55*X55-100,1),IF(ROUND(100/W55*X55-100,1)&gt;999,999,-999)))</f>
        <v xml:space="preserve">    ---- </v>
      </c>
      <c r="Z55" s="808"/>
      <c r="AA55" s="809"/>
      <c r="AB55" s="606"/>
      <c r="AC55" s="808"/>
      <c r="AD55" s="809"/>
      <c r="AE55" s="606"/>
      <c r="AF55" s="808"/>
      <c r="AG55" s="809"/>
      <c r="AH55" s="606"/>
      <c r="AI55" s="808"/>
      <c r="AJ55" s="809"/>
      <c r="AK55" s="606"/>
      <c r="AL55" s="605">
        <f t="shared" si="20"/>
        <v>0</v>
      </c>
      <c r="AM55" s="605">
        <f t="shared" si="20"/>
        <v>-4.8012554999999999</v>
      </c>
      <c r="AN55" s="606" t="str">
        <f t="shared" si="17"/>
        <v xml:space="preserve">    ---- </v>
      </c>
      <c r="AO55" s="564">
        <f t="shared" si="21"/>
        <v>0</v>
      </c>
      <c r="AP55" s="564">
        <f t="shared" si="21"/>
        <v>-4.8012554999999999</v>
      </c>
      <c r="AQ55" s="606" t="str">
        <f t="shared" si="18"/>
        <v xml:space="preserve">    ---- </v>
      </c>
      <c r="AR55" s="589"/>
      <c r="AS55" s="589"/>
      <c r="AT55" s="584"/>
      <c r="AU55" s="584"/>
    </row>
    <row r="56" spans="1:47" s="610" customFormat="1" ht="18.75" customHeight="1" x14ac:dyDescent="0.3">
      <c r="A56" s="550" t="s">
        <v>381</v>
      </c>
      <c r="B56" s="801">
        <v>6.3559999999999999</v>
      </c>
      <c r="C56" s="811">
        <f>SUM(C48:C53)+C55</f>
        <v>12.726999999999997</v>
      </c>
      <c r="D56" s="603">
        <f>IF(B56=0, "    ---- ", IF(ABS(ROUND(100/B56*C56-100,1))&lt;999,ROUND(100/B56*C56-100,1),IF(ROUND(100/B56*C56-100,1)&gt;999,999,-999)))</f>
        <v>100.2</v>
      </c>
      <c r="E56" s="810">
        <v>-2915</v>
      </c>
      <c r="F56" s="811">
        <f>SUM(F48:F53)+F55</f>
        <v>13064.543</v>
      </c>
      <c r="G56" s="604">
        <f>IF(E56=0, "    ---- ", IF(ABS(ROUND(100/E56*F56-100,1))&lt;999,ROUND(100/E56*F56-100,1),IF(ROUND(100/E56*F56-100,1)&gt;999,999,-999)))</f>
        <v>-548.20000000000005</v>
      </c>
      <c r="H56" s="603">
        <f>SUM(H48:H53)+H55</f>
        <v>-30.98</v>
      </c>
      <c r="I56" s="603">
        <f>SUM(I48:I53)+I55</f>
        <v>7.762999999999999</v>
      </c>
      <c r="J56" s="604">
        <f>IF(H56=0, "    ---- ", IF(ABS(ROUND(100/H56*I56-100,1))&lt;999,ROUND(100/H56*I56-100,1),IF(ROUND(100/H56*I56-100,1)&gt;999,999,-999)))</f>
        <v>-125.1</v>
      </c>
      <c r="K56" s="810">
        <v>124.89999999999999</v>
      </c>
      <c r="L56" s="811">
        <f>SUM(L48:L53)+L55</f>
        <v>110</v>
      </c>
      <c r="M56" s="603">
        <f>IF(K56=0, "    ---- ", IF(ABS(ROUND(100/K56*L56-100,1))&lt;999,ROUND(100/K56*L56-100,1),IF(ROUND(100/K56*L56-100,1)&gt;999,999,-999)))</f>
        <v>-11.9</v>
      </c>
      <c r="N56" s="810"/>
      <c r="O56" s="811"/>
      <c r="P56" s="606"/>
      <c r="Q56" s="810"/>
      <c r="R56" s="603"/>
      <c r="S56" s="604"/>
      <c r="T56" s="810">
        <v>-33</v>
      </c>
      <c r="U56" s="811">
        <f>SUM(U48:U53)+U55</f>
        <v>-32</v>
      </c>
      <c r="V56" s="604">
        <f>IF(T56=0, "    ---- ", IF(ABS(ROUND(100/T56*U56-100,1))&lt;999,ROUND(100/T56*U56-100,1),IF(ROUND(100/T56*U56-100,1)&gt;999,999,-999)))</f>
        <v>-3</v>
      </c>
      <c r="W56" s="810">
        <v>182.08193663801171</v>
      </c>
      <c r="X56" s="811">
        <f>SUM(X48:X53)+X55</f>
        <v>187.85151842496452</v>
      </c>
      <c r="Y56" s="604">
        <f>IF(W56=0, "    ---- ", IF(ABS(ROUND(100/W56*X56-100,1))&lt;999,ROUND(100/W56*X56-100,1),IF(ROUND(100/W56*X56-100,1)&gt;999,999,-999)))</f>
        <v>3.2</v>
      </c>
      <c r="Z56" s="810"/>
      <c r="AA56" s="811"/>
      <c r="AB56" s="604"/>
      <c r="AC56" s="810">
        <v>1.3992193794557</v>
      </c>
      <c r="AD56" s="811">
        <f>SUM(AD48:AD53)+AD55</f>
        <v>-0.57018520376037096</v>
      </c>
      <c r="AE56" s="606">
        <f>IF(AC56=0, "    ---- ", IF(ABS(ROUND(100/AC56*AD56-100,1))&lt;999,ROUND(100/AC56*AD56-100,1),IF(ROUND(100/AC56*AD56-100,1)&gt;999,999,-999)))</f>
        <v>-140.80000000000001</v>
      </c>
      <c r="AF56" s="810">
        <v>15.894000000000005</v>
      </c>
      <c r="AG56" s="811">
        <f>SUM(AG48:AG53)+AG55</f>
        <v>47</v>
      </c>
      <c r="AH56" s="604">
        <f>IF(AF56=0, "    ---- ", IF(ABS(ROUND(100/AF56*AG56-100,1))&lt;999,ROUND(100/AF56*AG56-100,1),IF(ROUND(100/AF56*AG56-100,1)&gt;999,999,-999)))</f>
        <v>195.7</v>
      </c>
      <c r="AI56" s="810">
        <v>215.52999999999997</v>
      </c>
      <c r="AJ56" s="811">
        <f>SUM(AJ48:AJ53)+AJ55</f>
        <v>246</v>
      </c>
      <c r="AK56" s="604">
        <f>IF(AI56=0, "    ---- ", IF(ABS(ROUND(100/AI56*AJ56-100,1))&lt;999,ROUND(100/AI56*AJ56-100,1),IF(ROUND(100/AI56*AJ56-100,1)&gt;999,999,-999)))</f>
        <v>14.1</v>
      </c>
      <c r="AL56" s="603">
        <f>B56+E56+H56+K56+Q56+T56+W56+Z56+AF56+AI56</f>
        <v>-2434.2180633619882</v>
      </c>
      <c r="AM56" s="603">
        <f>C56+F56+I56+L56+R56+U56+X56+AA56+AG56+AJ56</f>
        <v>13643.884518424966</v>
      </c>
      <c r="AN56" s="604">
        <f t="shared" si="17"/>
        <v>-660.5</v>
      </c>
      <c r="AO56" s="566">
        <f t="shared" si="21"/>
        <v>-2432.8188439825326</v>
      </c>
      <c r="AP56" s="566">
        <f t="shared" si="21"/>
        <v>13643.314333221206</v>
      </c>
      <c r="AQ56" s="604">
        <f t="shared" si="18"/>
        <v>-660.8</v>
      </c>
      <c r="AR56" s="587"/>
      <c r="AS56" s="587"/>
      <c r="AT56" s="609"/>
      <c r="AU56" s="609"/>
    </row>
    <row r="57" spans="1:47" s="607" customFormat="1" ht="18.75" customHeight="1" x14ac:dyDescent="0.3">
      <c r="A57" s="556" t="s">
        <v>382</v>
      </c>
      <c r="B57" s="808"/>
      <c r="C57" s="809"/>
      <c r="D57" s="605"/>
      <c r="E57" s="808">
        <v>-3170</v>
      </c>
      <c r="F57" s="809">
        <v>12735.9</v>
      </c>
      <c r="G57" s="605">
        <f>IF(E57=0, "    ---- ", IF(ABS(ROUND(100/E57*F57-100,1))&lt;999,ROUND(100/E57*F57-100,1),IF(ROUND(100/E57*F57-100,1)&gt;999,999,-999)))</f>
        <v>-501.8</v>
      </c>
      <c r="H57" s="907"/>
      <c r="I57" s="605"/>
      <c r="J57" s="606"/>
      <c r="K57" s="808">
        <v>2.4</v>
      </c>
      <c r="L57" s="809">
        <v>3.5</v>
      </c>
      <c r="M57" s="605">
        <f>IF(K57=0, "    ---- ", IF(ABS(ROUND(100/K57*L57-100,1))&lt;999,ROUND(100/K57*L57-100,1),IF(ROUND(100/K57*L57-100,1)&gt;999,999,-999)))</f>
        <v>45.8</v>
      </c>
      <c r="N57" s="808"/>
      <c r="O57" s="809"/>
      <c r="P57" s="606"/>
      <c r="Q57" s="808"/>
      <c r="R57" s="605"/>
      <c r="S57" s="606"/>
      <c r="T57" s="808"/>
      <c r="U57" s="809"/>
      <c r="V57" s="606"/>
      <c r="W57" s="808">
        <v>0</v>
      </c>
      <c r="X57" s="809">
        <v>0</v>
      </c>
      <c r="Y57" s="606" t="str">
        <f>IF(W57=0, "    ---- ", IF(ABS(ROUND(100/W57*X57-100,1))&lt;999,ROUND(100/W57*X57-100,1),IF(ROUND(100/W57*X57-100,1)&gt;999,999,-999)))</f>
        <v xml:space="preserve">    ---- </v>
      </c>
      <c r="Z57" s="808"/>
      <c r="AA57" s="809"/>
      <c r="AB57" s="606"/>
      <c r="AC57" s="808"/>
      <c r="AD57" s="809"/>
      <c r="AE57" s="606"/>
      <c r="AF57" s="808">
        <v>1.145</v>
      </c>
      <c r="AG57" s="809">
        <v>22</v>
      </c>
      <c r="AH57" s="606">
        <f>IF(AF57=0, "    ---- ", IF(ABS(ROUND(100/AF57*AG57-100,1))&lt;999,ROUND(100/AF57*AG57-100,1),IF(ROUND(100/AF57*AG57-100,1)&gt;999,999,-999)))</f>
        <v>999</v>
      </c>
      <c r="AI57" s="808">
        <v>-24.9</v>
      </c>
      <c r="AJ57" s="809"/>
      <c r="AK57" s="606">
        <f t="shared" ref="AK57" si="23">IF(AI57=0, "    ---- ", IF(ABS(ROUND(100/AI57*AJ57-100,1))&lt;999,ROUND(100/AI57*AJ57-100,1),IF(ROUND(100/AI57*AJ57-100,1)&gt;999,999,-999)))</f>
        <v>-100</v>
      </c>
      <c r="AL57" s="605">
        <f t="shared" ref="AL57:AM118" si="24">B57+E57+H57+K57+Q57+T57+W57+Z57+AF57+AI57</f>
        <v>-3191.355</v>
      </c>
      <c r="AM57" s="605">
        <f t="shared" si="24"/>
        <v>12761.4</v>
      </c>
      <c r="AN57" s="606">
        <f t="shared" si="17"/>
        <v>-499.9</v>
      </c>
      <c r="AO57" s="564">
        <f t="shared" si="21"/>
        <v>-3191.355</v>
      </c>
      <c r="AP57" s="564">
        <f t="shared" si="21"/>
        <v>12761.4</v>
      </c>
      <c r="AQ57" s="606">
        <f t="shared" si="18"/>
        <v>-499.9</v>
      </c>
      <c r="AR57" s="589"/>
      <c r="AS57" s="589"/>
      <c r="AT57" s="584"/>
      <c r="AU57" s="584"/>
    </row>
    <row r="58" spans="1:47" s="607" customFormat="1" ht="18.75" customHeight="1" x14ac:dyDescent="0.3">
      <c r="A58" s="556" t="s">
        <v>383</v>
      </c>
      <c r="B58" s="808">
        <v>6.3559999999999999</v>
      </c>
      <c r="C58" s="809">
        <f>20.464+0.423-8.16</f>
        <v>12.726999999999997</v>
      </c>
      <c r="D58" s="605">
        <f>IF(B58=0, "    ---- ", IF(ABS(ROUND(100/B58*C58-100,1))&lt;999,ROUND(100/B58*C58-100,1),IF(ROUND(100/B58*C58-100,1)&gt;999,999,-999)))</f>
        <v>100.2</v>
      </c>
      <c r="E58" s="808">
        <v>255</v>
      </c>
      <c r="F58" s="809">
        <v>328.64299999999997</v>
      </c>
      <c r="G58" s="606">
        <f>IF(E58=0, "    ---- ", IF(ABS(ROUND(100/E58*F58-100,1))&lt;999,ROUND(100/E58*F58-100,1),IF(ROUND(100/E58*F58-100,1)&gt;999,999,-999)))</f>
        <v>28.9</v>
      </c>
      <c r="H58" s="907">
        <v>30.98</v>
      </c>
      <c r="I58" s="605">
        <v>7.7629999999999999</v>
      </c>
      <c r="J58" s="606">
        <f>IF(H58=0, "    ---- ", IF(ABS(ROUND(100/H58*I58-100,1))&lt;999,ROUND(100/H58*I58-100,1),IF(ROUND(100/H58*I58-100,1)&gt;999,999,-999)))</f>
        <v>-74.900000000000006</v>
      </c>
      <c r="K58" s="808">
        <v>122.6</v>
      </c>
      <c r="L58" s="809">
        <v>106.6</v>
      </c>
      <c r="M58" s="605">
        <f>IF(K58=0, "    ---- ", IF(ABS(ROUND(100/K58*L58-100,1))&lt;999,ROUND(100/K58*L58-100,1),IF(ROUND(100/K58*L58-100,1)&gt;999,999,-999)))</f>
        <v>-13.1</v>
      </c>
      <c r="N58" s="808"/>
      <c r="O58" s="809"/>
      <c r="P58" s="606"/>
      <c r="Q58" s="808"/>
      <c r="R58" s="605"/>
      <c r="S58" s="606"/>
      <c r="T58" s="808">
        <v>-33</v>
      </c>
      <c r="U58" s="809">
        <v>-32</v>
      </c>
      <c r="V58" s="606">
        <f>IF(T58=0, "    ---- ", IF(ABS(ROUND(100/T58*U58-100,1))&lt;999,ROUND(100/T58*U58-100,1),IF(ROUND(100/T58*U58-100,1)&gt;999,999,-999)))</f>
        <v>-3</v>
      </c>
      <c r="W58" s="808">
        <v>182.08193663801171</v>
      </c>
      <c r="X58" s="809">
        <v>187.85151842496452</v>
      </c>
      <c r="Y58" s="606">
        <f>IF(W58=0, "    ---- ", IF(ABS(ROUND(100/W58*X58-100,1))&lt;999,ROUND(100/W58*X58-100,1),IF(ROUND(100/W58*X58-100,1)&gt;999,999,-999)))</f>
        <v>3.2</v>
      </c>
      <c r="Z58" s="808"/>
      <c r="AA58" s="809"/>
      <c r="AB58" s="606"/>
      <c r="AC58" s="808">
        <v>1.3992193794557</v>
      </c>
      <c r="AD58" s="809">
        <v>-0.57018520376037096</v>
      </c>
      <c r="AE58" s="606">
        <f>IF(AC58=0, "    ---- ", IF(ABS(ROUND(100/AC58*AD58-100,1))&lt;999,ROUND(100/AC58*AD58-100,1),IF(ROUND(100/AC58*AD58-100,1)&gt;999,999,-999)))</f>
        <v>-140.80000000000001</v>
      </c>
      <c r="AF58" s="808">
        <v>14.749000000000002</v>
      </c>
      <c r="AG58" s="809">
        <v>25</v>
      </c>
      <c r="AH58" s="606">
        <f>IF(AF58=0, "    ---- ", IF(ABS(ROUND(100/AF58*AG58-100,1))&lt;999,ROUND(100/AF58*AG58-100,1),IF(ROUND(100/AF58*AG58-100,1)&gt;999,999,-999)))</f>
        <v>69.5</v>
      </c>
      <c r="AI58" s="808">
        <v>240.39999999999998</v>
      </c>
      <c r="AJ58" s="809">
        <v>246</v>
      </c>
      <c r="AK58" s="606">
        <f>IF(AI58=0, "    ---- ", IF(ABS(ROUND(100/AI58*AJ58-100,1))&lt;999,ROUND(100/AI58*AJ58-100,1),IF(ROUND(100/AI58*AJ58-100,1)&gt;999,999,-999)))</f>
        <v>2.2999999999999998</v>
      </c>
      <c r="AL58" s="605">
        <f t="shared" si="24"/>
        <v>819.16693663801175</v>
      </c>
      <c r="AM58" s="605">
        <f t="shared" si="24"/>
        <v>882.58451842496447</v>
      </c>
      <c r="AN58" s="606">
        <f t="shared" si="17"/>
        <v>7.7</v>
      </c>
      <c r="AO58" s="564">
        <f t="shared" si="21"/>
        <v>820.56615601746739</v>
      </c>
      <c r="AP58" s="564">
        <f t="shared" si="21"/>
        <v>882.01433322120408</v>
      </c>
      <c r="AQ58" s="606">
        <f t="shared" si="18"/>
        <v>7.5</v>
      </c>
      <c r="AR58" s="589"/>
      <c r="AS58" s="589"/>
      <c r="AT58" s="584"/>
      <c r="AU58" s="584"/>
    </row>
    <row r="59" spans="1:47" s="607" customFormat="1" ht="18.75" customHeight="1" x14ac:dyDescent="0.3">
      <c r="A59" s="611" t="s">
        <v>397</v>
      </c>
      <c r="B59" s="808"/>
      <c r="C59" s="809"/>
      <c r="D59" s="605"/>
      <c r="E59" s="808"/>
      <c r="F59" s="809"/>
      <c r="G59" s="606"/>
      <c r="H59" s="907"/>
      <c r="I59" s="605"/>
      <c r="J59" s="606"/>
      <c r="K59" s="808"/>
      <c r="L59" s="809"/>
      <c r="M59" s="605"/>
      <c r="N59" s="808"/>
      <c r="O59" s="809"/>
      <c r="P59" s="606"/>
      <c r="Q59" s="808"/>
      <c r="R59" s="605"/>
      <c r="S59" s="606"/>
      <c r="T59" s="808"/>
      <c r="U59" s="809"/>
      <c r="V59" s="606"/>
      <c r="W59" s="808"/>
      <c r="X59" s="809"/>
      <c r="Y59" s="606"/>
      <c r="Z59" s="808"/>
      <c r="AA59" s="809"/>
      <c r="AB59" s="606"/>
      <c r="AC59" s="808"/>
      <c r="AD59" s="809"/>
      <c r="AE59" s="606"/>
      <c r="AF59" s="808"/>
      <c r="AG59" s="809"/>
      <c r="AH59" s="606"/>
      <c r="AI59" s="808"/>
      <c r="AJ59" s="809"/>
      <c r="AK59" s="606"/>
      <c r="AL59" s="605">
        <f t="shared" si="24"/>
        <v>0</v>
      </c>
      <c r="AM59" s="605">
        <f t="shared" si="24"/>
        <v>0</v>
      </c>
      <c r="AN59" s="606" t="str">
        <f t="shared" si="17"/>
        <v xml:space="preserve">    ---- </v>
      </c>
      <c r="AO59" s="564">
        <f t="shared" si="21"/>
        <v>0</v>
      </c>
      <c r="AP59" s="564">
        <f t="shared" si="21"/>
        <v>0</v>
      </c>
      <c r="AQ59" s="606" t="str">
        <f t="shared" si="18"/>
        <v xml:space="preserve">    ---- </v>
      </c>
      <c r="AR59" s="589"/>
      <c r="AS59" s="589"/>
      <c r="AT59" s="584"/>
      <c r="AU59" s="584"/>
    </row>
    <row r="60" spans="1:47" s="607" customFormat="1" ht="18.75" customHeight="1" x14ac:dyDescent="0.3">
      <c r="A60" s="612" t="s">
        <v>373</v>
      </c>
      <c r="B60" s="808"/>
      <c r="C60" s="809"/>
      <c r="D60" s="605"/>
      <c r="E60" s="808"/>
      <c r="F60" s="809"/>
      <c r="G60" s="606"/>
      <c r="H60" s="907"/>
      <c r="I60" s="605"/>
      <c r="J60" s="606"/>
      <c r="K60" s="808"/>
      <c r="L60" s="809"/>
      <c r="M60" s="605"/>
      <c r="N60" s="808"/>
      <c r="O60" s="809"/>
      <c r="P60" s="606"/>
      <c r="Q60" s="808"/>
      <c r="R60" s="605"/>
      <c r="S60" s="606"/>
      <c r="T60" s="808"/>
      <c r="U60" s="809"/>
      <c r="V60" s="606"/>
      <c r="W60" s="808"/>
      <c r="X60" s="809"/>
      <c r="Y60" s="606"/>
      <c r="Z60" s="808"/>
      <c r="AA60" s="809"/>
      <c r="AB60" s="606"/>
      <c r="AC60" s="808"/>
      <c r="AD60" s="809"/>
      <c r="AE60" s="606"/>
      <c r="AF60" s="808">
        <v>12.671999999999999</v>
      </c>
      <c r="AG60" s="809">
        <v>68</v>
      </c>
      <c r="AH60" s="606">
        <f t="shared" ref="AH60:AH70" si="25">IF(AF60=0, "    ---- ", IF(ABS(ROUND(100/AF60*AG60-100,1))&lt;999,ROUND(100/AF60*AG60-100,1),IF(ROUND(100/AF60*AG60-100,1)&gt;999,999,-999)))</f>
        <v>436.6</v>
      </c>
      <c r="AI60" s="808">
        <v>22.2</v>
      </c>
      <c r="AJ60" s="809">
        <v>29</v>
      </c>
      <c r="AK60" s="606">
        <f t="shared" ref="AK60:AK61" si="26">IF(AI60=0, "    ---- ", IF(ABS(ROUND(100/AI60*AJ60-100,1))&lt;999,ROUND(100/AI60*AJ60-100,1),IF(ROUND(100/AI60*AJ60-100,1)&gt;999,999,-999)))</f>
        <v>30.6</v>
      </c>
      <c r="AL60" s="605">
        <f t="shared" si="24"/>
        <v>34.872</v>
      </c>
      <c r="AM60" s="605">
        <f t="shared" si="24"/>
        <v>97</v>
      </c>
      <c r="AN60" s="606">
        <f t="shared" si="17"/>
        <v>178.2</v>
      </c>
      <c r="AO60" s="564">
        <f t="shared" si="21"/>
        <v>34.872</v>
      </c>
      <c r="AP60" s="564">
        <f t="shared" si="21"/>
        <v>97</v>
      </c>
      <c r="AQ60" s="606">
        <f t="shared" si="18"/>
        <v>178.2</v>
      </c>
      <c r="AR60" s="589"/>
      <c r="AS60" s="589"/>
      <c r="AT60" s="584"/>
      <c r="AU60" s="584"/>
    </row>
    <row r="61" spans="1:47" s="607" customFormat="1" ht="18.75" customHeight="1" x14ac:dyDescent="0.3">
      <c r="A61" s="612" t="s">
        <v>374</v>
      </c>
      <c r="B61" s="808"/>
      <c r="C61" s="809"/>
      <c r="D61" s="605"/>
      <c r="E61" s="808"/>
      <c r="F61" s="809"/>
      <c r="G61" s="606"/>
      <c r="H61" s="907"/>
      <c r="I61" s="605"/>
      <c r="J61" s="606"/>
      <c r="K61" s="808"/>
      <c r="L61" s="809"/>
      <c r="M61" s="605"/>
      <c r="N61" s="808"/>
      <c r="O61" s="809"/>
      <c r="P61" s="606"/>
      <c r="Q61" s="808"/>
      <c r="R61" s="605"/>
      <c r="S61" s="606"/>
      <c r="T61" s="808"/>
      <c r="U61" s="809"/>
      <c r="V61" s="606"/>
      <c r="W61" s="808"/>
      <c r="X61" s="809"/>
      <c r="Y61" s="606"/>
      <c r="Z61" s="808"/>
      <c r="AA61" s="809"/>
      <c r="AB61" s="606"/>
      <c r="AC61" s="808"/>
      <c r="AD61" s="809"/>
      <c r="AE61" s="606"/>
      <c r="AF61" s="808"/>
      <c r="AG61" s="809"/>
      <c r="AH61" s="606"/>
      <c r="AI61" s="808">
        <v>-2.2999999999999998</v>
      </c>
      <c r="AJ61" s="809">
        <v>-8</v>
      </c>
      <c r="AK61" s="606">
        <f t="shared" si="26"/>
        <v>247.8</v>
      </c>
      <c r="AL61" s="605">
        <f t="shared" si="24"/>
        <v>-2.2999999999999998</v>
      </c>
      <c r="AM61" s="605">
        <f t="shared" si="24"/>
        <v>-8</v>
      </c>
      <c r="AN61" s="606">
        <f t="shared" si="17"/>
        <v>247.8</v>
      </c>
      <c r="AO61" s="564">
        <f t="shared" si="21"/>
        <v>-2.2999999999999998</v>
      </c>
      <c r="AP61" s="564">
        <f t="shared" si="21"/>
        <v>-8</v>
      </c>
      <c r="AQ61" s="606">
        <f t="shared" si="18"/>
        <v>247.8</v>
      </c>
      <c r="AR61" s="589"/>
      <c r="AS61" s="589"/>
      <c r="AT61" s="584"/>
      <c r="AU61" s="584"/>
    </row>
    <row r="62" spans="1:47" s="607" customFormat="1" ht="18.75" customHeight="1" x14ac:dyDescent="0.3">
      <c r="A62" s="612" t="s">
        <v>375</v>
      </c>
      <c r="B62" s="808"/>
      <c r="C62" s="809"/>
      <c r="D62" s="605"/>
      <c r="E62" s="808"/>
      <c r="F62" s="809"/>
      <c r="G62" s="606"/>
      <c r="H62" s="907"/>
      <c r="I62" s="605"/>
      <c r="J62" s="606"/>
      <c r="K62" s="808"/>
      <c r="L62" s="809"/>
      <c r="M62" s="605"/>
      <c r="N62" s="808"/>
      <c r="O62" s="809"/>
      <c r="P62" s="606"/>
      <c r="Q62" s="808"/>
      <c r="R62" s="605"/>
      <c r="S62" s="606"/>
      <c r="T62" s="808"/>
      <c r="U62" s="809"/>
      <c r="V62" s="606"/>
      <c r="W62" s="808"/>
      <c r="X62" s="809"/>
      <c r="Y62" s="606"/>
      <c r="Z62" s="808"/>
      <c r="AA62" s="809"/>
      <c r="AB62" s="606"/>
      <c r="AC62" s="808"/>
      <c r="AD62" s="809"/>
      <c r="AE62" s="606"/>
      <c r="AF62" s="808">
        <v>-46.497999999999998</v>
      </c>
      <c r="AG62" s="809">
        <v>-15</v>
      </c>
      <c r="AH62" s="606">
        <f t="shared" si="25"/>
        <v>-67.7</v>
      </c>
      <c r="AI62" s="808">
        <v>-0.9</v>
      </c>
      <c r="AJ62" s="809"/>
      <c r="AK62" s="606">
        <f t="shared" ref="AK62:AK66" si="27">IF(AI62=0, "    ---- ", IF(ABS(ROUND(100/AI62*AJ62-100,1))&lt;999,ROUND(100/AI62*AJ62-100,1),IF(ROUND(100/AI62*AJ62-100,1)&gt;999,999,-999)))</f>
        <v>-100</v>
      </c>
      <c r="AL62" s="605">
        <f t="shared" si="24"/>
        <v>-47.397999999999996</v>
      </c>
      <c r="AM62" s="605">
        <f t="shared" si="24"/>
        <v>-15</v>
      </c>
      <c r="AN62" s="606">
        <f t="shared" si="17"/>
        <v>-68.400000000000006</v>
      </c>
      <c r="AO62" s="564">
        <f t="shared" si="21"/>
        <v>-47.397999999999996</v>
      </c>
      <c r="AP62" s="564">
        <f t="shared" si="21"/>
        <v>-15</v>
      </c>
      <c r="AQ62" s="606">
        <f t="shared" si="18"/>
        <v>-68.400000000000006</v>
      </c>
      <c r="AR62" s="589"/>
      <c r="AS62" s="589"/>
      <c r="AT62" s="584"/>
      <c r="AU62" s="584"/>
    </row>
    <row r="63" spans="1:47" s="607" customFormat="1" ht="18.75" customHeight="1" x14ac:dyDescent="0.3">
      <c r="A63" s="612" t="s">
        <v>376</v>
      </c>
      <c r="B63" s="808"/>
      <c r="C63" s="809"/>
      <c r="D63" s="605"/>
      <c r="E63" s="808"/>
      <c r="F63" s="809"/>
      <c r="G63" s="606"/>
      <c r="H63" s="907"/>
      <c r="I63" s="605"/>
      <c r="J63" s="606"/>
      <c r="K63" s="808"/>
      <c r="L63" s="809"/>
      <c r="M63" s="605"/>
      <c r="N63" s="808"/>
      <c r="O63" s="809"/>
      <c r="P63" s="606"/>
      <c r="Q63" s="808"/>
      <c r="R63" s="605"/>
      <c r="S63" s="606"/>
      <c r="T63" s="808"/>
      <c r="U63" s="809"/>
      <c r="V63" s="606"/>
      <c r="W63" s="808"/>
      <c r="X63" s="809"/>
      <c r="Y63" s="606"/>
      <c r="Z63" s="808"/>
      <c r="AA63" s="809"/>
      <c r="AB63" s="606"/>
      <c r="AC63" s="808"/>
      <c r="AD63" s="809"/>
      <c r="AE63" s="606"/>
      <c r="AF63" s="808"/>
      <c r="AG63" s="809"/>
      <c r="AH63" s="606"/>
      <c r="AI63" s="808">
        <v>0</v>
      </c>
      <c r="AJ63" s="809"/>
      <c r="AK63" s="606" t="str">
        <f t="shared" si="27"/>
        <v xml:space="preserve">    ---- </v>
      </c>
      <c r="AL63" s="605">
        <f t="shared" si="24"/>
        <v>0</v>
      </c>
      <c r="AM63" s="605">
        <f t="shared" si="24"/>
        <v>0</v>
      </c>
      <c r="AN63" s="606" t="str">
        <f t="shared" si="17"/>
        <v xml:space="preserve">    ---- </v>
      </c>
      <c r="AO63" s="564">
        <f t="shared" si="21"/>
        <v>0</v>
      </c>
      <c r="AP63" s="564">
        <f t="shared" si="21"/>
        <v>0</v>
      </c>
      <c r="AQ63" s="606" t="str">
        <f t="shared" si="18"/>
        <v xml:space="preserve">    ---- </v>
      </c>
      <c r="AR63" s="589"/>
      <c r="AS63" s="589"/>
      <c r="AT63" s="584"/>
      <c r="AU63" s="584"/>
    </row>
    <row r="64" spans="1:47" s="607" customFormat="1" ht="18.75" customHeight="1" x14ac:dyDescent="0.3">
      <c r="A64" s="612" t="s">
        <v>377</v>
      </c>
      <c r="B64" s="808"/>
      <c r="C64" s="809"/>
      <c r="D64" s="605"/>
      <c r="E64" s="808"/>
      <c r="F64" s="809"/>
      <c r="G64" s="606"/>
      <c r="H64" s="907"/>
      <c r="I64" s="605"/>
      <c r="J64" s="606"/>
      <c r="K64" s="808"/>
      <c r="L64" s="809"/>
      <c r="M64" s="605"/>
      <c r="N64" s="808"/>
      <c r="O64" s="809"/>
      <c r="P64" s="606"/>
      <c r="Q64" s="808"/>
      <c r="R64" s="605"/>
      <c r="S64" s="606"/>
      <c r="T64" s="808"/>
      <c r="U64" s="809"/>
      <c r="V64" s="606"/>
      <c r="W64" s="808"/>
      <c r="X64" s="809"/>
      <c r="Y64" s="606"/>
      <c r="Z64" s="808"/>
      <c r="AA64" s="809"/>
      <c r="AB64" s="606"/>
      <c r="AC64" s="808"/>
      <c r="AD64" s="809"/>
      <c r="AE64" s="606"/>
      <c r="AF64" s="808">
        <v>1.393</v>
      </c>
      <c r="AG64" s="809">
        <v>3</v>
      </c>
      <c r="AH64" s="606">
        <f t="shared" si="25"/>
        <v>115.4</v>
      </c>
      <c r="AI64" s="808">
        <v>9.4</v>
      </c>
      <c r="AJ64" s="809">
        <v>10</v>
      </c>
      <c r="AK64" s="606">
        <f t="shared" si="27"/>
        <v>6.4</v>
      </c>
      <c r="AL64" s="605">
        <f t="shared" si="24"/>
        <v>10.793000000000001</v>
      </c>
      <c r="AM64" s="605">
        <f t="shared" si="24"/>
        <v>13</v>
      </c>
      <c r="AN64" s="606">
        <f t="shared" si="17"/>
        <v>20.399999999999999</v>
      </c>
      <c r="AO64" s="564">
        <f t="shared" si="21"/>
        <v>10.793000000000001</v>
      </c>
      <c r="AP64" s="564">
        <f t="shared" si="21"/>
        <v>13</v>
      </c>
      <c r="AQ64" s="606">
        <f t="shared" si="18"/>
        <v>20.399999999999999</v>
      </c>
      <c r="AR64" s="589"/>
      <c r="AS64" s="589"/>
      <c r="AT64" s="584"/>
      <c r="AU64" s="584"/>
    </row>
    <row r="65" spans="1:47" s="607" customFormat="1" ht="18.75" customHeight="1" x14ac:dyDescent="0.3">
      <c r="A65" s="612" t="s">
        <v>378</v>
      </c>
      <c r="B65" s="808"/>
      <c r="C65" s="809"/>
      <c r="D65" s="605"/>
      <c r="E65" s="808"/>
      <c r="F65" s="809"/>
      <c r="G65" s="606"/>
      <c r="H65" s="907"/>
      <c r="I65" s="605"/>
      <c r="J65" s="606"/>
      <c r="K65" s="808"/>
      <c r="L65" s="809"/>
      <c r="M65" s="605"/>
      <c r="N65" s="808"/>
      <c r="O65" s="809"/>
      <c r="P65" s="606"/>
      <c r="Q65" s="808"/>
      <c r="R65" s="605"/>
      <c r="S65" s="606"/>
      <c r="T65" s="808"/>
      <c r="U65" s="809"/>
      <c r="V65" s="606"/>
      <c r="W65" s="808"/>
      <c r="X65" s="809"/>
      <c r="Y65" s="606"/>
      <c r="Z65" s="808"/>
      <c r="AA65" s="809"/>
      <c r="AB65" s="606"/>
      <c r="AC65" s="808"/>
      <c r="AD65" s="809"/>
      <c r="AE65" s="606"/>
      <c r="AF65" s="808">
        <v>-2.7679999999999998</v>
      </c>
      <c r="AG65" s="809">
        <v>-12</v>
      </c>
      <c r="AH65" s="606">
        <f t="shared" si="25"/>
        <v>333.5</v>
      </c>
      <c r="AI65" s="808">
        <v>24.3</v>
      </c>
      <c r="AJ65" s="809">
        <v>51</v>
      </c>
      <c r="AK65" s="606">
        <f t="shared" si="27"/>
        <v>109.9</v>
      </c>
      <c r="AL65" s="605">
        <f t="shared" si="24"/>
        <v>21.532</v>
      </c>
      <c r="AM65" s="605">
        <f t="shared" si="24"/>
        <v>39</v>
      </c>
      <c r="AN65" s="606">
        <f t="shared" si="17"/>
        <v>81.099999999999994</v>
      </c>
      <c r="AO65" s="564">
        <f t="shared" si="21"/>
        <v>21.532</v>
      </c>
      <c r="AP65" s="564">
        <f t="shared" si="21"/>
        <v>39</v>
      </c>
      <c r="AQ65" s="606">
        <f t="shared" si="18"/>
        <v>81.099999999999994</v>
      </c>
      <c r="AR65" s="589"/>
      <c r="AS65" s="589"/>
      <c r="AT65" s="584"/>
      <c r="AU65" s="584"/>
    </row>
    <row r="66" spans="1:47" s="607" customFormat="1" ht="18.75" customHeight="1" x14ac:dyDescent="0.3">
      <c r="A66" s="612" t="s">
        <v>379</v>
      </c>
      <c r="B66" s="808"/>
      <c r="C66" s="809"/>
      <c r="D66" s="605"/>
      <c r="E66" s="808"/>
      <c r="F66" s="809"/>
      <c r="G66" s="606"/>
      <c r="H66" s="907"/>
      <c r="I66" s="605"/>
      <c r="J66" s="606"/>
      <c r="K66" s="808"/>
      <c r="L66" s="809"/>
      <c r="M66" s="605"/>
      <c r="N66" s="808"/>
      <c r="O66" s="809"/>
      <c r="P66" s="606"/>
      <c r="Q66" s="808"/>
      <c r="R66" s="605"/>
      <c r="S66" s="606"/>
      <c r="T66" s="808"/>
      <c r="U66" s="809"/>
      <c r="V66" s="606"/>
      <c r="W66" s="808"/>
      <c r="X66" s="809"/>
      <c r="Y66" s="606"/>
      <c r="Z66" s="808"/>
      <c r="AA66" s="809"/>
      <c r="AB66" s="606"/>
      <c r="AC66" s="808"/>
      <c r="AD66" s="809"/>
      <c r="AE66" s="606"/>
      <c r="AF66" s="808"/>
      <c r="AG66" s="809"/>
      <c r="AH66" s="606"/>
      <c r="AI66" s="808">
        <v>0.4</v>
      </c>
      <c r="AJ66" s="809">
        <v>10</v>
      </c>
      <c r="AK66" s="606">
        <f t="shared" si="27"/>
        <v>999</v>
      </c>
      <c r="AL66" s="605">
        <f t="shared" si="24"/>
        <v>0.4</v>
      </c>
      <c r="AM66" s="605">
        <f t="shared" si="24"/>
        <v>10</v>
      </c>
      <c r="AN66" s="606">
        <f t="shared" si="17"/>
        <v>999</v>
      </c>
      <c r="AO66" s="564">
        <f t="shared" si="21"/>
        <v>0.4</v>
      </c>
      <c r="AP66" s="564">
        <f t="shared" si="21"/>
        <v>10</v>
      </c>
      <c r="AQ66" s="606">
        <f t="shared" si="18"/>
        <v>999</v>
      </c>
      <c r="AR66" s="589"/>
      <c r="AS66" s="589"/>
      <c r="AT66" s="584"/>
      <c r="AU66" s="584"/>
    </row>
    <row r="67" spans="1:47" s="607" customFormat="1" ht="18.75" customHeight="1" x14ac:dyDescent="0.3">
      <c r="A67" s="612" t="s">
        <v>380</v>
      </c>
      <c r="B67" s="808"/>
      <c r="C67" s="809"/>
      <c r="D67" s="605"/>
      <c r="E67" s="808"/>
      <c r="F67" s="809"/>
      <c r="G67" s="606"/>
      <c r="H67" s="907"/>
      <c r="I67" s="605"/>
      <c r="J67" s="606"/>
      <c r="K67" s="808"/>
      <c r="L67" s="809"/>
      <c r="M67" s="605"/>
      <c r="N67" s="808"/>
      <c r="O67" s="809"/>
      <c r="P67" s="606"/>
      <c r="Q67" s="808"/>
      <c r="R67" s="605"/>
      <c r="S67" s="606"/>
      <c r="T67" s="808"/>
      <c r="U67" s="809"/>
      <c r="V67" s="606"/>
      <c r="W67" s="808"/>
      <c r="X67" s="809"/>
      <c r="Y67" s="606"/>
      <c r="Z67" s="808"/>
      <c r="AA67" s="809"/>
      <c r="AB67" s="606"/>
      <c r="AC67" s="808"/>
      <c r="AD67" s="809"/>
      <c r="AE67" s="606"/>
      <c r="AF67" s="808"/>
      <c r="AG67" s="809"/>
      <c r="AH67" s="606"/>
      <c r="AI67" s="808"/>
      <c r="AJ67" s="809"/>
      <c r="AK67" s="606"/>
      <c r="AL67" s="605">
        <f t="shared" si="24"/>
        <v>0</v>
      </c>
      <c r="AM67" s="605">
        <f t="shared" si="24"/>
        <v>0</v>
      </c>
      <c r="AN67" s="606" t="str">
        <f t="shared" si="17"/>
        <v xml:space="preserve">    ---- </v>
      </c>
      <c r="AO67" s="564">
        <f t="shared" si="21"/>
        <v>0</v>
      </c>
      <c r="AP67" s="564">
        <f t="shared" si="21"/>
        <v>0</v>
      </c>
      <c r="AQ67" s="606" t="str">
        <f t="shared" si="18"/>
        <v xml:space="preserve">    ---- </v>
      </c>
      <c r="AR67" s="589"/>
      <c r="AS67" s="589"/>
      <c r="AT67" s="584"/>
      <c r="AU67" s="584"/>
    </row>
    <row r="68" spans="1:47" s="610" customFormat="1" ht="18.75" customHeight="1" x14ac:dyDescent="0.3">
      <c r="A68" s="611" t="s">
        <v>381</v>
      </c>
      <c r="B68" s="801"/>
      <c r="C68" s="811"/>
      <c r="D68" s="603"/>
      <c r="E68" s="810"/>
      <c r="F68" s="811"/>
      <c r="G68" s="604"/>
      <c r="H68" s="908"/>
      <c r="I68" s="603"/>
      <c r="J68" s="604"/>
      <c r="K68" s="810"/>
      <c r="L68" s="811"/>
      <c r="M68" s="603"/>
      <c r="N68" s="810"/>
      <c r="O68" s="811"/>
      <c r="P68" s="604"/>
      <c r="Q68" s="810"/>
      <c r="R68" s="603"/>
      <c r="S68" s="604"/>
      <c r="T68" s="810"/>
      <c r="U68" s="811"/>
      <c r="V68" s="604"/>
      <c r="W68" s="810"/>
      <c r="X68" s="811"/>
      <c r="Y68" s="604"/>
      <c r="Z68" s="810"/>
      <c r="AA68" s="811"/>
      <c r="AB68" s="604"/>
      <c r="AC68" s="810"/>
      <c r="AD68" s="811"/>
      <c r="AE68" s="604"/>
      <c r="AF68" s="810">
        <v>-35.201000000000001</v>
      </c>
      <c r="AG68" s="811">
        <f>SUM(AG60:AG65)+AG67</f>
        <v>44</v>
      </c>
      <c r="AH68" s="604">
        <f t="shared" si="25"/>
        <v>-225</v>
      </c>
      <c r="AI68" s="810">
        <v>52.7</v>
      </c>
      <c r="AJ68" s="811">
        <f>SUM(AJ60:AJ65)+AJ67</f>
        <v>82</v>
      </c>
      <c r="AK68" s="606">
        <f t="shared" ref="AK68:AK70" si="28">IF(AI68=0, "    ---- ", IF(ABS(ROUND(100/AI68*AJ68-100,1))&lt;999,ROUND(100/AI68*AJ68-100,1),IF(ROUND(100/AI68*AJ68-100,1)&gt;999,999,-999)))</f>
        <v>55.6</v>
      </c>
      <c r="AL68" s="603">
        <f>B68+E68+H68+K68+Q68+T68+W68+Z68+AF68+AI68</f>
        <v>17.499000000000002</v>
      </c>
      <c r="AM68" s="603">
        <f>C68+F68+I68+L68+R68+U68+X68+AA68+AG68+AJ68</f>
        <v>126</v>
      </c>
      <c r="AN68" s="604">
        <f>IF(AL68=0, "    ---- ", IF(ABS(ROUND(100/AL68*AM68-100,1))&lt;999,ROUND(100/AL68*AM68-100,1),IF(ROUND(100/AL68*AM68-100,1)&gt;999,999,-999)))</f>
        <v>620</v>
      </c>
      <c r="AO68" s="566">
        <f t="shared" si="21"/>
        <v>17.499000000000002</v>
      </c>
      <c r="AP68" s="566">
        <f t="shared" si="21"/>
        <v>126</v>
      </c>
      <c r="AQ68" s="604">
        <f t="shared" si="18"/>
        <v>620</v>
      </c>
      <c r="AR68" s="608" t="e">
        <f>B68,C68,E68,F68,H68,I68,K68,L68,N68,O68,Q68,R68,T68,U68,W68,X68,Z68,AA68,AC68,AD68,#REF!,#REF!,AF68,AG68,AI68,AJ68,AL68,AM68,AO68,AP68</f>
        <v>#REF!</v>
      </c>
      <c r="AS68" s="587"/>
      <c r="AT68" s="609"/>
      <c r="AU68" s="609"/>
    </row>
    <row r="69" spans="1:47" s="607" customFormat="1" ht="18.75" customHeight="1" x14ac:dyDescent="0.3">
      <c r="A69" s="612" t="s">
        <v>382</v>
      </c>
      <c r="B69" s="808"/>
      <c r="C69" s="809"/>
      <c r="D69" s="605"/>
      <c r="E69" s="808"/>
      <c r="F69" s="809"/>
      <c r="G69" s="606"/>
      <c r="H69" s="907"/>
      <c r="I69" s="605"/>
      <c r="J69" s="606"/>
      <c r="K69" s="808"/>
      <c r="L69" s="809"/>
      <c r="M69" s="605"/>
      <c r="N69" s="808"/>
      <c r="O69" s="809"/>
      <c r="P69" s="606"/>
      <c r="Q69" s="808"/>
      <c r="R69" s="605"/>
      <c r="S69" s="606"/>
      <c r="T69" s="808"/>
      <c r="U69" s="809"/>
      <c r="V69" s="606"/>
      <c r="W69" s="808"/>
      <c r="X69" s="809"/>
      <c r="Y69" s="606"/>
      <c r="Z69" s="808"/>
      <c r="AA69" s="809"/>
      <c r="AB69" s="606"/>
      <c r="AC69" s="808"/>
      <c r="AD69" s="809"/>
      <c r="AE69" s="606"/>
      <c r="AF69" s="808">
        <v>12.671999999999999</v>
      </c>
      <c r="AG69" s="809">
        <v>68</v>
      </c>
      <c r="AH69" s="606">
        <f t="shared" si="25"/>
        <v>436.6</v>
      </c>
      <c r="AI69" s="808">
        <v>19.600000000000001</v>
      </c>
      <c r="AJ69" s="809">
        <v>31</v>
      </c>
      <c r="AK69" s="606">
        <f t="shared" si="28"/>
        <v>58.2</v>
      </c>
      <c r="AL69" s="605">
        <f t="shared" si="24"/>
        <v>32.271999999999998</v>
      </c>
      <c r="AM69" s="605">
        <f t="shared" si="24"/>
        <v>99</v>
      </c>
      <c r="AN69" s="606">
        <f t="shared" ref="AN69:AN79" si="29">IF(AL69=0, "    ---- ", IF(ABS(ROUND(100/AL69*AM69-100,1))&lt;999,ROUND(100/AL69*AM69-100,1),IF(ROUND(100/AL69*AM69-100,1)&gt;999,999,-999)))</f>
        <v>206.8</v>
      </c>
      <c r="AO69" s="564">
        <f t="shared" si="21"/>
        <v>32.271999999999998</v>
      </c>
      <c r="AP69" s="564">
        <f t="shared" si="21"/>
        <v>99</v>
      </c>
      <c r="AQ69" s="606">
        <f t="shared" si="18"/>
        <v>206.8</v>
      </c>
      <c r="AR69" s="589"/>
      <c r="AS69" s="589"/>
      <c r="AT69" s="584"/>
      <c r="AU69" s="584"/>
    </row>
    <row r="70" spans="1:47" s="607" customFormat="1" ht="18.75" customHeight="1" x14ac:dyDescent="0.3">
      <c r="A70" s="612" t="s">
        <v>383</v>
      </c>
      <c r="B70" s="808"/>
      <c r="C70" s="809"/>
      <c r="D70" s="605"/>
      <c r="E70" s="808"/>
      <c r="F70" s="809"/>
      <c r="G70" s="606"/>
      <c r="H70" s="907"/>
      <c r="I70" s="605"/>
      <c r="J70" s="606"/>
      <c r="K70" s="808"/>
      <c r="L70" s="809"/>
      <c r="M70" s="605"/>
      <c r="N70" s="808"/>
      <c r="O70" s="809"/>
      <c r="P70" s="606"/>
      <c r="Q70" s="808"/>
      <c r="R70" s="605"/>
      <c r="S70" s="606"/>
      <c r="T70" s="808"/>
      <c r="U70" s="809"/>
      <c r="V70" s="606"/>
      <c r="W70" s="808"/>
      <c r="X70" s="809"/>
      <c r="Y70" s="606"/>
      <c r="Z70" s="808"/>
      <c r="AA70" s="809"/>
      <c r="AB70" s="606"/>
      <c r="AC70" s="808"/>
      <c r="AD70" s="809"/>
      <c r="AE70" s="606"/>
      <c r="AF70" s="808">
        <v>-47.872999999999998</v>
      </c>
      <c r="AG70" s="809">
        <v>-24</v>
      </c>
      <c r="AH70" s="606">
        <f t="shared" si="25"/>
        <v>-49.9</v>
      </c>
      <c r="AI70" s="808">
        <v>32.9</v>
      </c>
      <c r="AJ70" s="809">
        <v>51</v>
      </c>
      <c r="AK70" s="606">
        <f t="shared" si="28"/>
        <v>55</v>
      </c>
      <c r="AL70" s="605">
        <f t="shared" si="24"/>
        <v>-14.972999999999999</v>
      </c>
      <c r="AM70" s="605">
        <f t="shared" si="24"/>
        <v>27</v>
      </c>
      <c r="AN70" s="606">
        <f t="shared" si="29"/>
        <v>-280.3</v>
      </c>
      <c r="AO70" s="564">
        <f t="shared" si="21"/>
        <v>-14.972999999999999</v>
      </c>
      <c r="AP70" s="564">
        <f t="shared" si="21"/>
        <v>27</v>
      </c>
      <c r="AQ70" s="606">
        <f t="shared" si="18"/>
        <v>-280.3</v>
      </c>
      <c r="AR70" s="589"/>
      <c r="AS70" s="589"/>
      <c r="AT70" s="584"/>
      <c r="AU70" s="584"/>
    </row>
    <row r="71" spans="1:47" s="607" customFormat="1" ht="18.75" customHeight="1" x14ac:dyDescent="0.3">
      <c r="A71" s="611" t="s">
        <v>398</v>
      </c>
      <c r="B71" s="808"/>
      <c r="C71" s="809"/>
      <c r="D71" s="605"/>
      <c r="E71" s="808"/>
      <c r="F71" s="809"/>
      <c r="G71" s="606"/>
      <c r="H71" s="907"/>
      <c r="I71" s="605"/>
      <c r="J71" s="606"/>
      <c r="K71" s="808"/>
      <c r="L71" s="809"/>
      <c r="M71" s="605"/>
      <c r="N71" s="808"/>
      <c r="O71" s="809"/>
      <c r="P71" s="606"/>
      <c r="Q71" s="808"/>
      <c r="R71" s="605"/>
      <c r="S71" s="606"/>
      <c r="T71" s="808"/>
      <c r="U71" s="809"/>
      <c r="V71" s="606"/>
      <c r="W71" s="808"/>
      <c r="X71" s="809"/>
      <c r="Y71" s="606"/>
      <c r="Z71" s="808"/>
      <c r="AA71" s="809"/>
      <c r="AB71" s="606"/>
      <c r="AC71" s="808"/>
      <c r="AD71" s="809"/>
      <c r="AE71" s="606"/>
      <c r="AF71" s="808"/>
      <c r="AG71" s="809"/>
      <c r="AH71" s="606"/>
      <c r="AI71" s="808"/>
      <c r="AJ71" s="809"/>
      <c r="AK71" s="606"/>
      <c r="AL71" s="605">
        <f t="shared" si="24"/>
        <v>0</v>
      </c>
      <c r="AM71" s="605">
        <f t="shared" si="24"/>
        <v>0</v>
      </c>
      <c r="AN71" s="606" t="str">
        <f t="shared" si="29"/>
        <v xml:space="preserve">    ---- </v>
      </c>
      <c r="AO71" s="564"/>
      <c r="AP71" s="564"/>
      <c r="AQ71" s="606"/>
      <c r="AR71" s="589"/>
      <c r="AS71" s="589"/>
      <c r="AT71" s="584"/>
      <c r="AU71" s="584"/>
    </row>
    <row r="72" spans="1:47" s="607" customFormat="1" ht="18.75" customHeight="1" x14ac:dyDescent="0.3">
      <c r="A72" s="612" t="s">
        <v>373</v>
      </c>
      <c r="B72" s="808"/>
      <c r="C72" s="809"/>
      <c r="D72" s="605"/>
      <c r="E72" s="808"/>
      <c r="F72" s="809"/>
      <c r="G72" s="606"/>
      <c r="H72" s="907"/>
      <c r="I72" s="605"/>
      <c r="J72" s="606"/>
      <c r="K72" s="808"/>
      <c r="L72" s="809"/>
      <c r="M72" s="605"/>
      <c r="N72" s="808"/>
      <c r="O72" s="809"/>
      <c r="P72" s="606"/>
      <c r="Q72" s="808"/>
      <c r="R72" s="605"/>
      <c r="S72" s="606"/>
      <c r="T72" s="808"/>
      <c r="U72" s="809"/>
      <c r="V72" s="606"/>
      <c r="W72" s="808"/>
      <c r="X72" s="809"/>
      <c r="Y72" s="606"/>
      <c r="Z72" s="808"/>
      <c r="AA72" s="809"/>
      <c r="AB72" s="606"/>
      <c r="AC72" s="808"/>
      <c r="AD72" s="809"/>
      <c r="AE72" s="606"/>
      <c r="AF72" s="808">
        <v>3.7999999999999999E-2</v>
      </c>
      <c r="AG72" s="809">
        <v>2</v>
      </c>
      <c r="AH72" s="606">
        <f t="shared" ref="AH72:AH82" si="30">IF(AF72=0, "    ---- ", IF(ABS(ROUND(100/AF72*AG72-100,1))&lt;999,ROUND(100/AF72*AG72-100,1),IF(ROUND(100/AF72*AG72-100,1)&gt;999,999,-999)))</f>
        <v>999</v>
      </c>
      <c r="AI72" s="808">
        <v>0</v>
      </c>
      <c r="AJ72" s="809"/>
      <c r="AK72" s="606" t="str">
        <f t="shared" ref="AK72" si="31">IF(AI72=0, "    ---- ", IF(ABS(ROUND(100/AI72*AJ72-100,1))&lt;999,ROUND(100/AI72*AJ72-100,1),IF(ROUND(100/AI72*AJ72-100,1)&gt;999,999,-999)))</f>
        <v xml:space="preserve">    ---- </v>
      </c>
      <c r="AL72" s="605">
        <f t="shared" si="24"/>
        <v>3.7999999999999999E-2</v>
      </c>
      <c r="AM72" s="605">
        <f t="shared" si="24"/>
        <v>2</v>
      </c>
      <c r="AN72" s="606">
        <f t="shared" si="29"/>
        <v>999</v>
      </c>
      <c r="AO72" s="564">
        <f t="shared" ref="AO72:AP82" si="32">+B72+E72+H72+K72+N72+Q72+T72+W72+Z72+AC72+AF72+AI72</f>
        <v>3.7999999999999999E-2</v>
      </c>
      <c r="AP72" s="564">
        <f t="shared" si="32"/>
        <v>2</v>
      </c>
      <c r="AQ72" s="606">
        <f t="shared" si="18"/>
        <v>999</v>
      </c>
      <c r="AR72" s="589"/>
      <c r="AS72" s="589"/>
      <c r="AT72" s="584"/>
      <c r="AU72" s="584"/>
    </row>
    <row r="73" spans="1:47" s="607" customFormat="1" ht="18.75" customHeight="1" x14ac:dyDescent="0.3">
      <c r="A73" s="612" t="s">
        <v>374</v>
      </c>
      <c r="B73" s="808"/>
      <c r="C73" s="809"/>
      <c r="D73" s="605"/>
      <c r="E73" s="808"/>
      <c r="F73" s="809"/>
      <c r="G73" s="606"/>
      <c r="H73" s="907"/>
      <c r="I73" s="605"/>
      <c r="J73" s="606"/>
      <c r="K73" s="808"/>
      <c r="L73" s="809"/>
      <c r="M73" s="605"/>
      <c r="N73" s="808"/>
      <c r="O73" s="809"/>
      <c r="P73" s="606"/>
      <c r="Q73" s="808"/>
      <c r="R73" s="605"/>
      <c r="S73" s="606"/>
      <c r="T73" s="808"/>
      <c r="U73" s="809"/>
      <c r="V73" s="606"/>
      <c r="W73" s="808"/>
      <c r="X73" s="809"/>
      <c r="Y73" s="606"/>
      <c r="Z73" s="808"/>
      <c r="AA73" s="809"/>
      <c r="AB73" s="606"/>
      <c r="AC73" s="808"/>
      <c r="AD73" s="809"/>
      <c r="AE73" s="606"/>
      <c r="AF73" s="808"/>
      <c r="AG73" s="809"/>
      <c r="AH73" s="606"/>
      <c r="AI73" s="808"/>
      <c r="AJ73" s="809"/>
      <c r="AK73" s="606"/>
      <c r="AL73" s="605">
        <f t="shared" si="24"/>
        <v>0</v>
      </c>
      <c r="AM73" s="605">
        <f t="shared" si="24"/>
        <v>0</v>
      </c>
      <c r="AN73" s="606" t="str">
        <f t="shared" si="29"/>
        <v xml:space="preserve">    ---- </v>
      </c>
      <c r="AO73" s="564">
        <f t="shared" si="32"/>
        <v>0</v>
      </c>
      <c r="AP73" s="564">
        <f t="shared" si="32"/>
        <v>0</v>
      </c>
      <c r="AQ73" s="606" t="str">
        <f t="shared" si="18"/>
        <v xml:space="preserve">    ---- </v>
      </c>
      <c r="AR73" s="589"/>
      <c r="AS73" s="589"/>
      <c r="AT73" s="584"/>
      <c r="AU73" s="584"/>
    </row>
    <row r="74" spans="1:47" s="607" customFormat="1" ht="18.75" customHeight="1" x14ac:dyDescent="0.3">
      <c r="A74" s="612" t="s">
        <v>375</v>
      </c>
      <c r="B74" s="808"/>
      <c r="C74" s="809"/>
      <c r="D74" s="605"/>
      <c r="E74" s="808"/>
      <c r="F74" s="809"/>
      <c r="G74" s="606"/>
      <c r="H74" s="907"/>
      <c r="I74" s="605"/>
      <c r="J74" s="606"/>
      <c r="K74" s="808"/>
      <c r="L74" s="809"/>
      <c r="M74" s="605"/>
      <c r="N74" s="808"/>
      <c r="O74" s="809"/>
      <c r="P74" s="606"/>
      <c r="Q74" s="808"/>
      <c r="R74" s="605"/>
      <c r="S74" s="606"/>
      <c r="T74" s="808"/>
      <c r="U74" s="809"/>
      <c r="V74" s="606"/>
      <c r="W74" s="808"/>
      <c r="X74" s="809"/>
      <c r="Y74" s="606"/>
      <c r="Z74" s="808"/>
      <c r="AA74" s="809"/>
      <c r="AB74" s="606"/>
      <c r="AC74" s="808"/>
      <c r="AD74" s="809"/>
      <c r="AE74" s="606"/>
      <c r="AF74" s="808">
        <v>-42.832000000000001</v>
      </c>
      <c r="AG74" s="809">
        <v>-10</v>
      </c>
      <c r="AH74" s="606">
        <f t="shared" si="30"/>
        <v>-76.7</v>
      </c>
      <c r="AI74" s="808">
        <v>-10.199999999999999</v>
      </c>
      <c r="AJ74" s="809">
        <v>-9</v>
      </c>
      <c r="AK74" s="606">
        <f t="shared" ref="AK74" si="33">IF(AI74=0, "    ---- ", IF(ABS(ROUND(100/AI74*AJ74-100,1))&lt;999,ROUND(100/AI74*AJ74-100,1),IF(ROUND(100/AI74*AJ74-100,1)&gt;999,999,-999)))</f>
        <v>-11.8</v>
      </c>
      <c r="AL74" s="605">
        <f t="shared" si="24"/>
        <v>-53.031999999999996</v>
      </c>
      <c r="AM74" s="605">
        <f t="shared" si="24"/>
        <v>-19</v>
      </c>
      <c r="AN74" s="606">
        <f t="shared" si="29"/>
        <v>-64.2</v>
      </c>
      <c r="AO74" s="564">
        <f t="shared" si="32"/>
        <v>-53.031999999999996</v>
      </c>
      <c r="AP74" s="564">
        <f t="shared" si="32"/>
        <v>-19</v>
      </c>
      <c r="AQ74" s="606">
        <f t="shared" si="18"/>
        <v>-64.2</v>
      </c>
      <c r="AR74" s="589"/>
      <c r="AS74" s="589"/>
      <c r="AT74" s="584"/>
      <c r="AU74" s="584"/>
    </row>
    <row r="75" spans="1:47" s="607" customFormat="1" ht="18.75" customHeight="1" x14ac:dyDescent="0.3">
      <c r="A75" s="612" t="s">
        <v>376</v>
      </c>
      <c r="B75" s="808"/>
      <c r="C75" s="809"/>
      <c r="D75" s="605"/>
      <c r="E75" s="808"/>
      <c r="F75" s="809"/>
      <c r="G75" s="606"/>
      <c r="H75" s="907"/>
      <c r="I75" s="605"/>
      <c r="J75" s="606"/>
      <c r="K75" s="808"/>
      <c r="L75" s="809"/>
      <c r="M75" s="605"/>
      <c r="N75" s="808"/>
      <c r="O75" s="809"/>
      <c r="P75" s="606"/>
      <c r="Q75" s="808"/>
      <c r="R75" s="605"/>
      <c r="S75" s="606"/>
      <c r="T75" s="808"/>
      <c r="U75" s="809"/>
      <c r="V75" s="606"/>
      <c r="W75" s="808"/>
      <c r="X75" s="809"/>
      <c r="Y75" s="606"/>
      <c r="Z75" s="808"/>
      <c r="AA75" s="809"/>
      <c r="AB75" s="606"/>
      <c r="AC75" s="808"/>
      <c r="AD75" s="809"/>
      <c r="AE75" s="606"/>
      <c r="AF75" s="808"/>
      <c r="AG75" s="809"/>
      <c r="AH75" s="606"/>
      <c r="AI75" s="808"/>
      <c r="AJ75" s="809"/>
      <c r="AK75" s="606"/>
      <c r="AL75" s="605">
        <f t="shared" si="24"/>
        <v>0</v>
      </c>
      <c r="AM75" s="605">
        <f t="shared" si="24"/>
        <v>0</v>
      </c>
      <c r="AN75" s="606" t="str">
        <f t="shared" si="29"/>
        <v xml:space="preserve">    ---- </v>
      </c>
      <c r="AO75" s="564">
        <f t="shared" si="32"/>
        <v>0</v>
      </c>
      <c r="AP75" s="564">
        <f t="shared" si="32"/>
        <v>0</v>
      </c>
      <c r="AQ75" s="606" t="str">
        <f t="shared" si="18"/>
        <v xml:space="preserve">    ---- </v>
      </c>
      <c r="AR75" s="589"/>
      <c r="AS75" s="589"/>
      <c r="AT75" s="584"/>
      <c r="AU75" s="584"/>
    </row>
    <row r="76" spans="1:47" s="607" customFormat="1" ht="18.75" customHeight="1" x14ac:dyDescent="0.3">
      <c r="A76" s="612" t="s">
        <v>377</v>
      </c>
      <c r="B76" s="808"/>
      <c r="C76" s="809"/>
      <c r="D76" s="605"/>
      <c r="E76" s="808"/>
      <c r="F76" s="809"/>
      <c r="G76" s="606"/>
      <c r="H76" s="907"/>
      <c r="I76" s="605"/>
      <c r="J76" s="606"/>
      <c r="K76" s="808"/>
      <c r="L76" s="809"/>
      <c r="M76" s="605"/>
      <c r="N76" s="808"/>
      <c r="O76" s="809"/>
      <c r="P76" s="606"/>
      <c r="Q76" s="808"/>
      <c r="R76" s="605"/>
      <c r="S76" s="606"/>
      <c r="T76" s="808"/>
      <c r="U76" s="809"/>
      <c r="V76" s="606"/>
      <c r="W76" s="808"/>
      <c r="X76" s="809"/>
      <c r="Y76" s="606"/>
      <c r="Z76" s="808"/>
      <c r="AA76" s="809"/>
      <c r="AB76" s="606"/>
      <c r="AC76" s="808"/>
      <c r="AD76" s="809"/>
      <c r="AE76" s="606"/>
      <c r="AF76" s="808"/>
      <c r="AG76" s="809"/>
      <c r="AH76" s="606"/>
      <c r="AI76" s="808"/>
      <c r="AJ76" s="809"/>
      <c r="AK76" s="606"/>
      <c r="AL76" s="605">
        <f t="shared" si="24"/>
        <v>0</v>
      </c>
      <c r="AM76" s="605">
        <f t="shared" si="24"/>
        <v>0</v>
      </c>
      <c r="AN76" s="606" t="str">
        <f t="shared" si="29"/>
        <v xml:space="preserve">    ---- </v>
      </c>
      <c r="AO76" s="564">
        <f t="shared" si="32"/>
        <v>0</v>
      </c>
      <c r="AP76" s="564">
        <f t="shared" si="32"/>
        <v>0</v>
      </c>
      <c r="AQ76" s="606" t="str">
        <f t="shared" si="18"/>
        <v xml:space="preserve">    ---- </v>
      </c>
      <c r="AR76" s="589"/>
      <c r="AS76" s="589"/>
      <c r="AT76" s="584"/>
      <c r="AU76" s="584"/>
    </row>
    <row r="77" spans="1:47" s="607" customFormat="1" ht="18.75" customHeight="1" x14ac:dyDescent="0.3">
      <c r="A77" s="612" t="s">
        <v>378</v>
      </c>
      <c r="B77" s="808"/>
      <c r="C77" s="809"/>
      <c r="D77" s="605"/>
      <c r="E77" s="808"/>
      <c r="F77" s="809"/>
      <c r="G77" s="606"/>
      <c r="H77" s="907"/>
      <c r="I77" s="605"/>
      <c r="J77" s="606"/>
      <c r="K77" s="808"/>
      <c r="L77" s="809"/>
      <c r="M77" s="605"/>
      <c r="N77" s="808"/>
      <c r="O77" s="809"/>
      <c r="P77" s="606"/>
      <c r="Q77" s="808"/>
      <c r="R77" s="605"/>
      <c r="S77" s="606"/>
      <c r="T77" s="808"/>
      <c r="U77" s="809"/>
      <c r="V77" s="606"/>
      <c r="W77" s="808"/>
      <c r="X77" s="809"/>
      <c r="Y77" s="606"/>
      <c r="Z77" s="808"/>
      <c r="AA77" s="809"/>
      <c r="AB77" s="606"/>
      <c r="AC77" s="808"/>
      <c r="AD77" s="809"/>
      <c r="AE77" s="606"/>
      <c r="AF77" s="808">
        <v>-7.6210000000000004</v>
      </c>
      <c r="AG77" s="809">
        <v>-5</v>
      </c>
      <c r="AH77" s="606">
        <f t="shared" si="30"/>
        <v>-34.4</v>
      </c>
      <c r="AI77" s="808"/>
      <c r="AJ77" s="809"/>
      <c r="AK77" s="606"/>
      <c r="AL77" s="605">
        <f t="shared" si="24"/>
        <v>-7.6210000000000004</v>
      </c>
      <c r="AM77" s="605">
        <f t="shared" si="24"/>
        <v>-5</v>
      </c>
      <c r="AN77" s="606">
        <f t="shared" si="29"/>
        <v>-34.4</v>
      </c>
      <c r="AO77" s="564">
        <f t="shared" si="32"/>
        <v>-7.6210000000000004</v>
      </c>
      <c r="AP77" s="564">
        <f t="shared" si="32"/>
        <v>-5</v>
      </c>
      <c r="AQ77" s="606">
        <f t="shared" si="18"/>
        <v>-34.4</v>
      </c>
      <c r="AR77" s="589"/>
      <c r="AS77" s="589"/>
      <c r="AT77" s="584"/>
      <c r="AU77" s="584"/>
    </row>
    <row r="78" spans="1:47" s="607" customFormat="1" ht="18.75" customHeight="1" x14ac:dyDescent="0.3">
      <c r="A78" s="612" t="s">
        <v>379</v>
      </c>
      <c r="B78" s="808"/>
      <c r="C78" s="809"/>
      <c r="D78" s="605"/>
      <c r="E78" s="808"/>
      <c r="F78" s="809"/>
      <c r="G78" s="606"/>
      <c r="H78" s="907"/>
      <c r="I78" s="605"/>
      <c r="J78" s="606"/>
      <c r="K78" s="808"/>
      <c r="L78" s="809"/>
      <c r="M78" s="605"/>
      <c r="N78" s="808"/>
      <c r="O78" s="809"/>
      <c r="P78" s="606"/>
      <c r="Q78" s="808"/>
      <c r="R78" s="605"/>
      <c r="S78" s="606"/>
      <c r="T78" s="808"/>
      <c r="U78" s="809"/>
      <c r="V78" s="606"/>
      <c r="W78" s="808"/>
      <c r="X78" s="809"/>
      <c r="Y78" s="606"/>
      <c r="Z78" s="808"/>
      <c r="AA78" s="809"/>
      <c r="AB78" s="606"/>
      <c r="AC78" s="808"/>
      <c r="AD78" s="809"/>
      <c r="AE78" s="606"/>
      <c r="AF78" s="808"/>
      <c r="AG78" s="809"/>
      <c r="AH78" s="606"/>
      <c r="AI78" s="808"/>
      <c r="AJ78" s="809"/>
      <c r="AK78" s="606"/>
      <c r="AL78" s="605">
        <f t="shared" si="24"/>
        <v>0</v>
      </c>
      <c r="AM78" s="605">
        <f t="shared" si="24"/>
        <v>0</v>
      </c>
      <c r="AN78" s="606" t="str">
        <f t="shared" si="29"/>
        <v xml:space="preserve">    ---- </v>
      </c>
      <c r="AO78" s="564">
        <f t="shared" si="32"/>
        <v>0</v>
      </c>
      <c r="AP78" s="564">
        <f t="shared" si="32"/>
        <v>0</v>
      </c>
      <c r="AQ78" s="606" t="str">
        <f t="shared" si="18"/>
        <v xml:space="preserve">    ---- </v>
      </c>
      <c r="AR78" s="589"/>
      <c r="AS78" s="589"/>
      <c r="AT78" s="584"/>
      <c r="AU78" s="584"/>
    </row>
    <row r="79" spans="1:47" s="607" customFormat="1" ht="18.75" customHeight="1" x14ac:dyDescent="0.3">
      <c r="A79" s="612" t="s">
        <v>380</v>
      </c>
      <c r="B79" s="808"/>
      <c r="C79" s="809"/>
      <c r="D79" s="605"/>
      <c r="E79" s="808"/>
      <c r="F79" s="809"/>
      <c r="G79" s="606"/>
      <c r="H79" s="907"/>
      <c r="I79" s="605"/>
      <c r="J79" s="606"/>
      <c r="K79" s="808"/>
      <c r="L79" s="809"/>
      <c r="M79" s="605"/>
      <c r="N79" s="808"/>
      <c r="O79" s="809"/>
      <c r="P79" s="606"/>
      <c r="Q79" s="808"/>
      <c r="R79" s="605"/>
      <c r="S79" s="606"/>
      <c r="T79" s="808"/>
      <c r="U79" s="809"/>
      <c r="V79" s="606"/>
      <c r="W79" s="808"/>
      <c r="X79" s="809"/>
      <c r="Y79" s="606"/>
      <c r="Z79" s="808"/>
      <c r="AA79" s="809"/>
      <c r="AB79" s="606"/>
      <c r="AC79" s="808"/>
      <c r="AD79" s="809"/>
      <c r="AE79" s="606"/>
      <c r="AF79" s="808"/>
      <c r="AG79" s="809"/>
      <c r="AH79" s="606"/>
      <c r="AI79" s="808"/>
      <c r="AJ79" s="809"/>
      <c r="AK79" s="606"/>
      <c r="AL79" s="605">
        <f t="shared" si="24"/>
        <v>0</v>
      </c>
      <c r="AM79" s="605">
        <f t="shared" si="24"/>
        <v>0</v>
      </c>
      <c r="AN79" s="606" t="str">
        <f t="shared" si="29"/>
        <v xml:space="preserve">    ---- </v>
      </c>
      <c r="AO79" s="564">
        <f t="shared" si="32"/>
        <v>0</v>
      </c>
      <c r="AP79" s="564">
        <f t="shared" si="32"/>
        <v>0</v>
      </c>
      <c r="AQ79" s="606" t="str">
        <f t="shared" si="18"/>
        <v xml:space="preserve">    ---- </v>
      </c>
      <c r="AR79" s="589"/>
      <c r="AS79" s="589"/>
      <c r="AT79" s="584"/>
      <c r="AU79" s="584"/>
    </row>
    <row r="80" spans="1:47" s="607" customFormat="1" ht="18.75" customHeight="1" x14ac:dyDescent="0.3">
      <c r="A80" s="611" t="s">
        <v>381</v>
      </c>
      <c r="B80" s="801"/>
      <c r="C80" s="811"/>
      <c r="D80" s="603"/>
      <c r="E80" s="810"/>
      <c r="F80" s="811"/>
      <c r="G80" s="604"/>
      <c r="H80" s="908"/>
      <c r="I80" s="603"/>
      <c r="J80" s="604"/>
      <c r="K80" s="810"/>
      <c r="L80" s="811"/>
      <c r="M80" s="603"/>
      <c r="N80" s="810"/>
      <c r="O80" s="811"/>
      <c r="P80" s="604"/>
      <c r="Q80" s="810"/>
      <c r="R80" s="603"/>
      <c r="S80" s="604"/>
      <c r="T80" s="810"/>
      <c r="U80" s="811"/>
      <c r="V80" s="604"/>
      <c r="W80" s="810"/>
      <c r="X80" s="811"/>
      <c r="Y80" s="604"/>
      <c r="Z80" s="810"/>
      <c r="AA80" s="811"/>
      <c r="AB80" s="604"/>
      <c r="AC80" s="810"/>
      <c r="AD80" s="811"/>
      <c r="AE80" s="604"/>
      <c r="AF80" s="810">
        <v>-50.415000000000006</v>
      </c>
      <c r="AG80" s="811">
        <f>SUM(AG72:AG77)+AG79</f>
        <v>-13</v>
      </c>
      <c r="AH80" s="604">
        <f t="shared" si="30"/>
        <v>-74.2</v>
      </c>
      <c r="AI80" s="810">
        <v>-10.199999999999999</v>
      </c>
      <c r="AJ80" s="811">
        <f>SUM(AJ72:AJ77)+AJ79</f>
        <v>-9</v>
      </c>
      <c r="AK80" s="606">
        <f t="shared" ref="AK80" si="34">IF(AI80=0, "    ---- ", IF(ABS(ROUND(100/AI80*AJ80-100,1))&lt;999,ROUND(100/AI80*AJ80-100,1),IF(ROUND(100/AI80*AJ80-100,1)&gt;999,999,-999)))</f>
        <v>-11.8</v>
      </c>
      <c r="AL80" s="603">
        <f>B80+E80+H80+K80+Q80+T80+W80+Z80+AF80+AI80</f>
        <v>-60.615000000000009</v>
      </c>
      <c r="AM80" s="603">
        <f>C80+F80+I80+L80+R80+U80+X80+AA80+AG80+AJ80</f>
        <v>-22</v>
      </c>
      <c r="AN80" s="604">
        <f>IF(AL80=0, "    ---- ", IF(ABS(ROUND(100/AL80*AM80-100,1))&lt;999,ROUND(100/AL80*AM80-100,1),IF(ROUND(100/AL80*AM80-100,1)&gt;999,999,-999)))</f>
        <v>-63.7</v>
      </c>
      <c r="AO80" s="566">
        <f t="shared" si="32"/>
        <v>-60.615000000000009</v>
      </c>
      <c r="AP80" s="566">
        <f t="shared" si="32"/>
        <v>-22</v>
      </c>
      <c r="AQ80" s="604">
        <f t="shared" si="18"/>
        <v>-63.7</v>
      </c>
      <c r="AR80" s="608" t="e">
        <f>B80,C80,E80,F80,H80,I80,K80,L80,N80,O80,Q80,R80,T80,U80,W80,X80,Z80,AA80,AC80,AD80,#REF!,#REF!,AF80,AG80,AI80,AJ80,AL80,AM80,AO80,AP80</f>
        <v>#REF!</v>
      </c>
      <c r="AS80" s="589"/>
      <c r="AT80" s="584"/>
      <c r="AU80" s="584"/>
    </row>
    <row r="81" spans="1:47" s="607" customFormat="1" ht="18.75" customHeight="1" x14ac:dyDescent="0.3">
      <c r="A81" s="612" t="s">
        <v>382</v>
      </c>
      <c r="B81" s="808"/>
      <c r="C81" s="809"/>
      <c r="D81" s="605"/>
      <c r="E81" s="808"/>
      <c r="F81" s="809"/>
      <c r="G81" s="606"/>
      <c r="H81" s="907"/>
      <c r="I81" s="605"/>
      <c r="J81" s="606"/>
      <c r="K81" s="808"/>
      <c r="L81" s="809"/>
      <c r="M81" s="605"/>
      <c r="N81" s="808"/>
      <c r="O81" s="809"/>
      <c r="P81" s="606"/>
      <c r="Q81" s="808"/>
      <c r="R81" s="605"/>
      <c r="S81" s="606"/>
      <c r="T81" s="808"/>
      <c r="U81" s="809"/>
      <c r="V81" s="606"/>
      <c r="W81" s="808"/>
      <c r="X81" s="809"/>
      <c r="Y81" s="606"/>
      <c r="Z81" s="808"/>
      <c r="AA81" s="809"/>
      <c r="AB81" s="606"/>
      <c r="AC81" s="808"/>
      <c r="AD81" s="809"/>
      <c r="AE81" s="606"/>
      <c r="AF81" s="808">
        <v>3.7999999999999999E-2</v>
      </c>
      <c r="AG81" s="809">
        <v>3</v>
      </c>
      <c r="AH81" s="606">
        <f t="shared" si="30"/>
        <v>999</v>
      </c>
      <c r="AI81" s="808">
        <v>0</v>
      </c>
      <c r="AJ81" s="809"/>
      <c r="AK81" s="606"/>
      <c r="AL81" s="605">
        <f t="shared" si="24"/>
        <v>3.7999999999999999E-2</v>
      </c>
      <c r="AM81" s="605">
        <f t="shared" si="24"/>
        <v>3</v>
      </c>
      <c r="AN81" s="606">
        <f t="shared" ref="AN81:AN83" si="35">IF(AL81=0, "    ---- ", IF(ABS(ROUND(100/AL81*AM81-100,1))&lt;999,ROUND(100/AL81*AM81-100,1),IF(ROUND(100/AL81*AM81-100,1)&gt;999,999,-999)))</f>
        <v>999</v>
      </c>
      <c r="AO81" s="564">
        <f t="shared" si="32"/>
        <v>3.7999999999999999E-2</v>
      </c>
      <c r="AP81" s="564">
        <f t="shared" si="32"/>
        <v>3</v>
      </c>
      <c r="AQ81" s="606">
        <f t="shared" si="18"/>
        <v>999</v>
      </c>
      <c r="AR81" s="589"/>
      <c r="AS81" s="589"/>
      <c r="AT81" s="584"/>
      <c r="AU81" s="584"/>
    </row>
    <row r="82" spans="1:47" s="607" customFormat="1" ht="18.75" customHeight="1" x14ac:dyDescent="0.3">
      <c r="A82" s="612" t="s">
        <v>383</v>
      </c>
      <c r="B82" s="808"/>
      <c r="C82" s="809"/>
      <c r="D82" s="605"/>
      <c r="E82" s="808"/>
      <c r="F82" s="809"/>
      <c r="G82" s="606"/>
      <c r="H82" s="907"/>
      <c r="I82" s="605"/>
      <c r="J82" s="606"/>
      <c r="K82" s="808"/>
      <c r="L82" s="809"/>
      <c r="M82" s="605"/>
      <c r="N82" s="808"/>
      <c r="O82" s="809"/>
      <c r="P82" s="606"/>
      <c r="Q82" s="808"/>
      <c r="R82" s="605"/>
      <c r="S82" s="606"/>
      <c r="T82" s="808"/>
      <c r="U82" s="809"/>
      <c r="V82" s="606"/>
      <c r="W82" s="808"/>
      <c r="X82" s="809"/>
      <c r="Y82" s="606"/>
      <c r="Z82" s="808"/>
      <c r="AA82" s="809"/>
      <c r="AB82" s="606"/>
      <c r="AC82" s="808"/>
      <c r="AD82" s="809"/>
      <c r="AE82" s="606"/>
      <c r="AF82" s="808">
        <v>-50.453000000000003</v>
      </c>
      <c r="AG82" s="809">
        <v>-16</v>
      </c>
      <c r="AH82" s="606">
        <f t="shared" si="30"/>
        <v>-68.3</v>
      </c>
      <c r="AI82" s="808">
        <v>-10.199999999999999</v>
      </c>
      <c r="AJ82" s="809">
        <v>-9</v>
      </c>
      <c r="AK82" s="606">
        <f t="shared" ref="AK82" si="36">IF(AI82=0, "    ---- ", IF(ABS(ROUND(100/AI82*AJ82-100,1))&lt;999,ROUND(100/AI82*AJ82-100,1),IF(ROUND(100/AI82*AJ82-100,1)&gt;999,999,-999)))</f>
        <v>-11.8</v>
      </c>
      <c r="AL82" s="605">
        <f t="shared" si="24"/>
        <v>-60.653000000000006</v>
      </c>
      <c r="AM82" s="605">
        <f t="shared" si="24"/>
        <v>-25</v>
      </c>
      <c r="AN82" s="606">
        <f t="shared" si="35"/>
        <v>-58.8</v>
      </c>
      <c r="AO82" s="564">
        <f t="shared" si="32"/>
        <v>-60.653000000000006</v>
      </c>
      <c r="AP82" s="564">
        <f t="shared" si="32"/>
        <v>-25</v>
      </c>
      <c r="AQ82" s="606">
        <f t="shared" si="18"/>
        <v>-58.8</v>
      </c>
      <c r="AR82" s="589"/>
      <c r="AS82" s="589"/>
      <c r="AT82" s="584"/>
      <c r="AU82" s="584"/>
    </row>
    <row r="83" spans="1:47" s="607" customFormat="1" ht="18.75" customHeight="1" x14ac:dyDescent="0.3">
      <c r="A83" s="550" t="s">
        <v>399</v>
      </c>
      <c r="B83" s="808"/>
      <c r="C83" s="809"/>
      <c r="D83" s="605"/>
      <c r="E83" s="808"/>
      <c r="F83" s="809"/>
      <c r="G83" s="606"/>
      <c r="H83" s="907"/>
      <c r="I83" s="605"/>
      <c r="J83" s="606"/>
      <c r="K83" s="808"/>
      <c r="L83" s="809"/>
      <c r="M83" s="605"/>
      <c r="N83" s="808"/>
      <c r="O83" s="809"/>
      <c r="P83" s="606"/>
      <c r="Q83" s="808"/>
      <c r="R83" s="605"/>
      <c r="S83" s="606"/>
      <c r="T83" s="808"/>
      <c r="U83" s="809"/>
      <c r="V83" s="606"/>
      <c r="W83" s="808"/>
      <c r="X83" s="809"/>
      <c r="Y83" s="606"/>
      <c r="Z83" s="808"/>
      <c r="AA83" s="809"/>
      <c r="AB83" s="606"/>
      <c r="AC83" s="808"/>
      <c r="AD83" s="809"/>
      <c r="AE83" s="606"/>
      <c r="AF83" s="808"/>
      <c r="AG83" s="809"/>
      <c r="AH83" s="606"/>
      <c r="AI83" s="808"/>
      <c r="AJ83" s="809"/>
      <c r="AK83" s="606"/>
      <c r="AL83" s="605">
        <f t="shared" si="24"/>
        <v>0</v>
      </c>
      <c r="AM83" s="605">
        <f t="shared" si="24"/>
        <v>0</v>
      </c>
      <c r="AN83" s="606" t="str">
        <f t="shared" si="35"/>
        <v xml:space="preserve">    ---- </v>
      </c>
      <c r="AO83" s="564"/>
      <c r="AP83" s="564"/>
      <c r="AQ83" s="606"/>
      <c r="AR83" s="589"/>
      <c r="AS83" s="589"/>
      <c r="AT83" s="584"/>
      <c r="AU83" s="584"/>
    </row>
    <row r="84" spans="1:47" s="607" customFormat="1" ht="18.75" customHeight="1" x14ac:dyDescent="0.3">
      <c r="A84" s="556" t="s">
        <v>373</v>
      </c>
      <c r="B84" s="808"/>
      <c r="C84" s="809"/>
      <c r="D84" s="605"/>
      <c r="E84" s="808">
        <v>511</v>
      </c>
      <c r="F84" s="809">
        <v>485.71699999999998</v>
      </c>
      <c r="G84" s="606">
        <f>IF(E84=0, "    ---- ", IF(ABS(ROUND(100/E84*F84-100,1))&lt;999,ROUND(100/E84*F84-100,1),IF(ROUND(100/E84*F84-100,1)&gt;999,999,-999)))</f>
        <v>-4.9000000000000004</v>
      </c>
      <c r="H84" s="907"/>
      <c r="I84" s="605"/>
      <c r="J84" s="606"/>
      <c r="K84" s="808">
        <v>88.8</v>
      </c>
      <c r="L84" s="809">
        <v>49.5</v>
      </c>
      <c r="M84" s="605">
        <f>IF(K84=0, "    ---- ", IF(ABS(ROUND(100/K84*L84-100,1))&lt;999,ROUND(100/K84*L84-100,1),IF(ROUND(100/K84*L84-100,1)&gt;999,999,-999)))</f>
        <v>-44.3</v>
      </c>
      <c r="N84" s="808"/>
      <c r="O84" s="809"/>
      <c r="P84" s="606"/>
      <c r="Q84" s="808"/>
      <c r="R84" s="605"/>
      <c r="S84" s="606"/>
      <c r="T84" s="808">
        <v>16</v>
      </c>
      <c r="U84" s="809">
        <v>7</v>
      </c>
      <c r="V84" s="606">
        <f t="shared" ref="V84:V86" si="37">IF(T84=0, "    ---- ", IF(ABS(ROUND(100/T84*U84-100,1))&lt;999,ROUND(100/T84*U84-100,1),IF(ROUND(100/T84*U84-100,1)&gt;999,999,-999)))</f>
        <v>-56.3</v>
      </c>
      <c r="W84" s="808">
        <v>584.19677436413451</v>
      </c>
      <c r="X84" s="809">
        <v>597.69000280119269</v>
      </c>
      <c r="Y84" s="606">
        <f>IF(W84=0, "    ---- ", IF(ABS(ROUND(100/W84*X84-100,1))&lt;999,ROUND(100/W84*X84-100,1),IF(ROUND(100/W84*X84-100,1)&gt;999,999,-999)))</f>
        <v>2.2999999999999998</v>
      </c>
      <c r="Z84" s="808"/>
      <c r="AA84" s="809"/>
      <c r="AB84" s="606"/>
      <c r="AC84" s="808"/>
      <c r="AD84" s="809"/>
      <c r="AE84" s="606"/>
      <c r="AF84" s="808">
        <v>160.09399999999999</v>
      </c>
      <c r="AG84" s="809">
        <v>621</v>
      </c>
      <c r="AH84" s="606">
        <f>IF(AF84=0, "    ---- ", IF(ABS(ROUND(100/AF84*AG84-100,1))&lt;999,ROUND(100/AF84*AG84-100,1),IF(ROUND(100/AF84*AG84-100,1)&gt;999,999,-999)))</f>
        <v>287.89999999999998</v>
      </c>
      <c r="AI84" s="808">
        <v>350.7</v>
      </c>
      <c r="AJ84" s="809">
        <v>744</v>
      </c>
      <c r="AK84" s="606">
        <f>IF(AI84=0, "    ---- ", IF(ABS(ROUND(100/AI84*AJ84-100,1))&lt;999,ROUND(100/AI84*AJ84-100,1),IF(ROUND(100/AI84*AJ84-100,1)&gt;999,999,-999)))</f>
        <v>112.1</v>
      </c>
      <c r="AL84" s="605">
        <f t="shared" si="24"/>
        <v>1710.7907743641347</v>
      </c>
      <c r="AM84" s="605">
        <f t="shared" si="24"/>
        <v>2504.9070028011929</v>
      </c>
      <c r="AN84" s="606">
        <f t="shared" si="17"/>
        <v>46.4</v>
      </c>
      <c r="AO84" s="564">
        <f t="shared" ref="AO84:AP94" si="38">+B84+E84+H84+K84+N84+Q84+T84+W84+Z84+AC84+AF84+AI84</f>
        <v>1710.7907743641347</v>
      </c>
      <c r="AP84" s="564">
        <f t="shared" si="38"/>
        <v>2504.9070028011929</v>
      </c>
      <c r="AQ84" s="606">
        <f t="shared" si="18"/>
        <v>46.4</v>
      </c>
      <c r="AR84" s="589"/>
      <c r="AS84" s="589"/>
      <c r="AT84" s="584"/>
      <c r="AU84" s="584"/>
    </row>
    <row r="85" spans="1:47" s="607" customFormat="1" ht="18.75" customHeight="1" x14ac:dyDescent="0.3">
      <c r="A85" s="556" t="s">
        <v>374</v>
      </c>
      <c r="B85" s="808"/>
      <c r="C85" s="809"/>
      <c r="D85" s="605"/>
      <c r="E85" s="808">
        <v>-57</v>
      </c>
      <c r="F85" s="809">
        <v>-23.042000000000002</v>
      </c>
      <c r="G85" s="606"/>
      <c r="H85" s="907"/>
      <c r="I85" s="605"/>
      <c r="J85" s="606"/>
      <c r="K85" s="808"/>
      <c r="L85" s="809"/>
      <c r="M85" s="605"/>
      <c r="N85" s="808"/>
      <c r="O85" s="809"/>
      <c r="P85" s="606"/>
      <c r="Q85" s="808"/>
      <c r="R85" s="605"/>
      <c r="S85" s="606"/>
      <c r="T85" s="808">
        <v>-5</v>
      </c>
      <c r="U85" s="809">
        <v>1</v>
      </c>
      <c r="V85" s="606">
        <f t="shared" si="37"/>
        <v>-120</v>
      </c>
      <c r="W85" s="808">
        <v>-301.15277700000001</v>
      </c>
      <c r="X85" s="809">
        <v>-324.02463599999999</v>
      </c>
      <c r="Y85" s="606">
        <f>IF(W85=0, "    ---- ", IF(ABS(ROUND(100/W85*X85-100,1))&lt;999,ROUND(100/W85*X85-100,1),IF(ROUND(100/W85*X85-100,1)&gt;999,999,-999)))</f>
        <v>7.6</v>
      </c>
      <c r="Z85" s="808"/>
      <c r="AA85" s="809"/>
      <c r="AB85" s="606"/>
      <c r="AC85" s="808"/>
      <c r="AD85" s="809"/>
      <c r="AE85" s="606"/>
      <c r="AF85" s="808">
        <v>-134.88200000000001</v>
      </c>
      <c r="AG85" s="809">
        <v>-327</v>
      </c>
      <c r="AH85" s="606">
        <f>IF(AF85=0, "    ---- ", IF(ABS(ROUND(100/AF85*AG85-100,1))&lt;999,ROUND(100/AF85*AG85-100,1),IF(ROUND(100/AF85*AG85-100,1)&gt;999,999,-999)))</f>
        <v>142.4</v>
      </c>
      <c r="AI85" s="808">
        <v>-248.8</v>
      </c>
      <c r="AJ85" s="809">
        <v>-646</v>
      </c>
      <c r="AK85" s="606">
        <f>IF(AI85=0, "    ---- ", IF(ABS(ROUND(100/AI85*AJ85-100,1))&lt;999,ROUND(100/AI85*AJ85-100,1),IF(ROUND(100/AI85*AJ85-100,1)&gt;999,999,-999)))</f>
        <v>159.6</v>
      </c>
      <c r="AL85" s="605">
        <f t="shared" si="24"/>
        <v>-746.83477700000003</v>
      </c>
      <c r="AM85" s="605">
        <f t="shared" si="24"/>
        <v>-1319.066636</v>
      </c>
      <c r="AN85" s="606">
        <f t="shared" si="17"/>
        <v>76.599999999999994</v>
      </c>
      <c r="AO85" s="564">
        <f t="shared" si="38"/>
        <v>-746.83477700000003</v>
      </c>
      <c r="AP85" s="564">
        <f t="shared" si="38"/>
        <v>-1319.066636</v>
      </c>
      <c r="AQ85" s="606">
        <f t="shared" si="18"/>
        <v>76.599999999999994</v>
      </c>
      <c r="AR85" s="589"/>
      <c r="AS85" s="589"/>
      <c r="AT85" s="584"/>
      <c r="AU85" s="584"/>
    </row>
    <row r="86" spans="1:47" s="607" customFormat="1" ht="18.75" customHeight="1" x14ac:dyDescent="0.3">
      <c r="A86" s="556" t="s">
        <v>375</v>
      </c>
      <c r="B86" s="808"/>
      <c r="C86" s="809"/>
      <c r="D86" s="605"/>
      <c r="E86" s="808">
        <v>146</v>
      </c>
      <c r="F86" s="809">
        <v>137.52699999999999</v>
      </c>
      <c r="G86" s="606">
        <f>IF(E86=0, "    ---- ", IF(ABS(ROUND(100/E86*F86-100,1))&lt;999,ROUND(100/E86*F86-100,1),IF(ROUND(100/E86*F86-100,1)&gt;999,999,-999)))</f>
        <v>-5.8</v>
      </c>
      <c r="H86" s="907"/>
      <c r="I86" s="605"/>
      <c r="J86" s="606"/>
      <c r="K86" s="808">
        <v>-10.8</v>
      </c>
      <c r="L86" s="809">
        <v>-9.6999999999999993</v>
      </c>
      <c r="M86" s="605">
        <f>IF(K86=0, "    ---- ", IF(ABS(ROUND(100/K86*L86-100,1))&lt;999,ROUND(100/K86*L86-100,1),IF(ROUND(100/K86*L86-100,1)&gt;999,999,-999)))</f>
        <v>-10.199999999999999</v>
      </c>
      <c r="N86" s="808"/>
      <c r="O86" s="809"/>
      <c r="P86" s="606"/>
      <c r="Q86" s="808"/>
      <c r="R86" s="605"/>
      <c r="S86" s="606"/>
      <c r="T86" s="808">
        <v>-9</v>
      </c>
      <c r="U86" s="809">
        <v>-9</v>
      </c>
      <c r="V86" s="606">
        <f t="shared" si="37"/>
        <v>0</v>
      </c>
      <c r="W86" s="808">
        <v>8.4244522231992782</v>
      </c>
      <c r="X86" s="809">
        <v>33.224476462181705</v>
      </c>
      <c r="Y86" s="606">
        <f>IF(W86=0, "    ---- ", IF(ABS(ROUND(100/W86*X86-100,1))&lt;999,ROUND(100/W86*X86-100,1),IF(ROUND(100/W86*X86-100,1)&gt;999,999,-999)))</f>
        <v>294.39999999999998</v>
      </c>
      <c r="Z86" s="808"/>
      <c r="AA86" s="809"/>
      <c r="AB86" s="606"/>
      <c r="AC86" s="808"/>
      <c r="AD86" s="809"/>
      <c r="AE86" s="606"/>
      <c r="AF86" s="808">
        <v>-45.951000000000001</v>
      </c>
      <c r="AG86" s="809">
        <v>-400</v>
      </c>
      <c r="AH86" s="606">
        <f>IF(AF86=0, "    ---- ", IF(ABS(ROUND(100/AF86*AG86-100,1))&lt;999,ROUND(100/AF86*AG86-100,1),IF(ROUND(100/AF86*AG86-100,1)&gt;999,999,-999)))</f>
        <v>770.5</v>
      </c>
      <c r="AI86" s="808">
        <v>139.19999999999999</v>
      </c>
      <c r="AJ86" s="809">
        <f>171+72</f>
        <v>243</v>
      </c>
      <c r="AK86" s="606">
        <f>IF(AI86=0, "    ---- ", IF(ABS(ROUND(100/AI86*AJ86-100,1))&lt;999,ROUND(100/AI86*AJ86-100,1),IF(ROUND(100/AI86*AJ86-100,1)&gt;999,999,-999)))</f>
        <v>74.599999999999994</v>
      </c>
      <c r="AL86" s="605">
        <f t="shared" si="24"/>
        <v>227.87345222319925</v>
      </c>
      <c r="AM86" s="605">
        <f t="shared" si="24"/>
        <v>-4.9485235378183177</v>
      </c>
      <c r="AN86" s="606">
        <f t="shared" si="17"/>
        <v>-102.2</v>
      </c>
      <c r="AO86" s="564">
        <f t="shared" si="38"/>
        <v>227.87345222319925</v>
      </c>
      <c r="AP86" s="564">
        <f t="shared" si="38"/>
        <v>-4.9485235378183177</v>
      </c>
      <c r="AQ86" s="606">
        <f t="shared" si="18"/>
        <v>-102.2</v>
      </c>
      <c r="AR86" s="589"/>
      <c r="AS86" s="589"/>
      <c r="AT86" s="584"/>
      <c r="AU86" s="584"/>
    </row>
    <row r="87" spans="1:47" s="607" customFormat="1" ht="18.75" customHeight="1" x14ac:dyDescent="0.3">
      <c r="A87" s="556" t="s">
        <v>376</v>
      </c>
      <c r="B87" s="808"/>
      <c r="C87" s="809"/>
      <c r="D87" s="605"/>
      <c r="E87" s="808"/>
      <c r="F87" s="809"/>
      <c r="G87" s="606"/>
      <c r="H87" s="907"/>
      <c r="I87" s="605"/>
      <c r="J87" s="606"/>
      <c r="K87" s="808"/>
      <c r="L87" s="809"/>
      <c r="M87" s="605"/>
      <c r="N87" s="808"/>
      <c r="O87" s="809"/>
      <c r="P87" s="606"/>
      <c r="Q87" s="808"/>
      <c r="R87" s="605"/>
      <c r="S87" s="606"/>
      <c r="T87" s="808"/>
      <c r="U87" s="809"/>
      <c r="V87" s="606"/>
      <c r="W87" s="808">
        <v>0</v>
      </c>
      <c r="X87" s="809">
        <v>0</v>
      </c>
      <c r="Y87" s="606" t="str">
        <f t="shared" ref="Y87" si="39">IF(W87=0, "    ---- ", IF(ABS(ROUND(100/W87*X87-100,1))&lt;999,ROUND(100/W87*X87-100,1),IF(ROUND(100/W87*X87-100,1)&gt;999,999,-999)))</f>
        <v xml:space="preserve">    ---- </v>
      </c>
      <c r="Z87" s="808"/>
      <c r="AA87" s="809"/>
      <c r="AB87" s="606"/>
      <c r="AC87" s="808"/>
      <c r="AD87" s="809"/>
      <c r="AE87" s="606"/>
      <c r="AF87" s="808"/>
      <c r="AG87" s="809"/>
      <c r="AH87" s="606"/>
      <c r="AI87" s="808"/>
      <c r="AJ87" s="809"/>
      <c r="AK87" s="606"/>
      <c r="AL87" s="605">
        <f t="shared" si="24"/>
        <v>0</v>
      </c>
      <c r="AM87" s="605">
        <f t="shared" si="24"/>
        <v>0</v>
      </c>
      <c r="AN87" s="606" t="str">
        <f t="shared" si="17"/>
        <v xml:space="preserve">    ---- </v>
      </c>
      <c r="AO87" s="564">
        <f t="shared" si="38"/>
        <v>0</v>
      </c>
      <c r="AP87" s="564">
        <f t="shared" si="38"/>
        <v>0</v>
      </c>
      <c r="AQ87" s="606" t="str">
        <f t="shared" si="18"/>
        <v xml:space="preserve">    ---- </v>
      </c>
      <c r="AR87" s="589"/>
      <c r="AS87" s="589"/>
      <c r="AT87" s="584"/>
      <c r="AU87" s="584"/>
    </row>
    <row r="88" spans="1:47" s="607" customFormat="1" ht="18.75" customHeight="1" x14ac:dyDescent="0.3">
      <c r="A88" s="556" t="s">
        <v>377</v>
      </c>
      <c r="B88" s="808"/>
      <c r="C88" s="809"/>
      <c r="D88" s="605"/>
      <c r="E88" s="808"/>
      <c r="F88" s="809"/>
      <c r="G88" s="606"/>
      <c r="H88" s="907"/>
      <c r="I88" s="605"/>
      <c r="J88" s="606"/>
      <c r="K88" s="808"/>
      <c r="L88" s="809"/>
      <c r="M88" s="605"/>
      <c r="N88" s="808"/>
      <c r="O88" s="809"/>
      <c r="P88" s="606"/>
      <c r="Q88" s="808"/>
      <c r="R88" s="605"/>
      <c r="S88" s="606"/>
      <c r="T88" s="808"/>
      <c r="U88" s="809"/>
      <c r="V88" s="606"/>
      <c r="W88" s="808"/>
      <c r="X88" s="809"/>
      <c r="Y88" s="606"/>
      <c r="Z88" s="808"/>
      <c r="AA88" s="809"/>
      <c r="AB88" s="606"/>
      <c r="AC88" s="808"/>
      <c r="AD88" s="809"/>
      <c r="AE88" s="606"/>
      <c r="AF88" s="808"/>
      <c r="AG88" s="809"/>
      <c r="AH88" s="606"/>
      <c r="AI88" s="808"/>
      <c r="AJ88" s="809"/>
      <c r="AK88" s="606"/>
      <c r="AL88" s="605">
        <f t="shared" si="24"/>
        <v>0</v>
      </c>
      <c r="AM88" s="605">
        <f t="shared" si="24"/>
        <v>0</v>
      </c>
      <c r="AN88" s="606" t="str">
        <f t="shared" si="17"/>
        <v xml:space="preserve">    ---- </v>
      </c>
      <c r="AO88" s="564">
        <f t="shared" si="38"/>
        <v>0</v>
      </c>
      <c r="AP88" s="564">
        <f t="shared" si="38"/>
        <v>0</v>
      </c>
      <c r="AQ88" s="606" t="str">
        <f t="shared" si="18"/>
        <v xml:space="preserve">    ---- </v>
      </c>
      <c r="AR88" s="589"/>
      <c r="AS88" s="589"/>
      <c r="AT88" s="584"/>
      <c r="AU88" s="584"/>
    </row>
    <row r="89" spans="1:47" s="607" customFormat="1" ht="18.75" customHeight="1" x14ac:dyDescent="0.3">
      <c r="A89" s="556" t="s">
        <v>378</v>
      </c>
      <c r="B89" s="808"/>
      <c r="C89" s="809"/>
      <c r="D89" s="605"/>
      <c r="E89" s="808">
        <v>181</v>
      </c>
      <c r="F89" s="809">
        <v>195.16399999999999</v>
      </c>
      <c r="G89" s="606">
        <f t="shared" ref="G89:G94" si="40">IF(E89=0, "    ---- ", IF(ABS(ROUND(100/E89*F89-100,1))&lt;999,ROUND(100/E89*F89-100,1),IF(ROUND(100/E89*F89-100,1)&gt;999,999,-999)))</f>
        <v>7.8</v>
      </c>
      <c r="H89" s="907"/>
      <c r="I89" s="605"/>
      <c r="J89" s="606"/>
      <c r="K89" s="808">
        <v>31.1</v>
      </c>
      <c r="L89" s="809">
        <v>44.2</v>
      </c>
      <c r="M89" s="605">
        <f>IF(K89=0, "    ---- ", IF(ABS(ROUND(100/K89*L89-100,1))&lt;999,ROUND(100/K89*L89-100,1),IF(ROUND(100/K89*L89-100,1)&gt;999,999,-999)))</f>
        <v>42.1</v>
      </c>
      <c r="N89" s="808"/>
      <c r="O89" s="809"/>
      <c r="P89" s="606"/>
      <c r="Q89" s="808"/>
      <c r="R89" s="605"/>
      <c r="S89" s="606"/>
      <c r="T89" s="808"/>
      <c r="U89" s="809"/>
      <c r="V89" s="606"/>
      <c r="W89" s="808">
        <v>-8.5286539552989904</v>
      </c>
      <c r="X89" s="809">
        <v>60.155573762339614</v>
      </c>
      <c r="Y89" s="606">
        <f t="shared" ref="Y89:Y94" si="41">IF(W89=0, "    ---- ", IF(ABS(ROUND(100/W89*X89-100,1))&lt;999,ROUND(100/W89*X89-100,1),IF(ROUND(100/W89*X89-100,1)&gt;999,999,-999)))</f>
        <v>-805.3</v>
      </c>
      <c r="Z89" s="808"/>
      <c r="AA89" s="809"/>
      <c r="AB89" s="606"/>
      <c r="AC89" s="808"/>
      <c r="AD89" s="809"/>
      <c r="AE89" s="606"/>
      <c r="AF89" s="808">
        <v>64.453000000000003</v>
      </c>
      <c r="AG89" s="809">
        <v>60</v>
      </c>
      <c r="AH89" s="606">
        <f>IF(AF89=0, "    ---- ", IF(ABS(ROUND(100/AF89*AG89-100,1))&lt;999,ROUND(100/AF89*AG89-100,1),IF(ROUND(100/AF89*AG89-100,1)&gt;999,999,-999)))</f>
        <v>-6.9</v>
      </c>
      <c r="AI89" s="808">
        <v>414.4</v>
      </c>
      <c r="AJ89" s="809">
        <f>428-28</f>
        <v>400</v>
      </c>
      <c r="AK89" s="606">
        <f t="shared" ref="AK89:AK94" si="42">IF(AI89=0, "    ---- ", IF(ABS(ROUND(100/AI89*AJ89-100,1))&lt;999,ROUND(100/AI89*AJ89-100,1),IF(ROUND(100/AI89*AJ89-100,1)&gt;999,999,-999)))</f>
        <v>-3.5</v>
      </c>
      <c r="AL89" s="605">
        <f t="shared" si="24"/>
        <v>682.424346044701</v>
      </c>
      <c r="AM89" s="605">
        <f t="shared" si="24"/>
        <v>759.51957376233963</v>
      </c>
      <c r="AN89" s="606">
        <f t="shared" si="17"/>
        <v>11.3</v>
      </c>
      <c r="AO89" s="564">
        <f t="shared" si="38"/>
        <v>682.424346044701</v>
      </c>
      <c r="AP89" s="564">
        <f t="shared" si="38"/>
        <v>759.51957376233963</v>
      </c>
      <c r="AQ89" s="606">
        <f t="shared" si="18"/>
        <v>11.3</v>
      </c>
      <c r="AR89" s="589"/>
      <c r="AS89" s="589"/>
      <c r="AT89" s="584"/>
      <c r="AU89" s="584"/>
    </row>
    <row r="90" spans="1:47" s="607" customFormat="1" ht="18.75" customHeight="1" x14ac:dyDescent="0.3">
      <c r="A90" s="556" t="s">
        <v>379</v>
      </c>
      <c r="B90" s="808"/>
      <c r="C90" s="809"/>
      <c r="D90" s="605"/>
      <c r="E90" s="808"/>
      <c r="F90" s="809"/>
      <c r="G90" s="606"/>
      <c r="H90" s="907"/>
      <c r="I90" s="605"/>
      <c r="J90" s="606"/>
      <c r="K90" s="808">
        <v>15.3</v>
      </c>
      <c r="L90" s="809">
        <v>22.7</v>
      </c>
      <c r="M90" s="605"/>
      <c r="N90" s="808"/>
      <c r="O90" s="809"/>
      <c r="P90" s="606"/>
      <c r="Q90" s="808"/>
      <c r="R90" s="605"/>
      <c r="S90" s="606"/>
      <c r="T90" s="808"/>
      <c r="U90" s="809"/>
      <c r="V90" s="606"/>
      <c r="W90" s="808">
        <v>45.561069237803714</v>
      </c>
      <c r="X90" s="809">
        <v>9.8534456365012222</v>
      </c>
      <c r="Y90" s="606">
        <f t="shared" si="41"/>
        <v>-78.400000000000006</v>
      </c>
      <c r="Z90" s="808"/>
      <c r="AA90" s="809"/>
      <c r="AB90" s="606"/>
      <c r="AC90" s="808"/>
      <c r="AD90" s="809"/>
      <c r="AE90" s="606"/>
      <c r="AF90" s="808"/>
      <c r="AG90" s="809"/>
      <c r="AH90" s="606"/>
      <c r="AI90" s="808">
        <v>206.6</v>
      </c>
      <c r="AJ90" s="809">
        <v>220</v>
      </c>
      <c r="AK90" s="606">
        <f t="shared" si="42"/>
        <v>6.5</v>
      </c>
      <c r="AL90" s="605">
        <f t="shared" si="24"/>
        <v>267.46106923780371</v>
      </c>
      <c r="AM90" s="605">
        <f t="shared" si="24"/>
        <v>252.55344563650124</v>
      </c>
      <c r="AN90" s="606">
        <f t="shared" si="17"/>
        <v>-5.6</v>
      </c>
      <c r="AO90" s="564">
        <f t="shared" si="38"/>
        <v>267.46106923780371</v>
      </c>
      <c r="AP90" s="564">
        <f t="shared" si="38"/>
        <v>252.55344563650124</v>
      </c>
      <c r="AQ90" s="606">
        <f t="shared" si="18"/>
        <v>-5.6</v>
      </c>
      <c r="AR90" s="589"/>
      <c r="AS90" s="589"/>
      <c r="AT90" s="584"/>
      <c r="AU90" s="584"/>
    </row>
    <row r="91" spans="1:47" s="607" customFormat="1" ht="18.75" customHeight="1" x14ac:dyDescent="0.3">
      <c r="A91" s="556" t="s">
        <v>380</v>
      </c>
      <c r="B91" s="808"/>
      <c r="C91" s="809"/>
      <c r="D91" s="605"/>
      <c r="E91" s="808"/>
      <c r="F91" s="809"/>
      <c r="G91" s="606"/>
      <c r="H91" s="907"/>
      <c r="I91" s="605"/>
      <c r="J91" s="606"/>
      <c r="K91" s="808"/>
      <c r="L91" s="809"/>
      <c r="M91" s="605"/>
      <c r="N91" s="808"/>
      <c r="O91" s="809"/>
      <c r="P91" s="606"/>
      <c r="Q91" s="808"/>
      <c r="R91" s="605"/>
      <c r="S91" s="606"/>
      <c r="T91" s="808">
        <v>2</v>
      </c>
      <c r="U91" s="809">
        <v>0</v>
      </c>
      <c r="V91" s="606">
        <f t="shared" ref="V91:V93" si="43">IF(T91=0, "    ---- ", IF(ABS(ROUND(100/T91*U91-100,1))&lt;999,ROUND(100/T91*U91-100,1),IF(ROUND(100/T91*U91-100,1)&gt;999,999,-999)))</f>
        <v>-100</v>
      </c>
      <c r="W91" s="808">
        <v>-285.16673300000002</v>
      </c>
      <c r="X91" s="809">
        <v>-328.26366899999999</v>
      </c>
      <c r="Y91" s="606">
        <f t="shared" si="41"/>
        <v>15.1</v>
      </c>
      <c r="Z91" s="808"/>
      <c r="AA91" s="809"/>
      <c r="AB91" s="606"/>
      <c r="AC91" s="808"/>
      <c r="AD91" s="809"/>
      <c r="AE91" s="606"/>
      <c r="AF91" s="808"/>
      <c r="AG91" s="809"/>
      <c r="AH91" s="606"/>
      <c r="AI91" s="808">
        <v>149.4</v>
      </c>
      <c r="AJ91" s="809"/>
      <c r="AK91" s="606">
        <f t="shared" si="42"/>
        <v>-100</v>
      </c>
      <c r="AL91" s="605">
        <f t="shared" si="24"/>
        <v>-133.76673300000002</v>
      </c>
      <c r="AM91" s="605">
        <f t="shared" si="24"/>
        <v>-328.26366899999999</v>
      </c>
      <c r="AN91" s="606">
        <f t="shared" si="17"/>
        <v>145.4</v>
      </c>
      <c r="AO91" s="564">
        <f t="shared" si="38"/>
        <v>-133.76673300000002</v>
      </c>
      <c r="AP91" s="564">
        <f t="shared" si="38"/>
        <v>-328.26366899999999</v>
      </c>
      <c r="AQ91" s="606">
        <f t="shared" si="18"/>
        <v>145.4</v>
      </c>
      <c r="AR91" s="589"/>
      <c r="AS91" s="589"/>
      <c r="AT91" s="584"/>
      <c r="AU91" s="584"/>
    </row>
    <row r="92" spans="1:47" s="610" customFormat="1" ht="18.75" customHeight="1" x14ac:dyDescent="0.3">
      <c r="A92" s="550" t="s">
        <v>381</v>
      </c>
      <c r="B92" s="801"/>
      <c r="C92" s="811"/>
      <c r="D92" s="603"/>
      <c r="E92" s="810">
        <v>781</v>
      </c>
      <c r="F92" s="811">
        <f>SUM(F84:F89)+F91</f>
        <v>795.36599999999999</v>
      </c>
      <c r="G92" s="604">
        <f t="shared" si="40"/>
        <v>1.8</v>
      </c>
      <c r="H92" s="908"/>
      <c r="I92" s="603"/>
      <c r="J92" s="604"/>
      <c r="K92" s="810">
        <v>109.1</v>
      </c>
      <c r="L92" s="811">
        <f>SUM(L84:L89)+L91</f>
        <v>84</v>
      </c>
      <c r="M92" s="603">
        <f>IF(K92=0, "    ---- ", IF(ABS(ROUND(100/K92*L92-100,1))&lt;999,ROUND(100/K92*L92-100,1),IF(ROUND(100/K92*L92-100,1)&gt;999,999,-999)))</f>
        <v>-23</v>
      </c>
      <c r="N92" s="810"/>
      <c r="O92" s="811"/>
      <c r="P92" s="604"/>
      <c r="Q92" s="810"/>
      <c r="R92" s="603"/>
      <c r="S92" s="604"/>
      <c r="T92" s="810">
        <v>4</v>
      </c>
      <c r="U92" s="811">
        <f>SUM(U84:U89)+U91</f>
        <v>-1</v>
      </c>
      <c r="V92" s="606">
        <f t="shared" si="43"/>
        <v>-125</v>
      </c>
      <c r="W92" s="810">
        <v>-2.2269373679652062</v>
      </c>
      <c r="X92" s="811">
        <f>SUM(X84:X89)+X91</f>
        <v>38.781748025714023</v>
      </c>
      <c r="Y92" s="604">
        <f t="shared" si="41"/>
        <v>-999</v>
      </c>
      <c r="Z92" s="810"/>
      <c r="AA92" s="811"/>
      <c r="AB92" s="604"/>
      <c r="AC92" s="810"/>
      <c r="AD92" s="811"/>
      <c r="AE92" s="604"/>
      <c r="AF92" s="810">
        <v>43.713999999999992</v>
      </c>
      <c r="AG92" s="811">
        <f>SUM(AG84:AG89)+AG91</f>
        <v>-46</v>
      </c>
      <c r="AH92" s="604">
        <f>IF(AF92=0, "    ---- ", IF(ABS(ROUND(100/AF92*AG92-100,1))&lt;999,ROUND(100/AF92*AG92-100,1),IF(ROUND(100/AF92*AG92-100,1)&gt;999,999,-999)))</f>
        <v>-205.2</v>
      </c>
      <c r="AI92" s="810">
        <v>804.9</v>
      </c>
      <c r="AJ92" s="811">
        <f>SUM(AJ84:AJ89)+AJ91</f>
        <v>741</v>
      </c>
      <c r="AK92" s="604">
        <f t="shared" si="42"/>
        <v>-7.9</v>
      </c>
      <c r="AL92" s="603">
        <f>B92+E92+H92+K92+Q92+T92+W92+Z92+AF92+AI92</f>
        <v>1740.4870626320348</v>
      </c>
      <c r="AM92" s="603">
        <f>C92+F92+I92+L92+R92+U92+X92+AA92+AG92+AJ92</f>
        <v>1612.147748025714</v>
      </c>
      <c r="AN92" s="604">
        <f t="shared" si="17"/>
        <v>-7.4</v>
      </c>
      <c r="AO92" s="566">
        <f t="shared" si="38"/>
        <v>1740.4870626320348</v>
      </c>
      <c r="AP92" s="566">
        <f t="shared" si="38"/>
        <v>1612.147748025714</v>
      </c>
      <c r="AQ92" s="604">
        <f t="shared" si="18"/>
        <v>-7.4</v>
      </c>
      <c r="AR92" s="608" t="e">
        <f>B92,C92,E92,F92,H92,I92,K92,L92,N92,O92,Q92,R92,T92,U92,W92,X92,Z92,AA92,AC92,AD92,#REF!,#REF!,AF92,AG92,AI92,AJ92,AL92,AM92,AO92,AP92</f>
        <v>#REF!</v>
      </c>
      <c r="AS92" s="587"/>
      <c r="AT92" s="609"/>
      <c r="AU92" s="609"/>
    </row>
    <row r="93" spans="1:47" s="607" customFormat="1" ht="18.75" customHeight="1" x14ac:dyDescent="0.3">
      <c r="A93" s="556" t="s">
        <v>382</v>
      </c>
      <c r="B93" s="808"/>
      <c r="C93" s="809"/>
      <c r="D93" s="605"/>
      <c r="E93" s="808">
        <v>453</v>
      </c>
      <c r="F93" s="809">
        <v>467.72800000000001</v>
      </c>
      <c r="G93" s="606">
        <f t="shared" si="40"/>
        <v>3.3</v>
      </c>
      <c r="H93" s="907"/>
      <c r="I93" s="605"/>
      <c r="J93" s="606"/>
      <c r="K93" s="808">
        <v>103.7</v>
      </c>
      <c r="L93" s="809">
        <v>70.400000000000006</v>
      </c>
      <c r="M93" s="605">
        <f>IF(K93=0, "    ---- ", IF(ABS(ROUND(100/K93*L93-100,1))&lt;999,ROUND(100/K93*L93-100,1),IF(ROUND(100/K93*L93-100,1)&gt;999,999,-999)))</f>
        <v>-32.1</v>
      </c>
      <c r="N93" s="808"/>
      <c r="O93" s="809"/>
      <c r="P93" s="606"/>
      <c r="Q93" s="808"/>
      <c r="R93" s="605"/>
      <c r="S93" s="606"/>
      <c r="T93" s="808">
        <v>10</v>
      </c>
      <c r="U93" s="809">
        <v>6</v>
      </c>
      <c r="V93" s="606">
        <f t="shared" si="43"/>
        <v>-40</v>
      </c>
      <c r="W93" s="808">
        <v>33.481790654125568</v>
      </c>
      <c r="X93" s="809">
        <v>42.665109164834739</v>
      </c>
      <c r="Y93" s="606">
        <f t="shared" si="41"/>
        <v>27.4</v>
      </c>
      <c r="Z93" s="808"/>
      <c r="AA93" s="809"/>
      <c r="AB93" s="606"/>
      <c r="AC93" s="808"/>
      <c r="AD93" s="809"/>
      <c r="AE93" s="606"/>
      <c r="AF93" s="808">
        <v>52.48</v>
      </c>
      <c r="AG93" s="809">
        <v>265</v>
      </c>
      <c r="AH93" s="606">
        <f>IF(AF93=0, "    ---- ", IF(ABS(ROUND(100/AF93*AG93-100,1))&lt;999,ROUND(100/AF93*AG93-100,1),IF(ROUND(100/AF93*AG93-100,1)&gt;999,999,-999)))</f>
        <v>405</v>
      </c>
      <c r="AI93" s="808">
        <v>298</v>
      </c>
      <c r="AJ93" s="809">
        <f>79+214-28</f>
        <v>265</v>
      </c>
      <c r="AK93" s="606">
        <f t="shared" si="42"/>
        <v>-11.1</v>
      </c>
      <c r="AL93" s="605">
        <f t="shared" si="24"/>
        <v>950.66179065412564</v>
      </c>
      <c r="AM93" s="605">
        <f t="shared" si="24"/>
        <v>1116.7931091648347</v>
      </c>
      <c r="AN93" s="606">
        <f t="shared" si="17"/>
        <v>17.5</v>
      </c>
      <c r="AO93" s="564">
        <f t="shared" si="38"/>
        <v>950.66179065412564</v>
      </c>
      <c r="AP93" s="564">
        <f t="shared" si="38"/>
        <v>1116.7931091648347</v>
      </c>
      <c r="AQ93" s="606">
        <f t="shared" si="18"/>
        <v>17.5</v>
      </c>
      <c r="AR93" s="589"/>
      <c r="AS93" s="589"/>
      <c r="AT93" s="584"/>
      <c r="AU93" s="584"/>
    </row>
    <row r="94" spans="1:47" s="607" customFormat="1" ht="18.75" customHeight="1" x14ac:dyDescent="0.3">
      <c r="A94" s="556" t="s">
        <v>383</v>
      </c>
      <c r="B94" s="808"/>
      <c r="C94" s="809"/>
      <c r="D94" s="605"/>
      <c r="E94" s="808">
        <v>328</v>
      </c>
      <c r="F94" s="809">
        <v>327.63799999999998</v>
      </c>
      <c r="G94" s="606">
        <f t="shared" si="40"/>
        <v>-0.1</v>
      </c>
      <c r="H94" s="907"/>
      <c r="I94" s="605"/>
      <c r="J94" s="606"/>
      <c r="K94" s="808">
        <v>5.4</v>
      </c>
      <c r="L94" s="809">
        <v>13.6</v>
      </c>
      <c r="M94" s="605">
        <f>IF(K94=0, "    ---- ", IF(ABS(ROUND(100/K94*L94-100,1))&lt;999,ROUND(100/K94*L94-100,1),IF(ROUND(100/K94*L94-100,1)&gt;999,999,-999)))</f>
        <v>151.9</v>
      </c>
      <c r="N94" s="808"/>
      <c r="O94" s="809"/>
      <c r="P94" s="606"/>
      <c r="Q94" s="808"/>
      <c r="R94" s="605"/>
      <c r="S94" s="606"/>
      <c r="T94" s="808">
        <v>-6</v>
      </c>
      <c r="U94" s="809">
        <v>-7</v>
      </c>
      <c r="V94" s="606">
        <f>IF(T94=0, "    ---- ", IF(ABS(ROUND(100/T94*U94-100,1))&lt;999,ROUND(100/T94*U94-100,1),IF(ROUND(100/T94*U94-100,1)&gt;999,999,-999)))</f>
        <v>16.7</v>
      </c>
      <c r="W94" s="808">
        <v>-35.708728022090774</v>
      </c>
      <c r="X94" s="809">
        <v>-3.8833611391207157</v>
      </c>
      <c r="Y94" s="606">
        <f t="shared" si="41"/>
        <v>-89.1</v>
      </c>
      <c r="Z94" s="808"/>
      <c r="AA94" s="809"/>
      <c r="AB94" s="606"/>
      <c r="AC94" s="808"/>
      <c r="AD94" s="809"/>
      <c r="AE94" s="606"/>
      <c r="AF94" s="808">
        <v>-8.766</v>
      </c>
      <c r="AG94" s="809">
        <v>-311</v>
      </c>
      <c r="AH94" s="606">
        <f>IF(AF94=0, "    ---- ", IF(ABS(ROUND(100/AF94*AG94-100,1))&lt;999,ROUND(100/AF94*AG94-100,1),IF(ROUND(100/AF94*AG94-100,1)&gt;999,999,-999)))</f>
        <v>999</v>
      </c>
      <c r="AI94" s="808">
        <v>506.8</v>
      </c>
      <c r="AJ94" s="809">
        <f>405+71</f>
        <v>476</v>
      </c>
      <c r="AK94" s="606">
        <f t="shared" si="42"/>
        <v>-6.1</v>
      </c>
      <c r="AL94" s="605">
        <f t="shared" si="24"/>
        <v>789.72527197790919</v>
      </c>
      <c r="AM94" s="605">
        <f t="shared" si="24"/>
        <v>495.35463886087928</v>
      </c>
      <c r="AN94" s="606">
        <f t="shared" si="17"/>
        <v>-37.299999999999997</v>
      </c>
      <c r="AO94" s="564">
        <f t="shared" si="38"/>
        <v>789.72527197790919</v>
      </c>
      <c r="AP94" s="564">
        <f t="shared" si="38"/>
        <v>495.35463886087928</v>
      </c>
      <c r="AQ94" s="606">
        <f t="shared" si="18"/>
        <v>-37.299999999999997</v>
      </c>
      <c r="AR94" s="589"/>
      <c r="AS94" s="589"/>
      <c r="AT94" s="584"/>
      <c r="AU94" s="584"/>
    </row>
    <row r="95" spans="1:47" s="607" customFormat="1" ht="18.75" customHeight="1" x14ac:dyDescent="0.3">
      <c r="A95" s="550" t="s">
        <v>400</v>
      </c>
      <c r="B95" s="808"/>
      <c r="C95" s="809"/>
      <c r="D95" s="605"/>
      <c r="E95" s="808"/>
      <c r="F95" s="809"/>
      <c r="G95" s="606"/>
      <c r="H95" s="907"/>
      <c r="I95" s="605"/>
      <c r="J95" s="606"/>
      <c r="K95" s="808"/>
      <c r="L95" s="809"/>
      <c r="M95" s="605"/>
      <c r="N95" s="808"/>
      <c r="O95" s="809"/>
      <c r="P95" s="606"/>
      <c r="Q95" s="808"/>
      <c r="R95" s="605"/>
      <c r="S95" s="606"/>
      <c r="T95" s="808"/>
      <c r="U95" s="809"/>
      <c r="V95" s="606"/>
      <c r="W95" s="808"/>
      <c r="X95" s="809"/>
      <c r="Y95" s="606"/>
      <c r="Z95" s="808"/>
      <c r="AA95" s="809"/>
      <c r="AB95" s="606"/>
      <c r="AC95" s="808"/>
      <c r="AD95" s="809"/>
      <c r="AE95" s="606"/>
      <c r="AF95" s="808"/>
      <c r="AG95" s="809"/>
      <c r="AH95" s="606"/>
      <c r="AI95" s="808"/>
      <c r="AJ95" s="809"/>
      <c r="AK95" s="606"/>
      <c r="AL95" s="605"/>
      <c r="AM95" s="605"/>
      <c r="AN95" s="606"/>
      <c r="AO95" s="564"/>
      <c r="AP95" s="564"/>
      <c r="AQ95" s="606"/>
      <c r="AR95" s="589"/>
      <c r="AS95" s="589"/>
      <c r="AT95" s="584"/>
      <c r="AU95" s="584"/>
    </row>
    <row r="96" spans="1:47" s="607" customFormat="1" ht="18.75" customHeight="1" x14ac:dyDescent="0.3">
      <c r="A96" s="556" t="s">
        <v>373</v>
      </c>
      <c r="B96" s="808">
        <v>1.8109999999999999</v>
      </c>
      <c r="C96" s="809">
        <v>6.4829999999999997</v>
      </c>
      <c r="D96" s="606">
        <f>IF(B96=0, "    ---- ", IF(ABS(ROUND(100/B96*C96-100,1))&lt;999,ROUND(100/B96*C96-100,1),IF(ROUND(100/B96*C96-100,1)&gt;999,999,-999)))</f>
        <v>258</v>
      </c>
      <c r="E96" s="808">
        <v>30</v>
      </c>
      <c r="F96" s="809">
        <v>24.959</v>
      </c>
      <c r="G96" s="606">
        <f>IF(E96=0, "    ---- ", IF(ABS(ROUND(100/E96*F96-100,1))&lt;999,ROUND(100/E96*F96-100,1),IF(ROUND(100/E96*F96-100,1)&gt;999,999,-999)))</f>
        <v>-16.8</v>
      </c>
      <c r="H96" s="907"/>
      <c r="I96" s="605"/>
      <c r="J96" s="606"/>
      <c r="K96" s="808"/>
      <c r="L96" s="809"/>
      <c r="M96" s="605"/>
      <c r="N96" s="808"/>
      <c r="O96" s="809"/>
      <c r="P96" s="606"/>
      <c r="Q96" s="808"/>
      <c r="R96" s="605"/>
      <c r="S96" s="606"/>
      <c r="T96" s="808">
        <v>1</v>
      </c>
      <c r="U96" s="809">
        <v>1</v>
      </c>
      <c r="V96" s="606">
        <f>IF(T96=0, "    ---- ", IF(ABS(ROUND(100/T96*U96-100,1))&lt;999,ROUND(100/T96*U96-100,1),IF(ROUND(100/T96*U96-100,1)&gt;999,999,-999)))</f>
        <v>0</v>
      </c>
      <c r="W96" s="808">
        <v>26.668966059275938</v>
      </c>
      <c r="X96" s="809">
        <v>21.029201456859635</v>
      </c>
      <c r="Y96" s="606">
        <f>IF(W96=0, "    ---- ", IF(ABS(ROUND(100/W96*X96-100,1))&lt;999,ROUND(100/W96*X96-100,1),IF(ROUND(100/W96*X96-100,1)&gt;999,999,-999)))</f>
        <v>-21.1</v>
      </c>
      <c r="Z96" s="808"/>
      <c r="AA96" s="809"/>
      <c r="AB96" s="606"/>
      <c r="AC96" s="808"/>
      <c r="AD96" s="809"/>
      <c r="AE96" s="606"/>
      <c r="AF96" s="808">
        <v>0.435</v>
      </c>
      <c r="AG96" s="809">
        <v>14</v>
      </c>
      <c r="AH96" s="606">
        <f>IF(AF96=0, "    ---- ", IF(ABS(ROUND(100/AF96*AG96-100,1))&lt;999,ROUND(100/AF96*AG96-100,1),IF(ROUND(100/AF96*AG96-100,1)&gt;999,999,-999)))</f>
        <v>999</v>
      </c>
      <c r="AI96" s="808">
        <v>20.2</v>
      </c>
      <c r="AJ96" s="809">
        <v>25</v>
      </c>
      <c r="AK96" s="606">
        <f>IF(AI96=0, "    ---- ", IF(ABS(ROUND(100/AI96*AJ96-100,1))&lt;999,ROUND(100/AI96*AJ96-100,1),IF(ROUND(100/AI96*AJ96-100,1)&gt;999,999,-999)))</f>
        <v>23.8</v>
      </c>
      <c r="AL96" s="605">
        <f t="shared" si="24"/>
        <v>80.114966059275943</v>
      </c>
      <c r="AM96" s="605">
        <f t="shared" si="24"/>
        <v>92.471201456859632</v>
      </c>
      <c r="AN96" s="606">
        <f t="shared" si="17"/>
        <v>15.4</v>
      </c>
      <c r="AO96" s="564">
        <f t="shared" ref="AO96:AP106" si="44">+B96+E96+H96+K96+N96+Q96+T96+W96+Z96+AC96+AF96+AI96</f>
        <v>80.114966059275943</v>
      </c>
      <c r="AP96" s="564">
        <f t="shared" si="44"/>
        <v>92.471201456859632</v>
      </c>
      <c r="AQ96" s="606">
        <f t="shared" si="18"/>
        <v>15.4</v>
      </c>
      <c r="AR96" s="589"/>
      <c r="AS96" s="589"/>
      <c r="AT96" s="584"/>
      <c r="AU96" s="584"/>
    </row>
    <row r="97" spans="1:47" s="607" customFormat="1" ht="18.75" customHeight="1" x14ac:dyDescent="0.3">
      <c r="A97" s="556" t="s">
        <v>374</v>
      </c>
      <c r="B97" s="808"/>
      <c r="C97" s="809"/>
      <c r="D97" s="605"/>
      <c r="E97" s="808">
        <v>0</v>
      </c>
      <c r="F97" s="809">
        <v>-13.5</v>
      </c>
      <c r="G97" s="606" t="str">
        <f>IF(E97=0, "    ---- ", IF(ABS(ROUND(100/E97*F97-100,1))&lt;999,ROUND(100/E97*F97-100,1),IF(ROUND(100/E97*F97-100,1)&gt;999,999,-999)))</f>
        <v xml:space="preserve">    ---- </v>
      </c>
      <c r="H97" s="907"/>
      <c r="I97" s="605"/>
      <c r="J97" s="606"/>
      <c r="K97" s="808"/>
      <c r="L97" s="809"/>
      <c r="M97" s="605"/>
      <c r="N97" s="808"/>
      <c r="O97" s="809"/>
      <c r="P97" s="606"/>
      <c r="Q97" s="808"/>
      <c r="R97" s="605"/>
      <c r="S97" s="606"/>
      <c r="T97" s="808">
        <v>0</v>
      </c>
      <c r="U97" s="809">
        <v>0</v>
      </c>
      <c r="V97" s="606" t="str">
        <f t="shared" ref="V97:V99" si="45">IF(T97=0, "    ---- ", IF(ABS(ROUND(100/T97*U97-100,1))&lt;999,ROUND(100/T97*U97-100,1),IF(ROUND(100/T97*U97-100,1)&gt;999,999,-999)))</f>
        <v xml:space="preserve">    ---- </v>
      </c>
      <c r="W97" s="808"/>
      <c r="X97" s="809"/>
      <c r="Y97" s="606"/>
      <c r="Z97" s="808"/>
      <c r="AA97" s="809"/>
      <c r="AB97" s="606"/>
      <c r="AC97" s="808"/>
      <c r="AD97" s="809"/>
      <c r="AE97" s="606"/>
      <c r="AF97" s="808"/>
      <c r="AG97" s="809"/>
      <c r="AH97" s="606"/>
      <c r="AI97" s="808"/>
      <c r="AJ97" s="809"/>
      <c r="AK97" s="606"/>
      <c r="AL97" s="605">
        <f t="shared" si="24"/>
        <v>0</v>
      </c>
      <c r="AM97" s="605">
        <f t="shared" si="24"/>
        <v>-13.5</v>
      </c>
      <c r="AN97" s="606" t="str">
        <f t="shared" si="17"/>
        <v xml:space="preserve">    ---- </v>
      </c>
      <c r="AO97" s="564">
        <f t="shared" si="44"/>
        <v>0</v>
      </c>
      <c r="AP97" s="564">
        <f t="shared" si="44"/>
        <v>-13.5</v>
      </c>
      <c r="AQ97" s="606" t="str">
        <f t="shared" si="18"/>
        <v xml:space="preserve">    ---- </v>
      </c>
      <c r="AR97" s="589"/>
      <c r="AS97" s="589"/>
      <c r="AT97" s="584"/>
      <c r="AU97" s="584"/>
    </row>
    <row r="98" spans="1:47" s="607" customFormat="1" ht="18.75" customHeight="1" x14ac:dyDescent="0.3">
      <c r="A98" s="556" t="s">
        <v>375</v>
      </c>
      <c r="B98" s="808">
        <v>-7.1890000000000001</v>
      </c>
      <c r="C98" s="809">
        <v>-5.8090000000000002</v>
      </c>
      <c r="D98" s="606">
        <f>IF(B98=0, "    ---- ", IF(ABS(ROUND(100/B98*C98-100,1))&lt;999,ROUND(100/B98*C98-100,1),IF(ROUND(100/B98*C98-100,1)&gt;999,999,-999)))</f>
        <v>-19.2</v>
      </c>
      <c r="E98" s="808">
        <v>-36</v>
      </c>
      <c r="F98" s="809">
        <v>-24.931999999999999</v>
      </c>
      <c r="G98" s="606">
        <f>IF(E98=0, "    ---- ", IF(ABS(ROUND(100/E98*F98-100,1))&lt;999,ROUND(100/E98*F98-100,1),IF(ROUND(100/E98*F98-100,1)&gt;999,999,-999)))</f>
        <v>-30.7</v>
      </c>
      <c r="H98" s="907"/>
      <c r="I98" s="605"/>
      <c r="J98" s="606"/>
      <c r="K98" s="808"/>
      <c r="L98" s="809"/>
      <c r="M98" s="605"/>
      <c r="N98" s="808"/>
      <c r="O98" s="809"/>
      <c r="P98" s="606"/>
      <c r="Q98" s="808"/>
      <c r="R98" s="605"/>
      <c r="S98" s="606"/>
      <c r="T98" s="808">
        <v>4</v>
      </c>
      <c r="U98" s="809">
        <v>5</v>
      </c>
      <c r="V98" s="606">
        <f t="shared" si="45"/>
        <v>25</v>
      </c>
      <c r="W98" s="808">
        <v>-37.654152315016987</v>
      </c>
      <c r="X98" s="809">
        <v>-73.353693397134549</v>
      </c>
      <c r="Y98" s="606">
        <f>IF(W98=0, "    ---- ", IF(ABS(ROUND(100/W98*X98-100,1))&lt;999,ROUND(100/W98*X98-100,1),IF(ROUND(100/W98*X98-100,1)&gt;999,999,-999)))</f>
        <v>94.8</v>
      </c>
      <c r="Z98" s="808"/>
      <c r="AA98" s="809"/>
      <c r="AB98" s="606"/>
      <c r="AC98" s="808"/>
      <c r="AD98" s="809"/>
      <c r="AE98" s="606"/>
      <c r="AF98" s="808">
        <v>-28.009</v>
      </c>
      <c r="AG98" s="809">
        <v>-35</v>
      </c>
      <c r="AH98" s="606">
        <f>IF(AF98=0, "    ---- ", IF(ABS(ROUND(100/AF98*AG98-100,1))&lt;999,ROUND(100/AF98*AG98-100,1),IF(ROUND(100/AF98*AG98-100,1)&gt;999,999,-999)))</f>
        <v>25</v>
      </c>
      <c r="AI98" s="808">
        <v>-36.299999999999997</v>
      </c>
      <c r="AJ98" s="809">
        <v>-26</v>
      </c>
      <c r="AK98" s="606">
        <f>IF(AI98=0, "    ---- ", IF(ABS(ROUND(100/AI98*AJ98-100,1))&lt;999,ROUND(100/AI98*AJ98-100,1),IF(ROUND(100/AI98*AJ98-100,1)&gt;999,999,-999)))</f>
        <v>-28.4</v>
      </c>
      <c r="AL98" s="605">
        <f t="shared" si="24"/>
        <v>-141.15215231501699</v>
      </c>
      <c r="AM98" s="605">
        <f t="shared" si="24"/>
        <v>-160.09469339713456</v>
      </c>
      <c r="AN98" s="606">
        <f t="shared" si="17"/>
        <v>13.4</v>
      </c>
      <c r="AO98" s="564">
        <f t="shared" si="44"/>
        <v>-141.15215231501699</v>
      </c>
      <c r="AP98" s="564">
        <f t="shared" si="44"/>
        <v>-160.09469339713456</v>
      </c>
      <c r="AQ98" s="606">
        <f t="shared" si="18"/>
        <v>13.4</v>
      </c>
      <c r="AR98" s="589"/>
      <c r="AS98" s="589"/>
      <c r="AT98" s="584"/>
      <c r="AU98" s="584"/>
    </row>
    <row r="99" spans="1:47" s="607" customFormat="1" ht="18.75" customHeight="1" x14ac:dyDescent="0.3">
      <c r="A99" s="556" t="s">
        <v>376</v>
      </c>
      <c r="B99" s="808"/>
      <c r="C99" s="809"/>
      <c r="D99" s="605"/>
      <c r="E99" s="808">
        <v>0</v>
      </c>
      <c r="F99" s="809">
        <v>0.752</v>
      </c>
      <c r="G99" s="606" t="str">
        <f>IF(E99=0, "    ---- ", IF(ABS(ROUND(100/E99*F99-100,1))&lt;999,ROUND(100/E99*F99-100,1),IF(ROUND(100/E99*F99-100,1)&gt;999,999,-999)))</f>
        <v xml:space="preserve">    ---- </v>
      </c>
      <c r="H99" s="907"/>
      <c r="I99" s="605"/>
      <c r="J99" s="606"/>
      <c r="K99" s="808"/>
      <c r="L99" s="809"/>
      <c r="M99" s="605"/>
      <c r="N99" s="808"/>
      <c r="O99" s="809"/>
      <c r="P99" s="606"/>
      <c r="Q99" s="808"/>
      <c r="R99" s="605"/>
      <c r="S99" s="606"/>
      <c r="T99" s="808">
        <v>3</v>
      </c>
      <c r="U99" s="809">
        <v>3</v>
      </c>
      <c r="V99" s="606">
        <f t="shared" si="45"/>
        <v>0</v>
      </c>
      <c r="W99" s="808"/>
      <c r="X99" s="809"/>
      <c r="Y99" s="606"/>
      <c r="Z99" s="808"/>
      <c r="AA99" s="809"/>
      <c r="AB99" s="606"/>
      <c r="AC99" s="808"/>
      <c r="AD99" s="809"/>
      <c r="AE99" s="606"/>
      <c r="AF99" s="808"/>
      <c r="AG99" s="809"/>
      <c r="AH99" s="606"/>
      <c r="AI99" s="808">
        <v>1.5</v>
      </c>
      <c r="AJ99" s="809"/>
      <c r="AK99" s="606">
        <f>IF(AI99=0, "    ---- ", IF(ABS(ROUND(100/AI99*AJ99-100,1))&lt;999,ROUND(100/AI99*AJ99-100,1),IF(ROUND(100/AI99*AJ99-100,1)&gt;999,999,-999)))</f>
        <v>-100</v>
      </c>
      <c r="AL99" s="605">
        <f t="shared" si="24"/>
        <v>4.5</v>
      </c>
      <c r="AM99" s="605">
        <f t="shared" si="24"/>
        <v>3.7519999999999998</v>
      </c>
      <c r="AN99" s="606">
        <f t="shared" si="17"/>
        <v>-16.600000000000001</v>
      </c>
      <c r="AO99" s="564">
        <f t="shared" si="44"/>
        <v>4.5</v>
      </c>
      <c r="AP99" s="564">
        <f t="shared" si="44"/>
        <v>3.7519999999999998</v>
      </c>
      <c r="AQ99" s="606">
        <f t="shared" si="18"/>
        <v>-16.600000000000001</v>
      </c>
      <c r="AR99" s="589"/>
      <c r="AS99" s="589"/>
      <c r="AT99" s="584"/>
      <c r="AU99" s="584"/>
    </row>
    <row r="100" spans="1:47" s="607" customFormat="1" ht="18.75" customHeight="1" x14ac:dyDescent="0.3">
      <c r="A100" s="556" t="s">
        <v>377</v>
      </c>
      <c r="B100" s="808"/>
      <c r="C100" s="809"/>
      <c r="D100" s="605"/>
      <c r="E100" s="808">
        <v>10</v>
      </c>
      <c r="F100" s="809">
        <v>12.077</v>
      </c>
      <c r="G100" s="606">
        <f t="shared" ref="G100:G106" si="46">IF(E100=0, "    ---- ", IF(ABS(ROUND(100/E100*F100-100,1))&lt;999,ROUND(100/E100*F100-100,1),IF(ROUND(100/E100*F100-100,1)&gt;999,999,-999)))</f>
        <v>20.8</v>
      </c>
      <c r="H100" s="907"/>
      <c r="I100" s="605"/>
      <c r="J100" s="606"/>
      <c r="K100" s="808"/>
      <c r="L100" s="809"/>
      <c r="M100" s="605"/>
      <c r="N100" s="808"/>
      <c r="O100" s="809"/>
      <c r="P100" s="606"/>
      <c r="Q100" s="808"/>
      <c r="R100" s="605"/>
      <c r="S100" s="606"/>
      <c r="T100" s="808"/>
      <c r="U100" s="809"/>
      <c r="V100" s="606"/>
      <c r="W100" s="808"/>
      <c r="X100" s="809"/>
      <c r="Y100" s="606"/>
      <c r="Z100" s="808"/>
      <c r="AA100" s="809"/>
      <c r="AB100" s="606"/>
      <c r="AC100" s="808"/>
      <c r="AD100" s="809"/>
      <c r="AE100" s="606"/>
      <c r="AF100" s="808"/>
      <c r="AG100" s="809"/>
      <c r="AH100" s="606"/>
      <c r="AI100" s="808"/>
      <c r="AJ100" s="809"/>
      <c r="AK100" s="606"/>
      <c r="AL100" s="605">
        <f t="shared" si="24"/>
        <v>10</v>
      </c>
      <c r="AM100" s="605">
        <f t="shared" si="24"/>
        <v>12.077</v>
      </c>
      <c r="AN100" s="606">
        <f t="shared" si="17"/>
        <v>20.8</v>
      </c>
      <c r="AO100" s="564">
        <f t="shared" si="44"/>
        <v>10</v>
      </c>
      <c r="AP100" s="564">
        <f t="shared" si="44"/>
        <v>12.077</v>
      </c>
      <c r="AQ100" s="606">
        <f t="shared" si="18"/>
        <v>20.8</v>
      </c>
      <c r="AR100" s="589"/>
      <c r="AS100" s="589"/>
      <c r="AT100" s="584"/>
      <c r="AU100" s="584"/>
    </row>
    <row r="101" spans="1:47" s="607" customFormat="1" ht="18.75" customHeight="1" x14ac:dyDescent="0.3">
      <c r="A101" s="556" t="s">
        <v>378</v>
      </c>
      <c r="B101" s="800">
        <v>9.5690000000000008</v>
      </c>
      <c r="C101" s="799">
        <v>3.6669999999999998</v>
      </c>
      <c r="D101" s="606">
        <f>IF(B101=0, "    ---- ", IF(ABS(ROUND(100/B101*C101-100,1))&lt;999,ROUND(100/B101*C101-100,1),IF(ROUND(100/B101*C101-100,1)&gt;999,999,-999)))</f>
        <v>-61.7</v>
      </c>
      <c r="E101" s="800">
        <v>71</v>
      </c>
      <c r="F101" s="799">
        <v>113.608</v>
      </c>
      <c r="G101" s="606">
        <f t="shared" si="46"/>
        <v>60</v>
      </c>
      <c r="H101" s="901"/>
      <c r="I101" s="564"/>
      <c r="J101" s="606"/>
      <c r="K101" s="800"/>
      <c r="L101" s="799"/>
      <c r="M101" s="605"/>
      <c r="N101" s="800"/>
      <c r="O101" s="799"/>
      <c r="P101" s="606"/>
      <c r="Q101" s="800"/>
      <c r="R101" s="564"/>
      <c r="S101" s="606"/>
      <c r="T101" s="800">
        <v>0</v>
      </c>
      <c r="U101" s="799">
        <v>6</v>
      </c>
      <c r="V101" s="606" t="str">
        <f t="shared" ref="V101:V102" si="47">IF(T101=0, "    ---- ", IF(ABS(ROUND(100/T101*U101-100,1))&lt;999,ROUND(100/T101*U101-100,1),IF(ROUND(100/T101*U101-100,1)&gt;999,999,-999)))</f>
        <v xml:space="preserve">    ---- </v>
      </c>
      <c r="W101" s="800">
        <v>-24.297441010138758</v>
      </c>
      <c r="X101" s="799">
        <v>-26.798389948632742</v>
      </c>
      <c r="Y101" s="606">
        <f t="shared" ref="Y101:Y106" si="48">IF(W101=0, "    ---- ", IF(ABS(ROUND(100/W101*X101-100,1))&lt;999,ROUND(100/W101*X101-100,1),IF(ROUND(100/W101*X101-100,1)&gt;999,999,-999)))</f>
        <v>10.3</v>
      </c>
      <c r="Z101" s="800"/>
      <c r="AA101" s="799"/>
      <c r="AB101" s="606"/>
      <c r="AC101" s="800"/>
      <c r="AD101" s="799"/>
      <c r="AE101" s="606"/>
      <c r="AF101" s="800">
        <v>-62.725999999999999</v>
      </c>
      <c r="AG101" s="799">
        <v>-42</v>
      </c>
      <c r="AH101" s="606">
        <f t="shared" ref="AH101:AH106" si="49">IF(AF101=0, "    ---- ", IF(ABS(ROUND(100/AF101*AG101-100,1))&lt;999,ROUND(100/AF101*AG101-100,1),IF(ROUND(100/AF101*AG101-100,1)&gt;999,999,-999)))</f>
        <v>-33</v>
      </c>
      <c r="AI101" s="800">
        <v>163.30000000000001</v>
      </c>
      <c r="AJ101" s="799">
        <v>83</v>
      </c>
      <c r="AK101" s="606">
        <f t="shared" ref="AK101:AK106" si="50">IF(AI101=0, "    ---- ", IF(ABS(ROUND(100/AI101*AJ101-100,1))&lt;999,ROUND(100/AI101*AJ101-100,1),IF(ROUND(100/AI101*AJ101-100,1)&gt;999,999,-999)))</f>
        <v>-49.2</v>
      </c>
      <c r="AL101" s="605">
        <f t="shared" si="24"/>
        <v>156.84555898986127</v>
      </c>
      <c r="AM101" s="605">
        <f t="shared" si="24"/>
        <v>137.47661005136726</v>
      </c>
      <c r="AN101" s="606">
        <f t="shared" si="17"/>
        <v>-12.3</v>
      </c>
      <c r="AO101" s="564">
        <f t="shared" si="44"/>
        <v>156.84555898986127</v>
      </c>
      <c r="AP101" s="564">
        <f t="shared" si="44"/>
        <v>137.47661005136726</v>
      </c>
      <c r="AQ101" s="606">
        <f t="shared" si="18"/>
        <v>-12.3</v>
      </c>
      <c r="AR101" s="589"/>
      <c r="AS101" s="589"/>
      <c r="AT101" s="584"/>
      <c r="AU101" s="584"/>
    </row>
    <row r="102" spans="1:47" s="607" customFormat="1" ht="18.75" customHeight="1" x14ac:dyDescent="0.3">
      <c r="A102" s="556" t="s">
        <v>379</v>
      </c>
      <c r="B102" s="808"/>
      <c r="C102" s="809"/>
      <c r="D102" s="605"/>
      <c r="E102" s="808"/>
      <c r="F102" s="809"/>
      <c r="G102" s="606"/>
      <c r="H102" s="907"/>
      <c r="I102" s="605"/>
      <c r="J102" s="606"/>
      <c r="K102" s="808"/>
      <c r="L102" s="809"/>
      <c r="M102" s="605"/>
      <c r="N102" s="808"/>
      <c r="O102" s="809"/>
      <c r="P102" s="606"/>
      <c r="Q102" s="808"/>
      <c r="R102" s="605"/>
      <c r="S102" s="606"/>
      <c r="T102" s="808"/>
      <c r="U102" s="809">
        <v>-3</v>
      </c>
      <c r="V102" s="606" t="str">
        <f t="shared" si="47"/>
        <v xml:space="preserve">    ---- </v>
      </c>
      <c r="W102" s="808"/>
      <c r="X102" s="809"/>
      <c r="Y102" s="606"/>
      <c r="Z102" s="808"/>
      <c r="AA102" s="809"/>
      <c r="AB102" s="606"/>
      <c r="AC102" s="808"/>
      <c r="AD102" s="809"/>
      <c r="AE102" s="606"/>
      <c r="AF102" s="808"/>
      <c r="AG102" s="809"/>
      <c r="AH102" s="606"/>
      <c r="AI102" s="808"/>
      <c r="AJ102" s="809"/>
      <c r="AK102" s="606"/>
      <c r="AL102" s="605">
        <f t="shared" si="24"/>
        <v>0</v>
      </c>
      <c r="AM102" s="605">
        <f t="shared" si="24"/>
        <v>-3</v>
      </c>
      <c r="AN102" s="606" t="str">
        <f t="shared" si="17"/>
        <v xml:space="preserve">    ---- </v>
      </c>
      <c r="AO102" s="564">
        <f t="shared" si="44"/>
        <v>0</v>
      </c>
      <c r="AP102" s="564">
        <f t="shared" si="44"/>
        <v>-3</v>
      </c>
      <c r="AQ102" s="606" t="str">
        <f t="shared" si="18"/>
        <v xml:space="preserve">    ---- </v>
      </c>
      <c r="AR102" s="589"/>
      <c r="AS102" s="589"/>
      <c r="AT102" s="584"/>
      <c r="AU102" s="584"/>
    </row>
    <row r="103" spans="1:47" s="607" customFormat="1" ht="18.75" customHeight="1" x14ac:dyDescent="0.3">
      <c r="A103" s="556" t="s">
        <v>380</v>
      </c>
      <c r="B103" s="808"/>
      <c r="C103" s="809"/>
      <c r="D103" s="605"/>
      <c r="E103" s="808"/>
      <c r="F103" s="809"/>
      <c r="G103" s="606"/>
      <c r="H103" s="907"/>
      <c r="I103" s="605"/>
      <c r="J103" s="606"/>
      <c r="K103" s="808"/>
      <c r="L103" s="809"/>
      <c r="M103" s="605"/>
      <c r="N103" s="808"/>
      <c r="O103" s="809"/>
      <c r="P103" s="606"/>
      <c r="Q103" s="808"/>
      <c r="R103" s="605"/>
      <c r="S103" s="606"/>
      <c r="T103" s="808"/>
      <c r="U103" s="809"/>
      <c r="V103" s="606"/>
      <c r="W103" s="808">
        <v>-5.3128440000000001</v>
      </c>
      <c r="X103" s="809">
        <v>0</v>
      </c>
      <c r="Y103" s="606">
        <f t="shared" si="48"/>
        <v>-100</v>
      </c>
      <c r="Z103" s="808"/>
      <c r="AA103" s="809"/>
      <c r="AB103" s="606"/>
      <c r="AC103" s="808"/>
      <c r="AD103" s="809"/>
      <c r="AE103" s="606"/>
      <c r="AF103" s="808"/>
      <c r="AG103" s="809"/>
      <c r="AH103" s="606"/>
      <c r="AI103" s="808"/>
      <c r="AJ103" s="809"/>
      <c r="AK103" s="606"/>
      <c r="AL103" s="605">
        <f t="shared" si="24"/>
        <v>-5.3128440000000001</v>
      </c>
      <c r="AM103" s="605">
        <f t="shared" si="24"/>
        <v>0</v>
      </c>
      <c r="AN103" s="606">
        <f t="shared" si="17"/>
        <v>-100</v>
      </c>
      <c r="AO103" s="564">
        <f t="shared" si="44"/>
        <v>-5.3128440000000001</v>
      </c>
      <c r="AP103" s="564">
        <f t="shared" si="44"/>
        <v>0</v>
      </c>
      <c r="AQ103" s="606">
        <f t="shared" si="18"/>
        <v>-100</v>
      </c>
      <c r="AR103" s="589"/>
      <c r="AS103" s="589"/>
      <c r="AT103" s="584"/>
      <c r="AU103" s="584"/>
    </row>
    <row r="104" spans="1:47" s="610" customFormat="1" ht="18.75" customHeight="1" x14ac:dyDescent="0.3">
      <c r="A104" s="550" t="s">
        <v>381</v>
      </c>
      <c r="B104" s="801">
        <v>4.1910000000000007</v>
      </c>
      <c r="C104" s="811">
        <f>SUM(C96:C101)+C103</f>
        <v>4.3409999999999993</v>
      </c>
      <c r="D104" s="606">
        <f>IF(B104=0, "    ---- ", IF(ABS(ROUND(100/B104*C104-100,1))&lt;999,ROUND(100/B104*C104-100,1),IF(ROUND(100/B104*C104-100,1)&gt;999,999,-999)))</f>
        <v>3.6</v>
      </c>
      <c r="E104" s="810">
        <v>75</v>
      </c>
      <c r="F104" s="811">
        <f>SUM(F96:F101)+F103</f>
        <v>112.964</v>
      </c>
      <c r="G104" s="604">
        <f t="shared" si="46"/>
        <v>50.6</v>
      </c>
      <c r="H104" s="908"/>
      <c r="I104" s="603"/>
      <c r="J104" s="604"/>
      <c r="K104" s="810"/>
      <c r="L104" s="811"/>
      <c r="M104" s="603"/>
      <c r="N104" s="810"/>
      <c r="O104" s="811"/>
      <c r="P104" s="604"/>
      <c r="Q104" s="810"/>
      <c r="R104" s="603"/>
      <c r="S104" s="604"/>
      <c r="T104" s="810">
        <v>8</v>
      </c>
      <c r="U104" s="811">
        <f>SUM(U96:U101)+U103</f>
        <v>15</v>
      </c>
      <c r="V104" s="606">
        <f>IF(T104=0, "    ---- ", IF(ABS(ROUND(100/T104*U104-100,1))&lt;999,ROUND(100/T104*U104-100,1),IF(ROUND(100/T104*U104-100,1)&gt;999,999,-999)))</f>
        <v>87.5</v>
      </c>
      <c r="W104" s="810">
        <v>-40.595471265879809</v>
      </c>
      <c r="X104" s="811">
        <f>SUM(X96:X101)+X103</f>
        <v>-79.122881888907656</v>
      </c>
      <c r="Y104" s="604">
        <f t="shared" si="48"/>
        <v>94.9</v>
      </c>
      <c r="Z104" s="810"/>
      <c r="AA104" s="811"/>
      <c r="AB104" s="604"/>
      <c r="AC104" s="810"/>
      <c r="AD104" s="811"/>
      <c r="AE104" s="604"/>
      <c r="AF104" s="810">
        <v>-90.3</v>
      </c>
      <c r="AG104" s="811">
        <f>SUM(AG96:AG101)+AG103</f>
        <v>-63</v>
      </c>
      <c r="AH104" s="604">
        <f t="shared" si="49"/>
        <v>-30.2</v>
      </c>
      <c r="AI104" s="810">
        <v>148.70000000000002</v>
      </c>
      <c r="AJ104" s="811">
        <f>SUM(AJ96:AJ101)+AJ103</f>
        <v>82</v>
      </c>
      <c r="AK104" s="604">
        <f t="shared" si="50"/>
        <v>-44.9</v>
      </c>
      <c r="AL104" s="603">
        <f>B104+E104+H104+K104+Q104+T104+W104+Z104+AF104+AI104</f>
        <v>104.99552873412021</v>
      </c>
      <c r="AM104" s="603">
        <f>C104+F104+I104+L104+R104+U104+X104+AA104+AG104+AJ104</f>
        <v>72.18211811109235</v>
      </c>
      <c r="AN104" s="604">
        <f t="shared" si="17"/>
        <v>-31.3</v>
      </c>
      <c r="AO104" s="566">
        <f t="shared" si="44"/>
        <v>104.99552873412021</v>
      </c>
      <c r="AP104" s="566">
        <f t="shared" si="44"/>
        <v>72.18211811109235</v>
      </c>
      <c r="AQ104" s="604">
        <f t="shared" si="18"/>
        <v>-31.3</v>
      </c>
      <c r="AR104" s="608" t="e">
        <f>B104,C104,E104,F104,H104,I104,K104,L104,N104,O104,Q104,R104,T104,U104,W104,X104,Z104,AA104,AC104,AD104,#REF!,#REF!,AF104,AG104,AI104,AJ104,AL104,AM104,AO104,AP104</f>
        <v>#REF!</v>
      </c>
      <c r="AS104" s="587"/>
      <c r="AT104" s="609"/>
      <c r="AU104" s="609"/>
    </row>
    <row r="105" spans="1:47" s="607" customFormat="1" ht="18.75" customHeight="1" x14ac:dyDescent="0.3">
      <c r="A105" s="556" t="s">
        <v>382</v>
      </c>
      <c r="B105" s="808"/>
      <c r="C105" s="809"/>
      <c r="D105" s="605"/>
      <c r="E105" s="808">
        <v>0</v>
      </c>
      <c r="F105" s="809">
        <v>11.459</v>
      </c>
      <c r="G105" s="606" t="str">
        <f t="shared" si="46"/>
        <v xml:space="preserve">    ---- </v>
      </c>
      <c r="H105" s="907"/>
      <c r="I105" s="605"/>
      <c r="J105" s="606"/>
      <c r="K105" s="808"/>
      <c r="L105" s="809"/>
      <c r="M105" s="605"/>
      <c r="N105" s="808"/>
      <c r="O105" s="809"/>
      <c r="P105" s="606"/>
      <c r="Q105" s="808"/>
      <c r="R105" s="605"/>
      <c r="S105" s="606"/>
      <c r="T105" s="808">
        <v>1</v>
      </c>
      <c r="U105" s="809">
        <v>4</v>
      </c>
      <c r="V105" s="606">
        <f t="shared" ref="V105:V106" si="51">IF(T105=0, "    ---- ", IF(ABS(ROUND(100/T105*U105-100,1))&lt;999,ROUND(100/T105*U105-100,1),IF(ROUND(100/T105*U105-100,1)&gt;999,999,-999)))</f>
        <v>300</v>
      </c>
      <c r="W105" s="808">
        <v>-15.235349197281296</v>
      </c>
      <c r="X105" s="809">
        <v>-9.6155729284486231</v>
      </c>
      <c r="Y105" s="606"/>
      <c r="Z105" s="808"/>
      <c r="AA105" s="809"/>
      <c r="AB105" s="606"/>
      <c r="AC105" s="808"/>
      <c r="AD105" s="809"/>
      <c r="AE105" s="606"/>
      <c r="AF105" s="808">
        <v>0.436</v>
      </c>
      <c r="AG105" s="809">
        <v>14</v>
      </c>
      <c r="AH105" s="606">
        <f t="shared" si="49"/>
        <v>999</v>
      </c>
      <c r="AI105" s="808">
        <v>20.2</v>
      </c>
      <c r="AJ105" s="809">
        <v>25</v>
      </c>
      <c r="AK105" s="606">
        <f t="shared" si="50"/>
        <v>23.8</v>
      </c>
      <c r="AL105" s="605">
        <f t="shared" si="24"/>
        <v>6.4006508027187028</v>
      </c>
      <c r="AM105" s="605">
        <f t="shared" si="24"/>
        <v>44.843427071551375</v>
      </c>
      <c r="AN105" s="606">
        <f t="shared" si="17"/>
        <v>600.6</v>
      </c>
      <c r="AO105" s="564">
        <f t="shared" si="44"/>
        <v>6.4006508027187028</v>
      </c>
      <c r="AP105" s="564">
        <f t="shared" si="44"/>
        <v>44.843427071551375</v>
      </c>
      <c r="AQ105" s="606">
        <f t="shared" si="18"/>
        <v>600.6</v>
      </c>
      <c r="AR105" s="589"/>
      <c r="AS105" s="589"/>
      <c r="AT105" s="584"/>
      <c r="AU105" s="584"/>
    </row>
    <row r="106" spans="1:47" s="607" customFormat="1" ht="18.75" customHeight="1" x14ac:dyDescent="0.3">
      <c r="A106" s="556" t="s">
        <v>383</v>
      </c>
      <c r="B106" s="808">
        <v>4.1909999999999998</v>
      </c>
      <c r="C106" s="809">
        <v>4.3410000000000002</v>
      </c>
      <c r="D106" s="606">
        <f>IF(B106=0, "    ---- ", IF(ABS(ROUND(100/B106*C106-100,1))&lt;999,ROUND(100/B106*C106-100,1),IF(ROUND(100/B106*C106-100,1)&gt;999,999,-999)))</f>
        <v>3.6</v>
      </c>
      <c r="E106" s="808">
        <v>75</v>
      </c>
      <c r="F106" s="809">
        <v>102</v>
      </c>
      <c r="G106" s="606">
        <f t="shared" si="46"/>
        <v>36</v>
      </c>
      <c r="H106" s="907"/>
      <c r="I106" s="605"/>
      <c r="J106" s="606"/>
      <c r="K106" s="808"/>
      <c r="L106" s="809"/>
      <c r="M106" s="605"/>
      <c r="N106" s="808"/>
      <c r="O106" s="809"/>
      <c r="P106" s="606"/>
      <c r="Q106" s="808"/>
      <c r="R106" s="605"/>
      <c r="S106" s="606"/>
      <c r="T106" s="808">
        <v>7</v>
      </c>
      <c r="U106" s="809">
        <v>11</v>
      </c>
      <c r="V106" s="606">
        <f t="shared" si="51"/>
        <v>57.1</v>
      </c>
      <c r="W106" s="808">
        <v>-25.360122068598514</v>
      </c>
      <c r="X106" s="809">
        <v>-69.507308960459028</v>
      </c>
      <c r="Y106" s="606">
        <f t="shared" si="48"/>
        <v>174.1</v>
      </c>
      <c r="Z106" s="808"/>
      <c r="AA106" s="809"/>
      <c r="AB106" s="606"/>
      <c r="AC106" s="808"/>
      <c r="AD106" s="809"/>
      <c r="AE106" s="606"/>
      <c r="AF106" s="808">
        <v>-90.736000000000004</v>
      </c>
      <c r="AG106" s="809">
        <v>-77</v>
      </c>
      <c r="AH106" s="606">
        <f t="shared" si="49"/>
        <v>-15.1</v>
      </c>
      <c r="AI106" s="808">
        <v>128.6</v>
      </c>
      <c r="AJ106" s="809">
        <v>59</v>
      </c>
      <c r="AK106" s="606">
        <f t="shared" si="50"/>
        <v>-54.1</v>
      </c>
      <c r="AL106" s="605">
        <f t="shared" si="24"/>
        <v>98.694877931401479</v>
      </c>
      <c r="AM106" s="605">
        <f t="shared" si="24"/>
        <v>29.833691039540966</v>
      </c>
      <c r="AN106" s="606">
        <f t="shared" si="17"/>
        <v>-69.8</v>
      </c>
      <c r="AO106" s="564">
        <f t="shared" si="44"/>
        <v>98.694877931401479</v>
      </c>
      <c r="AP106" s="564">
        <f t="shared" si="44"/>
        <v>29.833691039540966</v>
      </c>
      <c r="AQ106" s="606">
        <f t="shared" si="18"/>
        <v>-69.8</v>
      </c>
      <c r="AR106" s="589"/>
      <c r="AS106" s="589"/>
      <c r="AT106" s="584"/>
      <c r="AU106" s="584"/>
    </row>
    <row r="107" spans="1:47" s="615" customFormat="1" ht="18.75" customHeight="1" x14ac:dyDescent="0.3">
      <c r="A107" s="611" t="s">
        <v>401</v>
      </c>
      <c r="B107" s="808"/>
      <c r="C107" s="809"/>
      <c r="D107" s="605"/>
      <c r="E107" s="808"/>
      <c r="F107" s="809"/>
      <c r="G107" s="606"/>
      <c r="H107" s="907"/>
      <c r="I107" s="605"/>
      <c r="J107" s="606"/>
      <c r="K107" s="808"/>
      <c r="L107" s="809"/>
      <c r="M107" s="605"/>
      <c r="N107" s="808"/>
      <c r="O107" s="809"/>
      <c r="P107" s="606"/>
      <c r="Q107" s="808"/>
      <c r="R107" s="605"/>
      <c r="S107" s="606"/>
      <c r="T107" s="808"/>
      <c r="U107" s="809"/>
      <c r="V107" s="606"/>
      <c r="W107" s="808"/>
      <c r="X107" s="809"/>
      <c r="Y107" s="606"/>
      <c r="Z107" s="808"/>
      <c r="AA107" s="809"/>
      <c r="AB107" s="606"/>
      <c r="AC107" s="808"/>
      <c r="AD107" s="809"/>
      <c r="AE107" s="606"/>
      <c r="AF107" s="808"/>
      <c r="AG107" s="809"/>
      <c r="AH107" s="606"/>
      <c r="AI107" s="808"/>
      <c r="AJ107" s="809"/>
      <c r="AK107" s="606"/>
      <c r="AL107" s="605"/>
      <c r="AM107" s="605"/>
      <c r="AN107" s="606"/>
      <c r="AO107" s="564"/>
      <c r="AP107" s="564"/>
      <c r="AQ107" s="606"/>
      <c r="AR107" s="613"/>
      <c r="AS107" s="613"/>
      <c r="AT107" s="614"/>
      <c r="AU107" s="614"/>
    </row>
    <row r="108" spans="1:47" s="615" customFormat="1" ht="18.75" customHeight="1" x14ac:dyDescent="0.3">
      <c r="A108" s="612" t="s">
        <v>373</v>
      </c>
      <c r="B108" s="808"/>
      <c r="C108" s="809"/>
      <c r="D108" s="605"/>
      <c r="E108" s="808"/>
      <c r="F108" s="809"/>
      <c r="G108" s="606"/>
      <c r="H108" s="907"/>
      <c r="I108" s="605"/>
      <c r="J108" s="606"/>
      <c r="K108" s="808"/>
      <c r="L108" s="809"/>
      <c r="M108" s="605"/>
      <c r="N108" s="808"/>
      <c r="O108" s="809"/>
      <c r="P108" s="606"/>
      <c r="Q108" s="808"/>
      <c r="R108" s="605"/>
      <c r="S108" s="606"/>
      <c r="T108" s="808"/>
      <c r="U108" s="809"/>
      <c r="V108" s="606"/>
      <c r="W108" s="808"/>
      <c r="X108" s="809"/>
      <c r="Y108" s="606"/>
      <c r="Z108" s="808"/>
      <c r="AA108" s="809"/>
      <c r="AB108" s="606"/>
      <c r="AC108" s="808"/>
      <c r="AD108" s="809"/>
      <c r="AE108" s="606"/>
      <c r="AF108" s="808"/>
      <c r="AG108" s="809"/>
      <c r="AH108" s="606"/>
      <c r="AI108" s="808">
        <v>1.8</v>
      </c>
      <c r="AJ108" s="809">
        <v>2</v>
      </c>
      <c r="AK108" s="606">
        <f t="shared" ref="AK108:AK118" si="52">IF(AI108=0, "    ---- ", IF(ABS(ROUND(100/AI108*AJ108-100,1))&lt;999,ROUND(100/AI108*AJ108-100,1),IF(ROUND(100/AI108*AJ108-100,1)&gt;999,999,-999)))</f>
        <v>11.1</v>
      </c>
      <c r="AL108" s="605">
        <f t="shared" si="24"/>
        <v>1.8</v>
      </c>
      <c r="AM108" s="605">
        <f t="shared" si="24"/>
        <v>2</v>
      </c>
      <c r="AN108" s="606">
        <f t="shared" ref="AN108:AN118" si="53">IF(AL108=0, "    ---- ", IF(ABS(ROUND(100/AL108*AM108-100,1))&lt;999,ROUND(100/AL108*AM108-100,1),IF(ROUND(100/AL108*AM108-100,1)&gt;999,999,-999)))</f>
        <v>11.1</v>
      </c>
      <c r="AO108" s="564">
        <f t="shared" ref="AO108:AP118" si="54">+B108+E108+H108+K108+N108+Q108+T108+W108+Z108+AC108+AF108+AI108</f>
        <v>1.8</v>
      </c>
      <c r="AP108" s="564">
        <f t="shared" si="54"/>
        <v>2</v>
      </c>
      <c r="AQ108" s="606">
        <f t="shared" ref="AQ108:AQ118" si="55">IF(AO108=0, "    ---- ", IF(ABS(ROUND(100/AO108*AP108-100,1))&lt;999,ROUND(100/AO108*AP108-100,1),IF(ROUND(100/AO108*AP108-100,1)&gt;999,999,-999)))</f>
        <v>11.1</v>
      </c>
      <c r="AR108" s="613"/>
      <c r="AS108" s="613"/>
      <c r="AT108" s="614"/>
      <c r="AU108" s="614"/>
    </row>
    <row r="109" spans="1:47" s="615" customFormat="1" ht="18.75" customHeight="1" x14ac:dyDescent="0.3">
      <c r="A109" s="612" t="s">
        <v>374</v>
      </c>
      <c r="B109" s="808"/>
      <c r="C109" s="809"/>
      <c r="D109" s="605"/>
      <c r="E109" s="808"/>
      <c r="F109" s="809"/>
      <c r="G109" s="606"/>
      <c r="H109" s="907"/>
      <c r="I109" s="605"/>
      <c r="J109" s="606"/>
      <c r="K109" s="808"/>
      <c r="L109" s="809"/>
      <c r="M109" s="605"/>
      <c r="N109" s="808"/>
      <c r="O109" s="809"/>
      <c r="P109" s="606"/>
      <c r="Q109" s="808"/>
      <c r="R109" s="605"/>
      <c r="S109" s="606"/>
      <c r="T109" s="808"/>
      <c r="U109" s="809"/>
      <c r="V109" s="606"/>
      <c r="W109" s="808"/>
      <c r="X109" s="809"/>
      <c r="Y109" s="606"/>
      <c r="Z109" s="808"/>
      <c r="AA109" s="809"/>
      <c r="AB109" s="606"/>
      <c r="AC109" s="808"/>
      <c r="AD109" s="809"/>
      <c r="AE109" s="606"/>
      <c r="AF109" s="808"/>
      <c r="AG109" s="809"/>
      <c r="AH109" s="606"/>
      <c r="AI109" s="808">
        <v>-1.1000000000000001</v>
      </c>
      <c r="AJ109" s="809"/>
      <c r="AK109" s="606">
        <f t="shared" si="52"/>
        <v>-100</v>
      </c>
      <c r="AL109" s="605">
        <f t="shared" si="24"/>
        <v>-1.1000000000000001</v>
      </c>
      <c r="AM109" s="605">
        <f t="shared" si="24"/>
        <v>0</v>
      </c>
      <c r="AN109" s="606">
        <f t="shared" si="53"/>
        <v>-100</v>
      </c>
      <c r="AO109" s="564">
        <f t="shared" si="54"/>
        <v>-1.1000000000000001</v>
      </c>
      <c r="AP109" s="564">
        <f t="shared" si="54"/>
        <v>0</v>
      </c>
      <c r="AQ109" s="606">
        <f t="shared" si="55"/>
        <v>-100</v>
      </c>
      <c r="AR109" s="613"/>
      <c r="AS109" s="613"/>
      <c r="AT109" s="614"/>
      <c r="AU109" s="614"/>
    </row>
    <row r="110" spans="1:47" s="615" customFormat="1" ht="18.75" customHeight="1" x14ac:dyDescent="0.3">
      <c r="A110" s="612" t="s">
        <v>375</v>
      </c>
      <c r="B110" s="808"/>
      <c r="C110" s="809"/>
      <c r="D110" s="605"/>
      <c r="E110" s="808"/>
      <c r="F110" s="809"/>
      <c r="G110" s="606"/>
      <c r="H110" s="907"/>
      <c r="I110" s="605"/>
      <c r="J110" s="606"/>
      <c r="K110" s="808"/>
      <c r="L110" s="809"/>
      <c r="M110" s="605"/>
      <c r="N110" s="808"/>
      <c r="O110" s="809"/>
      <c r="P110" s="606"/>
      <c r="Q110" s="808"/>
      <c r="R110" s="605"/>
      <c r="S110" s="606"/>
      <c r="T110" s="808"/>
      <c r="U110" s="809"/>
      <c r="V110" s="606"/>
      <c r="W110" s="808"/>
      <c r="X110" s="809"/>
      <c r="Y110" s="606"/>
      <c r="Z110" s="808"/>
      <c r="AA110" s="809"/>
      <c r="AB110" s="606"/>
      <c r="AC110" s="808"/>
      <c r="AD110" s="809"/>
      <c r="AE110" s="606"/>
      <c r="AF110" s="808"/>
      <c r="AG110" s="809"/>
      <c r="AH110" s="606"/>
      <c r="AI110" s="808">
        <v>2.1</v>
      </c>
      <c r="AJ110" s="809"/>
      <c r="AK110" s="606">
        <f t="shared" si="52"/>
        <v>-100</v>
      </c>
      <c r="AL110" s="605">
        <f t="shared" si="24"/>
        <v>2.1</v>
      </c>
      <c r="AM110" s="605">
        <f t="shared" si="24"/>
        <v>0</v>
      </c>
      <c r="AN110" s="606">
        <f t="shared" si="53"/>
        <v>-100</v>
      </c>
      <c r="AO110" s="564">
        <f t="shared" si="54"/>
        <v>2.1</v>
      </c>
      <c r="AP110" s="564">
        <f t="shared" si="54"/>
        <v>0</v>
      </c>
      <c r="AQ110" s="606">
        <f t="shared" si="55"/>
        <v>-100</v>
      </c>
      <c r="AR110" s="613"/>
      <c r="AS110" s="613"/>
      <c r="AT110" s="614"/>
      <c r="AU110" s="614"/>
    </row>
    <row r="111" spans="1:47" s="615" customFormat="1" ht="18.75" customHeight="1" x14ac:dyDescent="0.3">
      <c r="A111" s="612" t="s">
        <v>376</v>
      </c>
      <c r="B111" s="808"/>
      <c r="C111" s="809"/>
      <c r="D111" s="605"/>
      <c r="E111" s="808"/>
      <c r="F111" s="809"/>
      <c r="G111" s="606"/>
      <c r="H111" s="907"/>
      <c r="I111" s="605"/>
      <c r="J111" s="606"/>
      <c r="K111" s="808"/>
      <c r="L111" s="809"/>
      <c r="M111" s="605"/>
      <c r="N111" s="808"/>
      <c r="O111" s="809"/>
      <c r="P111" s="606"/>
      <c r="Q111" s="808"/>
      <c r="R111" s="605"/>
      <c r="S111" s="606"/>
      <c r="T111" s="808"/>
      <c r="U111" s="809"/>
      <c r="V111" s="606"/>
      <c r="W111" s="808"/>
      <c r="X111" s="809"/>
      <c r="Y111" s="606"/>
      <c r="Z111" s="808"/>
      <c r="AA111" s="809"/>
      <c r="AB111" s="606"/>
      <c r="AC111" s="808"/>
      <c r="AD111" s="809"/>
      <c r="AE111" s="606"/>
      <c r="AF111" s="808"/>
      <c r="AG111" s="809"/>
      <c r="AH111" s="606"/>
      <c r="AI111" s="808"/>
      <c r="AJ111" s="809"/>
      <c r="AK111" s="606"/>
      <c r="AL111" s="605">
        <f t="shared" si="24"/>
        <v>0</v>
      </c>
      <c r="AM111" s="605">
        <f t="shared" si="24"/>
        <v>0</v>
      </c>
      <c r="AN111" s="606" t="str">
        <f t="shared" si="53"/>
        <v xml:space="preserve">    ---- </v>
      </c>
      <c r="AO111" s="564">
        <f t="shared" si="54"/>
        <v>0</v>
      </c>
      <c r="AP111" s="564">
        <f t="shared" si="54"/>
        <v>0</v>
      </c>
      <c r="AQ111" s="606" t="str">
        <f t="shared" si="55"/>
        <v xml:space="preserve">    ---- </v>
      </c>
      <c r="AR111" s="613"/>
      <c r="AS111" s="613"/>
      <c r="AT111" s="614"/>
      <c r="AU111" s="614"/>
    </row>
    <row r="112" spans="1:47" s="615" customFormat="1" ht="18.75" customHeight="1" x14ac:dyDescent="0.3">
      <c r="A112" s="612" t="s">
        <v>377</v>
      </c>
      <c r="B112" s="808"/>
      <c r="C112" s="809"/>
      <c r="D112" s="605"/>
      <c r="E112" s="808"/>
      <c r="F112" s="809"/>
      <c r="G112" s="606"/>
      <c r="H112" s="907"/>
      <c r="I112" s="605"/>
      <c r="J112" s="606"/>
      <c r="K112" s="808"/>
      <c r="L112" s="809"/>
      <c r="M112" s="605"/>
      <c r="N112" s="808"/>
      <c r="O112" s="809"/>
      <c r="P112" s="606"/>
      <c r="Q112" s="808"/>
      <c r="R112" s="605"/>
      <c r="S112" s="606"/>
      <c r="T112" s="808"/>
      <c r="U112" s="809"/>
      <c r="V112" s="606"/>
      <c r="W112" s="808"/>
      <c r="X112" s="809"/>
      <c r="Y112" s="606"/>
      <c r="Z112" s="808"/>
      <c r="AA112" s="809"/>
      <c r="AB112" s="606"/>
      <c r="AC112" s="808"/>
      <c r="AD112" s="809"/>
      <c r="AE112" s="606"/>
      <c r="AF112" s="808"/>
      <c r="AG112" s="809"/>
      <c r="AH112" s="606"/>
      <c r="AI112" s="808"/>
      <c r="AJ112" s="809"/>
      <c r="AK112" s="606"/>
      <c r="AL112" s="605">
        <f t="shared" si="24"/>
        <v>0</v>
      </c>
      <c r="AM112" s="605">
        <f t="shared" si="24"/>
        <v>0</v>
      </c>
      <c r="AN112" s="606" t="str">
        <f t="shared" si="53"/>
        <v xml:space="preserve">    ---- </v>
      </c>
      <c r="AO112" s="564">
        <f t="shared" si="54"/>
        <v>0</v>
      </c>
      <c r="AP112" s="564">
        <f t="shared" si="54"/>
        <v>0</v>
      </c>
      <c r="AQ112" s="606" t="str">
        <f t="shared" si="55"/>
        <v xml:space="preserve">    ---- </v>
      </c>
      <c r="AR112" s="613"/>
      <c r="AS112" s="613"/>
      <c r="AT112" s="614"/>
      <c r="AU112" s="614"/>
    </row>
    <row r="113" spans="1:47" s="615" customFormat="1" ht="18.75" customHeight="1" x14ac:dyDescent="0.3">
      <c r="A113" s="612" t="s">
        <v>378</v>
      </c>
      <c r="B113" s="808"/>
      <c r="C113" s="809"/>
      <c r="D113" s="605"/>
      <c r="E113" s="808"/>
      <c r="F113" s="809"/>
      <c r="G113" s="606"/>
      <c r="H113" s="907"/>
      <c r="I113" s="605"/>
      <c r="J113" s="606"/>
      <c r="K113" s="808"/>
      <c r="L113" s="809"/>
      <c r="M113" s="605"/>
      <c r="N113" s="808"/>
      <c r="O113" s="809"/>
      <c r="P113" s="606"/>
      <c r="Q113" s="808"/>
      <c r="R113" s="605"/>
      <c r="S113" s="606"/>
      <c r="T113" s="808"/>
      <c r="U113" s="809"/>
      <c r="V113" s="606"/>
      <c r="W113" s="808"/>
      <c r="X113" s="809"/>
      <c r="Y113" s="606"/>
      <c r="Z113" s="808"/>
      <c r="AA113" s="809"/>
      <c r="AB113" s="606"/>
      <c r="AC113" s="808"/>
      <c r="AD113" s="809"/>
      <c r="AE113" s="606"/>
      <c r="AF113" s="808"/>
      <c r="AG113" s="809"/>
      <c r="AH113" s="606"/>
      <c r="AI113" s="808">
        <v>0.1</v>
      </c>
      <c r="AJ113" s="809"/>
      <c r="AK113" s="606">
        <f t="shared" si="52"/>
        <v>-100</v>
      </c>
      <c r="AL113" s="605">
        <f t="shared" si="24"/>
        <v>0.1</v>
      </c>
      <c r="AM113" s="605">
        <f t="shared" si="24"/>
        <v>0</v>
      </c>
      <c r="AN113" s="606">
        <f t="shared" si="53"/>
        <v>-100</v>
      </c>
      <c r="AO113" s="564">
        <f t="shared" si="54"/>
        <v>0.1</v>
      </c>
      <c r="AP113" s="564">
        <f t="shared" si="54"/>
        <v>0</v>
      </c>
      <c r="AQ113" s="606">
        <f t="shared" si="55"/>
        <v>-100</v>
      </c>
      <c r="AR113" s="613"/>
      <c r="AS113" s="613"/>
      <c r="AT113" s="614"/>
      <c r="AU113" s="614"/>
    </row>
    <row r="114" spans="1:47" s="615" customFormat="1" ht="18.75" customHeight="1" x14ac:dyDescent="0.3">
      <c r="A114" s="612" t="s">
        <v>379</v>
      </c>
      <c r="B114" s="808"/>
      <c r="C114" s="809"/>
      <c r="D114" s="605"/>
      <c r="E114" s="808"/>
      <c r="F114" s="809"/>
      <c r="G114" s="606"/>
      <c r="H114" s="907"/>
      <c r="I114" s="605"/>
      <c r="J114" s="606"/>
      <c r="K114" s="808"/>
      <c r="L114" s="809"/>
      <c r="M114" s="605"/>
      <c r="N114" s="808"/>
      <c r="O114" s="809"/>
      <c r="P114" s="606"/>
      <c r="Q114" s="808"/>
      <c r="R114" s="605"/>
      <c r="S114" s="606"/>
      <c r="T114" s="808"/>
      <c r="U114" s="809"/>
      <c r="V114" s="606"/>
      <c r="W114" s="808"/>
      <c r="X114" s="809"/>
      <c r="Y114" s="606"/>
      <c r="Z114" s="808"/>
      <c r="AA114" s="809"/>
      <c r="AB114" s="606"/>
      <c r="AC114" s="808"/>
      <c r="AD114" s="809"/>
      <c r="AE114" s="606"/>
      <c r="AF114" s="808"/>
      <c r="AG114" s="809"/>
      <c r="AH114" s="606"/>
      <c r="AI114" s="808"/>
      <c r="AJ114" s="809"/>
      <c r="AK114" s="606"/>
      <c r="AL114" s="605">
        <f t="shared" si="24"/>
        <v>0</v>
      </c>
      <c r="AM114" s="605">
        <f t="shared" si="24"/>
        <v>0</v>
      </c>
      <c r="AN114" s="606" t="str">
        <f t="shared" si="53"/>
        <v xml:space="preserve">    ---- </v>
      </c>
      <c r="AO114" s="564">
        <f t="shared" si="54"/>
        <v>0</v>
      </c>
      <c r="AP114" s="564">
        <f t="shared" si="54"/>
        <v>0</v>
      </c>
      <c r="AQ114" s="606" t="str">
        <f t="shared" si="55"/>
        <v xml:space="preserve">    ---- </v>
      </c>
      <c r="AR114" s="613"/>
      <c r="AS114" s="613"/>
      <c r="AT114" s="614"/>
      <c r="AU114" s="614"/>
    </row>
    <row r="115" spans="1:47" s="615" customFormat="1" ht="18.75" customHeight="1" x14ac:dyDescent="0.3">
      <c r="A115" s="612" t="s">
        <v>380</v>
      </c>
      <c r="B115" s="808"/>
      <c r="C115" s="809"/>
      <c r="D115" s="605"/>
      <c r="E115" s="808"/>
      <c r="F115" s="809"/>
      <c r="G115" s="606"/>
      <c r="H115" s="907"/>
      <c r="I115" s="605"/>
      <c r="J115" s="606"/>
      <c r="K115" s="808"/>
      <c r="L115" s="809"/>
      <c r="M115" s="605"/>
      <c r="N115" s="808"/>
      <c r="O115" s="809"/>
      <c r="P115" s="606"/>
      <c r="Q115" s="808"/>
      <c r="R115" s="605"/>
      <c r="S115" s="606"/>
      <c r="T115" s="808"/>
      <c r="U115" s="809"/>
      <c r="V115" s="606"/>
      <c r="W115" s="808"/>
      <c r="X115" s="809"/>
      <c r="Y115" s="606"/>
      <c r="Z115" s="808"/>
      <c r="AA115" s="809"/>
      <c r="AB115" s="606"/>
      <c r="AC115" s="808"/>
      <c r="AD115" s="809"/>
      <c r="AE115" s="606"/>
      <c r="AF115" s="808"/>
      <c r="AG115" s="809"/>
      <c r="AH115" s="606"/>
      <c r="AI115" s="808"/>
      <c r="AJ115" s="809"/>
      <c r="AK115" s="606"/>
      <c r="AL115" s="605">
        <f t="shared" si="24"/>
        <v>0</v>
      </c>
      <c r="AM115" s="605">
        <f t="shared" si="24"/>
        <v>0</v>
      </c>
      <c r="AN115" s="606" t="str">
        <f t="shared" si="53"/>
        <v xml:space="preserve">    ---- </v>
      </c>
      <c r="AO115" s="564">
        <f t="shared" si="54"/>
        <v>0</v>
      </c>
      <c r="AP115" s="564">
        <f t="shared" si="54"/>
        <v>0</v>
      </c>
      <c r="AQ115" s="606" t="str">
        <f t="shared" si="55"/>
        <v xml:space="preserve">    ---- </v>
      </c>
      <c r="AR115" s="613"/>
      <c r="AS115" s="613"/>
      <c r="AT115" s="614"/>
      <c r="AU115" s="614"/>
    </row>
    <row r="116" spans="1:47" s="618" customFormat="1" ht="18.75" customHeight="1" x14ac:dyDescent="0.3">
      <c r="A116" s="611" t="s">
        <v>381</v>
      </c>
      <c r="B116" s="801"/>
      <c r="C116" s="811"/>
      <c r="D116" s="603"/>
      <c r="E116" s="810"/>
      <c r="F116" s="811"/>
      <c r="G116" s="604"/>
      <c r="H116" s="908"/>
      <c r="I116" s="603"/>
      <c r="J116" s="604"/>
      <c r="K116" s="810"/>
      <c r="L116" s="811"/>
      <c r="M116" s="603"/>
      <c r="N116" s="810"/>
      <c r="O116" s="811"/>
      <c r="P116" s="604"/>
      <c r="Q116" s="810"/>
      <c r="R116" s="603"/>
      <c r="S116" s="604"/>
      <c r="T116" s="810"/>
      <c r="U116" s="811"/>
      <c r="V116" s="604"/>
      <c r="W116" s="810"/>
      <c r="X116" s="811"/>
      <c r="Y116" s="604"/>
      <c r="Z116" s="810"/>
      <c r="AA116" s="811"/>
      <c r="AB116" s="604"/>
      <c r="AC116" s="810"/>
      <c r="AD116" s="811"/>
      <c r="AE116" s="604"/>
      <c r="AF116" s="810"/>
      <c r="AG116" s="811"/>
      <c r="AH116" s="604"/>
      <c r="AI116" s="810">
        <v>2.9</v>
      </c>
      <c r="AJ116" s="811">
        <f>SUM(AJ108:AJ113)+AJ115</f>
        <v>2</v>
      </c>
      <c r="AK116" s="604">
        <f t="shared" si="52"/>
        <v>-31</v>
      </c>
      <c r="AL116" s="603">
        <f>B116+E116+H116+K116+Q116+T116+W116+Z116+AF116+AI116</f>
        <v>2.9</v>
      </c>
      <c r="AM116" s="603">
        <f>C116+F116+I116+L116+R116+U116+X116+AA116+AG116+AJ116</f>
        <v>2</v>
      </c>
      <c r="AN116" s="604">
        <f t="shared" si="53"/>
        <v>-31</v>
      </c>
      <c r="AO116" s="566">
        <f t="shared" si="54"/>
        <v>2.9</v>
      </c>
      <c r="AP116" s="566">
        <f t="shared" si="54"/>
        <v>2</v>
      </c>
      <c r="AQ116" s="604">
        <f t="shared" si="55"/>
        <v>-31</v>
      </c>
      <c r="AR116" s="608" t="e">
        <f>B116,C116,E116,F116,H116,I116,K116,L116,N116,O116,Q116,R116,T116,U116,W116,X116,Z116,AA116,AC116,AD116,#REF!,#REF!,AF116,AG116,AI116,AJ116,AL116,AM116,AO116,AP116</f>
        <v>#REF!</v>
      </c>
      <c r="AS116" s="616"/>
      <c r="AT116" s="617"/>
      <c r="AU116" s="617"/>
    </row>
    <row r="117" spans="1:47" s="615" customFormat="1" ht="18.75" customHeight="1" x14ac:dyDescent="0.3">
      <c r="A117" s="612" t="s">
        <v>382</v>
      </c>
      <c r="B117" s="808"/>
      <c r="C117" s="809"/>
      <c r="D117" s="605"/>
      <c r="E117" s="808"/>
      <c r="F117" s="809"/>
      <c r="G117" s="606"/>
      <c r="H117" s="907"/>
      <c r="I117" s="605"/>
      <c r="J117" s="606"/>
      <c r="K117" s="808"/>
      <c r="L117" s="809"/>
      <c r="M117" s="605"/>
      <c r="N117" s="808"/>
      <c r="O117" s="809"/>
      <c r="P117" s="606"/>
      <c r="Q117" s="808"/>
      <c r="R117" s="605"/>
      <c r="S117" s="606"/>
      <c r="T117" s="808"/>
      <c r="U117" s="809"/>
      <c r="V117" s="606"/>
      <c r="W117" s="808"/>
      <c r="X117" s="809"/>
      <c r="Y117" s="606"/>
      <c r="Z117" s="808"/>
      <c r="AA117" s="809"/>
      <c r="AB117" s="606"/>
      <c r="AC117" s="808"/>
      <c r="AD117" s="809"/>
      <c r="AE117" s="606"/>
      <c r="AF117" s="808"/>
      <c r="AG117" s="809"/>
      <c r="AH117" s="606"/>
      <c r="AI117" s="808">
        <v>0.79999999999999993</v>
      </c>
      <c r="AJ117" s="809">
        <v>2</v>
      </c>
      <c r="AK117" s="606">
        <f t="shared" si="52"/>
        <v>150</v>
      </c>
      <c r="AL117" s="605">
        <f t="shared" si="24"/>
        <v>0.79999999999999993</v>
      </c>
      <c r="AM117" s="605">
        <f t="shared" si="24"/>
        <v>2</v>
      </c>
      <c r="AN117" s="606">
        <f t="shared" si="53"/>
        <v>150</v>
      </c>
      <c r="AO117" s="564">
        <f t="shared" si="54"/>
        <v>0.79999999999999993</v>
      </c>
      <c r="AP117" s="564">
        <f t="shared" si="54"/>
        <v>2</v>
      </c>
      <c r="AQ117" s="606">
        <f t="shared" si="55"/>
        <v>150</v>
      </c>
      <c r="AR117" s="613"/>
      <c r="AS117" s="613"/>
      <c r="AT117" s="614"/>
      <c r="AU117" s="614"/>
    </row>
    <row r="118" spans="1:47" s="615" customFormat="1" ht="18.75" customHeight="1" x14ac:dyDescent="0.3">
      <c r="A118" s="612" t="s">
        <v>383</v>
      </c>
      <c r="B118" s="808"/>
      <c r="C118" s="809"/>
      <c r="D118" s="605"/>
      <c r="E118" s="808"/>
      <c r="F118" s="809"/>
      <c r="G118" s="606"/>
      <c r="H118" s="907"/>
      <c r="I118" s="605"/>
      <c r="J118" s="606"/>
      <c r="K118" s="808"/>
      <c r="L118" s="809"/>
      <c r="M118" s="605"/>
      <c r="N118" s="808"/>
      <c r="O118" s="809"/>
      <c r="P118" s="606"/>
      <c r="Q118" s="808"/>
      <c r="R118" s="605"/>
      <c r="S118" s="606"/>
      <c r="T118" s="808"/>
      <c r="U118" s="809"/>
      <c r="V118" s="606"/>
      <c r="W118" s="808"/>
      <c r="X118" s="809"/>
      <c r="Y118" s="606"/>
      <c r="Z118" s="808"/>
      <c r="AA118" s="809"/>
      <c r="AB118" s="606"/>
      <c r="AC118" s="808"/>
      <c r="AD118" s="809"/>
      <c r="AE118" s="606"/>
      <c r="AF118" s="808"/>
      <c r="AG118" s="809"/>
      <c r="AH118" s="606"/>
      <c r="AI118" s="808">
        <v>2.1</v>
      </c>
      <c r="AJ118" s="809"/>
      <c r="AK118" s="606">
        <f t="shared" si="52"/>
        <v>-100</v>
      </c>
      <c r="AL118" s="605">
        <f t="shared" si="24"/>
        <v>2.1</v>
      </c>
      <c r="AM118" s="605">
        <f t="shared" si="24"/>
        <v>0</v>
      </c>
      <c r="AN118" s="606">
        <f t="shared" si="53"/>
        <v>-100</v>
      </c>
      <c r="AO118" s="564">
        <f t="shared" si="54"/>
        <v>2.1</v>
      </c>
      <c r="AP118" s="564">
        <f t="shared" si="54"/>
        <v>0</v>
      </c>
      <c r="AQ118" s="606">
        <f t="shared" si="55"/>
        <v>-100</v>
      </c>
      <c r="AR118" s="613"/>
      <c r="AS118" s="613"/>
      <c r="AT118" s="614"/>
      <c r="AU118" s="614"/>
    </row>
    <row r="119" spans="1:47" s="607" customFormat="1" ht="18.75" customHeight="1" x14ac:dyDescent="0.3">
      <c r="A119" s="568"/>
      <c r="B119" s="812"/>
      <c r="C119" s="813"/>
      <c r="D119" s="619"/>
      <c r="E119" s="812"/>
      <c r="F119" s="813"/>
      <c r="G119" s="620"/>
      <c r="H119" s="909"/>
      <c r="I119" s="619"/>
      <c r="J119" s="620"/>
      <c r="K119" s="812"/>
      <c r="L119" s="813"/>
      <c r="M119" s="619"/>
      <c r="N119" s="812"/>
      <c r="O119" s="813"/>
      <c r="P119" s="620"/>
      <c r="Q119" s="812"/>
      <c r="R119" s="619"/>
      <c r="S119" s="620"/>
      <c r="T119" s="812"/>
      <c r="U119" s="813"/>
      <c r="V119" s="620"/>
      <c r="W119" s="812"/>
      <c r="X119" s="813"/>
      <c r="Y119" s="620"/>
      <c r="Z119" s="812"/>
      <c r="AA119" s="813"/>
      <c r="AB119" s="620"/>
      <c r="AC119" s="812"/>
      <c r="AD119" s="813"/>
      <c r="AE119" s="620"/>
      <c r="AF119" s="812"/>
      <c r="AG119" s="813"/>
      <c r="AH119" s="620"/>
      <c r="AI119" s="812"/>
      <c r="AJ119" s="813"/>
      <c r="AK119" s="620"/>
      <c r="AL119" s="619"/>
      <c r="AM119" s="619"/>
      <c r="AN119" s="620"/>
      <c r="AO119" s="570"/>
      <c r="AP119" s="570"/>
      <c r="AQ119" s="620"/>
      <c r="AR119" s="589"/>
      <c r="AS119" s="589"/>
      <c r="AT119" s="584"/>
      <c r="AU119" s="584"/>
    </row>
    <row r="120" spans="1:47" s="607" customFormat="1" ht="18.75" customHeight="1" x14ac:dyDescent="0.3">
      <c r="A120" s="556"/>
      <c r="B120" s="808"/>
      <c r="C120" s="809"/>
      <c r="D120" s="605"/>
      <c r="E120" s="808"/>
      <c r="F120" s="809"/>
      <c r="G120" s="606"/>
      <c r="H120" s="907"/>
      <c r="I120" s="605"/>
      <c r="J120" s="606"/>
      <c r="K120" s="808"/>
      <c r="L120" s="809"/>
      <c r="M120" s="605"/>
      <c r="N120" s="808"/>
      <c r="O120" s="809"/>
      <c r="P120" s="606"/>
      <c r="Q120" s="808"/>
      <c r="R120" s="605"/>
      <c r="S120" s="606"/>
      <c r="T120" s="808"/>
      <c r="U120" s="809"/>
      <c r="V120" s="606"/>
      <c r="W120" s="808"/>
      <c r="X120" s="809"/>
      <c r="Y120" s="606"/>
      <c r="Z120" s="808"/>
      <c r="AA120" s="809"/>
      <c r="AB120" s="606"/>
      <c r="AC120" s="808"/>
      <c r="AD120" s="809"/>
      <c r="AE120" s="606"/>
      <c r="AF120" s="808"/>
      <c r="AG120" s="809"/>
      <c r="AH120" s="606"/>
      <c r="AI120" s="808"/>
      <c r="AJ120" s="809"/>
      <c r="AK120" s="606"/>
      <c r="AL120" s="605"/>
      <c r="AM120" s="605"/>
      <c r="AN120" s="606"/>
      <c r="AO120" s="564"/>
      <c r="AP120" s="564"/>
      <c r="AQ120" s="606"/>
      <c r="AR120" s="589"/>
      <c r="AS120" s="589"/>
      <c r="AT120" s="584"/>
      <c r="AU120" s="584"/>
    </row>
    <row r="121" spans="1:47" s="607" customFormat="1" ht="18.75" customHeight="1" x14ac:dyDescent="0.3">
      <c r="A121" s="550" t="s">
        <v>402</v>
      </c>
      <c r="B121" s="808"/>
      <c r="C121" s="809"/>
      <c r="D121" s="605"/>
      <c r="E121" s="808"/>
      <c r="F121" s="809"/>
      <c r="G121" s="606"/>
      <c r="H121" s="907"/>
      <c r="I121" s="605"/>
      <c r="J121" s="606"/>
      <c r="K121" s="808"/>
      <c r="L121" s="809"/>
      <c r="M121" s="605"/>
      <c r="N121" s="808"/>
      <c r="O121" s="809"/>
      <c r="P121" s="606"/>
      <c r="Q121" s="808"/>
      <c r="R121" s="605"/>
      <c r="S121" s="606"/>
      <c r="T121" s="808"/>
      <c r="U121" s="809"/>
      <c r="V121" s="606"/>
      <c r="W121" s="808"/>
      <c r="X121" s="809"/>
      <c r="Y121" s="606"/>
      <c r="Z121" s="808"/>
      <c r="AA121" s="809"/>
      <c r="AB121" s="606"/>
      <c r="AC121" s="808"/>
      <c r="AD121" s="809"/>
      <c r="AE121" s="606"/>
      <c r="AF121" s="808"/>
      <c r="AG121" s="809"/>
      <c r="AH121" s="606"/>
      <c r="AI121" s="808"/>
      <c r="AJ121" s="809"/>
      <c r="AK121" s="606"/>
      <c r="AL121" s="605"/>
      <c r="AM121" s="605"/>
      <c r="AN121" s="606"/>
      <c r="AO121" s="564"/>
      <c r="AP121" s="564"/>
      <c r="AQ121" s="606"/>
      <c r="AR121" s="589"/>
      <c r="AS121" s="589"/>
      <c r="AT121" s="584"/>
      <c r="AU121" s="584"/>
    </row>
    <row r="122" spans="1:47" s="607" customFormat="1" ht="18.75" customHeight="1" x14ac:dyDescent="0.3">
      <c r="A122" s="556" t="s">
        <v>373</v>
      </c>
      <c r="B122" s="808"/>
      <c r="C122" s="809"/>
      <c r="D122" s="605"/>
      <c r="E122" s="808"/>
      <c r="F122" s="809"/>
      <c r="G122" s="606"/>
      <c r="H122" s="907"/>
      <c r="I122" s="605"/>
      <c r="J122" s="606"/>
      <c r="K122" s="808"/>
      <c r="L122" s="809"/>
      <c r="M122" s="605"/>
      <c r="N122" s="808"/>
      <c r="O122" s="809"/>
      <c r="P122" s="606"/>
      <c r="Q122" s="808">
        <v>5267.8052239537637</v>
      </c>
      <c r="R122" s="605"/>
      <c r="S122" s="606">
        <f t="shared" ref="S122:S144" si="56">IF(Q122=0, "    ---- ", IF(ABS(ROUND(100/Q122*R122-100,1))&lt;999,ROUND(100/Q122*R122-100,1),IF(ROUND(100/Q122*R122-100,1)&gt;999,999,-999)))</f>
        <v>-100</v>
      </c>
      <c r="T122" s="808"/>
      <c r="U122" s="809"/>
      <c r="V122" s="606"/>
      <c r="W122" s="808"/>
      <c r="X122" s="809"/>
      <c r="Y122" s="606"/>
      <c r="Z122" s="808">
        <v>1727</v>
      </c>
      <c r="AA122" s="809">
        <v>396</v>
      </c>
      <c r="AB122" s="606">
        <f t="shared" ref="AB122:AB132" si="57">IF(Z122=0, "    ---- ", IF(ABS(ROUND(100/Z122*AA122-100,1))&lt;999,ROUND(100/Z122*AA122-100,1),IF(ROUND(100/Z122*AA122-100,1)&gt;999,999,-999)))</f>
        <v>-77.099999999999994</v>
      </c>
      <c r="AC122" s="808"/>
      <c r="AD122" s="809"/>
      <c r="AE122" s="606"/>
      <c r="AF122" s="808"/>
      <c r="AG122" s="809"/>
      <c r="AH122" s="606"/>
      <c r="AI122" s="808">
        <v>4.8</v>
      </c>
      <c r="AJ122" s="809">
        <v>34.5</v>
      </c>
      <c r="AK122" s="606">
        <f t="shared" ref="AK122:AK132" si="58">IF(AI122=0, "    ---- ", IF(ABS(ROUND(100/AI122*AJ122-100,1))&lt;999,ROUND(100/AI122*AJ122-100,1),IF(ROUND(100/AI122*AJ122-100,1)&gt;999,999,-999)))</f>
        <v>618.79999999999995</v>
      </c>
      <c r="AL122" s="605">
        <f t="shared" ref="AL122:AM129" si="59">B122+E122+H122+K122+Q122+T122+W122+Z122+AF122+AI122</f>
        <v>6999.6052239537639</v>
      </c>
      <c r="AM122" s="605">
        <f t="shared" si="59"/>
        <v>430.5</v>
      </c>
      <c r="AN122" s="606">
        <f t="shared" si="17"/>
        <v>-93.8</v>
      </c>
      <c r="AO122" s="564">
        <f t="shared" ref="AO122:AP132" si="60">+B122+E122+H122+K122+N122+Q122+T122+W122+Z122+AC122+AF122+AI122</f>
        <v>6999.6052239537639</v>
      </c>
      <c r="AP122" s="564">
        <f t="shared" si="60"/>
        <v>430.5</v>
      </c>
      <c r="AQ122" s="606">
        <f t="shared" si="18"/>
        <v>-93.8</v>
      </c>
      <c r="AR122" s="589"/>
      <c r="AS122" s="589"/>
      <c r="AT122" s="584"/>
      <c r="AU122" s="584"/>
    </row>
    <row r="123" spans="1:47" s="607" customFormat="1" ht="18.75" customHeight="1" x14ac:dyDescent="0.3">
      <c r="A123" s="556" t="s">
        <v>374</v>
      </c>
      <c r="B123" s="808"/>
      <c r="C123" s="809"/>
      <c r="D123" s="605"/>
      <c r="E123" s="808"/>
      <c r="F123" s="809"/>
      <c r="G123" s="606"/>
      <c r="H123" s="907"/>
      <c r="I123" s="605"/>
      <c r="J123" s="606"/>
      <c r="K123" s="808"/>
      <c r="L123" s="809"/>
      <c r="M123" s="605"/>
      <c r="N123" s="808"/>
      <c r="O123" s="809"/>
      <c r="P123" s="606"/>
      <c r="Q123" s="808">
        <v>-20.551272999999998</v>
      </c>
      <c r="R123" s="605"/>
      <c r="S123" s="606">
        <f t="shared" si="56"/>
        <v>-100</v>
      </c>
      <c r="T123" s="808"/>
      <c r="U123" s="809"/>
      <c r="V123" s="606"/>
      <c r="W123" s="808"/>
      <c r="X123" s="809"/>
      <c r="Y123" s="606"/>
      <c r="Z123" s="808">
        <v>-377</v>
      </c>
      <c r="AA123" s="809">
        <v>262</v>
      </c>
      <c r="AB123" s="606">
        <f t="shared" si="57"/>
        <v>-169.5</v>
      </c>
      <c r="AC123" s="808"/>
      <c r="AD123" s="809"/>
      <c r="AE123" s="606"/>
      <c r="AF123" s="808"/>
      <c r="AG123" s="809"/>
      <c r="AH123" s="606"/>
      <c r="AI123" s="808">
        <v>-1.4</v>
      </c>
      <c r="AJ123" s="809">
        <v>-26</v>
      </c>
      <c r="AK123" s="606">
        <f t="shared" si="58"/>
        <v>999</v>
      </c>
      <c r="AL123" s="605">
        <f t="shared" si="59"/>
        <v>-398.95127299999996</v>
      </c>
      <c r="AM123" s="605">
        <f t="shared" si="59"/>
        <v>236</v>
      </c>
      <c r="AN123" s="606">
        <f t="shared" si="17"/>
        <v>-159.19999999999999</v>
      </c>
      <c r="AO123" s="564">
        <f t="shared" si="60"/>
        <v>-398.95127299999996</v>
      </c>
      <c r="AP123" s="564">
        <f t="shared" si="60"/>
        <v>236</v>
      </c>
      <c r="AQ123" s="606">
        <f t="shared" si="18"/>
        <v>-159.19999999999999</v>
      </c>
      <c r="AR123" s="589"/>
      <c r="AS123" s="589"/>
      <c r="AT123" s="584"/>
      <c r="AU123" s="584"/>
    </row>
    <row r="124" spans="1:47" s="607" customFormat="1" ht="18.75" customHeight="1" x14ac:dyDescent="0.3">
      <c r="A124" s="556" t="s">
        <v>375</v>
      </c>
      <c r="B124" s="808"/>
      <c r="C124" s="809"/>
      <c r="D124" s="605"/>
      <c r="E124" s="808"/>
      <c r="F124" s="809"/>
      <c r="G124" s="606"/>
      <c r="H124" s="907"/>
      <c r="I124" s="605"/>
      <c r="J124" s="606"/>
      <c r="K124" s="808"/>
      <c r="L124" s="809"/>
      <c r="M124" s="605"/>
      <c r="N124" s="808"/>
      <c r="O124" s="809"/>
      <c r="P124" s="606"/>
      <c r="Q124" s="808">
        <v>136.81818814669609</v>
      </c>
      <c r="R124" s="605"/>
      <c r="S124" s="606">
        <f t="shared" si="56"/>
        <v>-100</v>
      </c>
      <c r="T124" s="808"/>
      <c r="U124" s="809"/>
      <c r="V124" s="606"/>
      <c r="W124" s="808"/>
      <c r="X124" s="809"/>
      <c r="Y124" s="606"/>
      <c r="Z124" s="808">
        <v>47</v>
      </c>
      <c r="AA124" s="809">
        <v>55</v>
      </c>
      <c r="AB124" s="606">
        <f t="shared" si="57"/>
        <v>17</v>
      </c>
      <c r="AC124" s="808"/>
      <c r="AD124" s="809"/>
      <c r="AE124" s="606"/>
      <c r="AF124" s="808"/>
      <c r="AG124" s="809"/>
      <c r="AH124" s="606"/>
      <c r="AI124" s="808">
        <v>-5.9</v>
      </c>
      <c r="AJ124" s="809">
        <v>-5</v>
      </c>
      <c r="AK124" s="606">
        <f t="shared" si="58"/>
        <v>-15.3</v>
      </c>
      <c r="AL124" s="605">
        <f t="shared" si="59"/>
        <v>177.91818814669608</v>
      </c>
      <c r="AM124" s="605">
        <f t="shared" si="59"/>
        <v>50</v>
      </c>
      <c r="AN124" s="606">
        <f t="shared" si="17"/>
        <v>-71.900000000000006</v>
      </c>
      <c r="AO124" s="564">
        <f t="shared" si="60"/>
        <v>177.91818814669608</v>
      </c>
      <c r="AP124" s="564">
        <f t="shared" si="60"/>
        <v>50</v>
      </c>
      <c r="AQ124" s="606">
        <f t="shared" si="18"/>
        <v>-71.900000000000006</v>
      </c>
      <c r="AR124" s="589"/>
      <c r="AS124" s="589"/>
      <c r="AT124" s="584"/>
      <c r="AU124" s="584"/>
    </row>
    <row r="125" spans="1:47" s="607" customFormat="1" ht="18.75" customHeight="1" x14ac:dyDescent="0.3">
      <c r="A125" s="556" t="s">
        <v>376</v>
      </c>
      <c r="B125" s="808"/>
      <c r="C125" s="809"/>
      <c r="D125" s="605"/>
      <c r="E125" s="808"/>
      <c r="F125" s="809"/>
      <c r="G125" s="606"/>
      <c r="H125" s="907"/>
      <c r="I125" s="605"/>
      <c r="J125" s="606"/>
      <c r="K125" s="808"/>
      <c r="L125" s="809"/>
      <c r="M125" s="605"/>
      <c r="N125" s="808"/>
      <c r="O125" s="809"/>
      <c r="P125" s="606"/>
      <c r="Q125" s="808"/>
      <c r="R125" s="605"/>
      <c r="S125" s="606"/>
      <c r="T125" s="808"/>
      <c r="U125" s="809"/>
      <c r="V125" s="606"/>
      <c r="W125" s="808"/>
      <c r="X125" s="809"/>
      <c r="Y125" s="606"/>
      <c r="Z125" s="808"/>
      <c r="AA125" s="809"/>
      <c r="AB125" s="606"/>
      <c r="AC125" s="808"/>
      <c r="AD125" s="809"/>
      <c r="AE125" s="606"/>
      <c r="AF125" s="808"/>
      <c r="AG125" s="809"/>
      <c r="AH125" s="606"/>
      <c r="AI125" s="808">
        <v>5.5</v>
      </c>
      <c r="AJ125" s="809">
        <v>5.5</v>
      </c>
      <c r="AK125" s="606">
        <f t="shared" si="58"/>
        <v>0</v>
      </c>
      <c r="AL125" s="605">
        <f t="shared" si="59"/>
        <v>5.5</v>
      </c>
      <c r="AM125" s="605">
        <f t="shared" si="59"/>
        <v>5.5</v>
      </c>
      <c r="AN125" s="606">
        <f t="shared" si="17"/>
        <v>0</v>
      </c>
      <c r="AO125" s="564">
        <f t="shared" si="60"/>
        <v>5.5</v>
      </c>
      <c r="AP125" s="564">
        <f t="shared" si="60"/>
        <v>5.5</v>
      </c>
      <c r="AQ125" s="606">
        <f t="shared" si="18"/>
        <v>0</v>
      </c>
      <c r="AR125" s="589"/>
      <c r="AS125" s="589"/>
      <c r="AT125" s="584"/>
      <c r="AU125" s="584"/>
    </row>
    <row r="126" spans="1:47" s="607" customFormat="1" ht="18.75" customHeight="1" x14ac:dyDescent="0.3">
      <c r="A126" s="556" t="s">
        <v>377</v>
      </c>
      <c r="B126" s="808"/>
      <c r="C126" s="809"/>
      <c r="D126" s="605"/>
      <c r="E126" s="808"/>
      <c r="F126" s="809"/>
      <c r="G126" s="606"/>
      <c r="H126" s="907"/>
      <c r="I126" s="605"/>
      <c r="J126" s="606"/>
      <c r="K126" s="808"/>
      <c r="L126" s="809"/>
      <c r="M126" s="605"/>
      <c r="N126" s="808"/>
      <c r="O126" s="809"/>
      <c r="P126" s="606"/>
      <c r="Q126" s="808">
        <v>749.90804200000002</v>
      </c>
      <c r="R126" s="605"/>
      <c r="S126" s="606">
        <f t="shared" si="56"/>
        <v>-100</v>
      </c>
      <c r="T126" s="808"/>
      <c r="U126" s="809"/>
      <c r="V126" s="606"/>
      <c r="W126" s="808"/>
      <c r="X126" s="809"/>
      <c r="Y126" s="606"/>
      <c r="Z126" s="808">
        <v>257</v>
      </c>
      <c r="AA126" s="809">
        <v>306</v>
      </c>
      <c r="AB126" s="606">
        <f t="shared" si="57"/>
        <v>19.100000000000001</v>
      </c>
      <c r="AC126" s="808"/>
      <c r="AD126" s="809"/>
      <c r="AE126" s="606"/>
      <c r="AF126" s="808"/>
      <c r="AG126" s="809"/>
      <c r="AH126" s="606"/>
      <c r="AI126" s="808">
        <v>16.5</v>
      </c>
      <c r="AJ126" s="809">
        <v>18</v>
      </c>
      <c r="AK126" s="606">
        <f t="shared" si="58"/>
        <v>9.1</v>
      </c>
      <c r="AL126" s="605">
        <f t="shared" si="59"/>
        <v>1023.408042</v>
      </c>
      <c r="AM126" s="605">
        <f t="shared" si="59"/>
        <v>324</v>
      </c>
      <c r="AN126" s="606">
        <f t="shared" si="17"/>
        <v>-68.3</v>
      </c>
      <c r="AO126" s="564">
        <f t="shared" si="60"/>
        <v>1023.408042</v>
      </c>
      <c r="AP126" s="564">
        <f t="shared" si="60"/>
        <v>324</v>
      </c>
      <c r="AQ126" s="606">
        <f t="shared" si="18"/>
        <v>-68.3</v>
      </c>
      <c r="AR126" s="589"/>
      <c r="AS126" s="589"/>
      <c r="AT126" s="584"/>
      <c r="AU126" s="584"/>
    </row>
    <row r="127" spans="1:47" s="607" customFormat="1" ht="18.75" customHeight="1" x14ac:dyDescent="0.3">
      <c r="A127" s="556" t="s">
        <v>378</v>
      </c>
      <c r="B127" s="808"/>
      <c r="C127" s="809"/>
      <c r="D127" s="605"/>
      <c r="E127" s="808"/>
      <c r="F127" s="809"/>
      <c r="G127" s="606"/>
      <c r="H127" s="907"/>
      <c r="I127" s="605"/>
      <c r="J127" s="606"/>
      <c r="K127" s="808"/>
      <c r="L127" s="809"/>
      <c r="M127" s="605"/>
      <c r="N127" s="808"/>
      <c r="O127" s="809"/>
      <c r="P127" s="606"/>
      <c r="Q127" s="808">
        <v>955.59102550045452</v>
      </c>
      <c r="R127" s="605"/>
      <c r="S127" s="606">
        <f t="shared" si="56"/>
        <v>-100</v>
      </c>
      <c r="T127" s="808"/>
      <c r="U127" s="809"/>
      <c r="V127" s="606"/>
      <c r="W127" s="808"/>
      <c r="X127" s="809"/>
      <c r="Y127" s="606"/>
      <c r="Z127" s="808">
        <v>402</v>
      </c>
      <c r="AA127" s="809">
        <v>309</v>
      </c>
      <c r="AB127" s="606">
        <f t="shared" si="57"/>
        <v>-23.1</v>
      </c>
      <c r="AC127" s="808"/>
      <c r="AD127" s="809"/>
      <c r="AE127" s="606"/>
      <c r="AF127" s="808"/>
      <c r="AG127" s="809"/>
      <c r="AH127" s="606"/>
      <c r="AI127" s="808">
        <v>0.6</v>
      </c>
      <c r="AJ127" s="809">
        <v>0</v>
      </c>
      <c r="AK127" s="606">
        <f t="shared" si="58"/>
        <v>-100</v>
      </c>
      <c r="AL127" s="605">
        <f t="shared" si="59"/>
        <v>1358.1910255004545</v>
      </c>
      <c r="AM127" s="605">
        <f t="shared" si="59"/>
        <v>309</v>
      </c>
      <c r="AN127" s="606">
        <f t="shared" si="17"/>
        <v>-77.2</v>
      </c>
      <c r="AO127" s="564">
        <f t="shared" si="60"/>
        <v>1358.1910255004545</v>
      </c>
      <c r="AP127" s="564">
        <f t="shared" si="60"/>
        <v>309</v>
      </c>
      <c r="AQ127" s="606">
        <f t="shared" si="18"/>
        <v>-77.2</v>
      </c>
      <c r="AR127" s="589"/>
      <c r="AS127" s="589"/>
      <c r="AT127" s="584"/>
      <c r="AU127" s="584"/>
    </row>
    <row r="128" spans="1:47" s="607" customFormat="1" ht="18.75" customHeight="1" x14ac:dyDescent="0.3">
      <c r="A128" s="556" t="s">
        <v>379</v>
      </c>
      <c r="B128" s="808"/>
      <c r="C128" s="809"/>
      <c r="D128" s="605"/>
      <c r="E128" s="808"/>
      <c r="F128" s="809"/>
      <c r="G128" s="606"/>
      <c r="H128" s="907"/>
      <c r="I128" s="605"/>
      <c r="J128" s="606"/>
      <c r="K128" s="808"/>
      <c r="L128" s="809"/>
      <c r="M128" s="605"/>
      <c r="N128" s="808"/>
      <c r="O128" s="809"/>
      <c r="P128" s="606"/>
      <c r="Q128" s="808">
        <v>477.79551300000003</v>
      </c>
      <c r="R128" s="605"/>
      <c r="S128" s="606">
        <f t="shared" si="56"/>
        <v>-100</v>
      </c>
      <c r="T128" s="808"/>
      <c r="U128" s="809"/>
      <c r="V128" s="606"/>
      <c r="W128" s="808"/>
      <c r="X128" s="809"/>
      <c r="Y128" s="606"/>
      <c r="Z128" s="808">
        <v>-201</v>
      </c>
      <c r="AA128" s="809">
        <v>0</v>
      </c>
      <c r="AB128" s="606">
        <f t="shared" si="57"/>
        <v>-100</v>
      </c>
      <c r="AC128" s="808"/>
      <c r="AD128" s="809"/>
      <c r="AE128" s="606"/>
      <c r="AF128" s="808"/>
      <c r="AG128" s="809"/>
      <c r="AH128" s="606"/>
      <c r="AI128" s="808">
        <v>0.3</v>
      </c>
      <c r="AJ128" s="809">
        <v>0</v>
      </c>
      <c r="AK128" s="606">
        <f t="shared" si="58"/>
        <v>-100</v>
      </c>
      <c r="AL128" s="605">
        <f t="shared" si="59"/>
        <v>277.09551300000004</v>
      </c>
      <c r="AM128" s="605">
        <f t="shared" si="59"/>
        <v>0</v>
      </c>
      <c r="AN128" s="606">
        <f t="shared" si="17"/>
        <v>-100</v>
      </c>
      <c r="AO128" s="564">
        <f t="shared" si="60"/>
        <v>277.09551300000004</v>
      </c>
      <c r="AP128" s="564">
        <f t="shared" si="60"/>
        <v>0</v>
      </c>
      <c r="AQ128" s="606">
        <f t="shared" si="18"/>
        <v>-100</v>
      </c>
      <c r="AR128" s="589"/>
      <c r="AS128" s="589"/>
      <c r="AT128" s="584"/>
      <c r="AU128" s="584"/>
    </row>
    <row r="129" spans="1:47" s="607" customFormat="1" ht="18.75" customHeight="1" x14ac:dyDescent="0.3">
      <c r="A129" s="556" t="s">
        <v>380</v>
      </c>
      <c r="B129" s="808"/>
      <c r="C129" s="809"/>
      <c r="D129" s="605"/>
      <c r="E129" s="808"/>
      <c r="F129" s="809"/>
      <c r="G129" s="606"/>
      <c r="H129" s="907"/>
      <c r="I129" s="605"/>
      <c r="J129" s="606"/>
      <c r="K129" s="808"/>
      <c r="L129" s="809"/>
      <c r="M129" s="605"/>
      <c r="N129" s="808"/>
      <c r="O129" s="809"/>
      <c r="P129" s="606"/>
      <c r="Q129" s="808"/>
      <c r="R129" s="605"/>
      <c r="S129" s="606"/>
      <c r="T129" s="808"/>
      <c r="U129" s="809"/>
      <c r="V129" s="606"/>
      <c r="W129" s="808"/>
      <c r="X129" s="809"/>
      <c r="Y129" s="606"/>
      <c r="Z129" s="808"/>
      <c r="AA129" s="809"/>
      <c r="AB129" s="606"/>
      <c r="AC129" s="808"/>
      <c r="AD129" s="809"/>
      <c r="AE129" s="606"/>
      <c r="AF129" s="808"/>
      <c r="AG129" s="809"/>
      <c r="AH129" s="606"/>
      <c r="AI129" s="808"/>
      <c r="AJ129" s="809"/>
      <c r="AK129" s="606"/>
      <c r="AL129" s="605">
        <f t="shared" si="59"/>
        <v>0</v>
      </c>
      <c r="AM129" s="605">
        <f t="shared" si="59"/>
        <v>0</v>
      </c>
      <c r="AN129" s="606" t="str">
        <f t="shared" si="17"/>
        <v xml:space="preserve">    ---- </v>
      </c>
      <c r="AO129" s="564">
        <f t="shared" si="60"/>
        <v>0</v>
      </c>
      <c r="AP129" s="564">
        <f t="shared" si="60"/>
        <v>0</v>
      </c>
      <c r="AQ129" s="606" t="str">
        <f t="shared" si="18"/>
        <v xml:space="preserve">    ---- </v>
      </c>
      <c r="AR129" s="589"/>
      <c r="AS129" s="589"/>
      <c r="AT129" s="584"/>
      <c r="AU129" s="584"/>
    </row>
    <row r="130" spans="1:47" s="610" customFormat="1" ht="18.75" customHeight="1" x14ac:dyDescent="0.3">
      <c r="A130" s="550" t="s">
        <v>381</v>
      </c>
      <c r="B130" s="801"/>
      <c r="C130" s="811"/>
      <c r="D130" s="603"/>
      <c r="E130" s="810"/>
      <c r="F130" s="811"/>
      <c r="G130" s="604"/>
      <c r="H130" s="908"/>
      <c r="I130" s="603"/>
      <c r="J130" s="604"/>
      <c r="K130" s="810"/>
      <c r="L130" s="811"/>
      <c r="M130" s="603"/>
      <c r="N130" s="810"/>
      <c r="O130" s="811"/>
      <c r="P130" s="604"/>
      <c r="Q130" s="810">
        <v>7089.5712066009146</v>
      </c>
      <c r="R130" s="603"/>
      <c r="S130" s="604">
        <f t="shared" si="56"/>
        <v>-100</v>
      </c>
      <c r="T130" s="810"/>
      <c r="U130" s="811"/>
      <c r="V130" s="604"/>
      <c r="W130" s="810"/>
      <c r="X130" s="811"/>
      <c r="Y130" s="604"/>
      <c r="Z130" s="810">
        <v>2056</v>
      </c>
      <c r="AA130" s="811">
        <f>SUM(AA122:AA127)+AA129</f>
        <v>1328</v>
      </c>
      <c r="AB130" s="606">
        <f t="shared" si="57"/>
        <v>-35.4</v>
      </c>
      <c r="AC130" s="810"/>
      <c r="AD130" s="811"/>
      <c r="AE130" s="604"/>
      <c r="AF130" s="810"/>
      <c r="AG130" s="811"/>
      <c r="AH130" s="604"/>
      <c r="AI130" s="810">
        <v>20.100000000000001</v>
      </c>
      <c r="AJ130" s="811">
        <f>SUM(AJ122:AJ127)+AJ129</f>
        <v>27</v>
      </c>
      <c r="AK130" s="604">
        <f t="shared" si="58"/>
        <v>34.299999999999997</v>
      </c>
      <c r="AL130" s="603">
        <f>B130+E130+H130+K130+Q130+T130+W130+Z130+AF130+AI130</f>
        <v>9165.671206600915</v>
      </c>
      <c r="AM130" s="603">
        <f>C130+F130+I130+L130+R130+U130+X130+AA130+AG130+AJ130</f>
        <v>1355</v>
      </c>
      <c r="AN130" s="604">
        <f t="shared" si="17"/>
        <v>-85.2</v>
      </c>
      <c r="AO130" s="566">
        <f t="shared" si="60"/>
        <v>9165.671206600915</v>
      </c>
      <c r="AP130" s="566">
        <f t="shared" si="60"/>
        <v>1355</v>
      </c>
      <c r="AQ130" s="604">
        <f t="shared" si="18"/>
        <v>-85.2</v>
      </c>
      <c r="AR130" s="608" t="e">
        <f>B130,C130,E130,F130,H130,I130,K130,L130,N130,O130,Q130,R130,T130,U130,W130,X130,Z130,AA130,AC130,AD130,#REF!,#REF!,AF130,AG130,AI130,AJ130,AL130,AM130,AO130,AP130</f>
        <v>#REF!</v>
      </c>
      <c r="AS130" s="587"/>
      <c r="AT130" s="609"/>
      <c r="AU130" s="609"/>
    </row>
    <row r="131" spans="1:47" s="607" customFormat="1" ht="18.75" customHeight="1" x14ac:dyDescent="0.3">
      <c r="A131" s="556" t="s">
        <v>382</v>
      </c>
      <c r="B131" s="808"/>
      <c r="C131" s="809"/>
      <c r="D131" s="605"/>
      <c r="E131" s="808"/>
      <c r="F131" s="809"/>
      <c r="G131" s="606"/>
      <c r="H131" s="907"/>
      <c r="I131" s="605"/>
      <c r="J131" s="606"/>
      <c r="K131" s="808"/>
      <c r="L131" s="809"/>
      <c r="M131" s="605"/>
      <c r="N131" s="808"/>
      <c r="O131" s="809"/>
      <c r="P131" s="606"/>
      <c r="Q131" s="808">
        <v>5782.3605115262899</v>
      </c>
      <c r="R131" s="605"/>
      <c r="S131" s="606">
        <f t="shared" si="56"/>
        <v>-100</v>
      </c>
      <c r="T131" s="808"/>
      <c r="U131" s="809"/>
      <c r="V131" s="606"/>
      <c r="W131" s="808"/>
      <c r="X131" s="809"/>
      <c r="Y131" s="606"/>
      <c r="Z131" s="808">
        <v>1265</v>
      </c>
      <c r="AA131" s="809">
        <v>309</v>
      </c>
      <c r="AB131" s="606">
        <f t="shared" si="57"/>
        <v>-75.599999999999994</v>
      </c>
      <c r="AC131" s="808"/>
      <c r="AD131" s="809"/>
      <c r="AE131" s="606"/>
      <c r="AF131" s="808"/>
      <c r="AG131" s="809"/>
      <c r="AH131" s="606"/>
      <c r="AI131" s="808">
        <v>3.6999999999999997</v>
      </c>
      <c r="AJ131" s="809">
        <v>9</v>
      </c>
      <c r="AK131" s="606">
        <f t="shared" si="58"/>
        <v>143.19999999999999</v>
      </c>
      <c r="AL131" s="605">
        <f t="shared" ref="AL131:AM132" si="61">B131+E131+H131+K131+Q131+T131+W131+Z131+AF131+AI131</f>
        <v>7051.0605115262897</v>
      </c>
      <c r="AM131" s="605">
        <f t="shared" si="61"/>
        <v>318</v>
      </c>
      <c r="AN131" s="606">
        <f t="shared" si="17"/>
        <v>-95.5</v>
      </c>
      <c r="AO131" s="564">
        <f t="shared" si="60"/>
        <v>7051.0605115262897</v>
      </c>
      <c r="AP131" s="564">
        <f t="shared" si="60"/>
        <v>318</v>
      </c>
      <c r="AQ131" s="606">
        <f t="shared" si="18"/>
        <v>-95.5</v>
      </c>
      <c r="AR131" s="589"/>
      <c r="AS131" s="589"/>
      <c r="AT131" s="584"/>
      <c r="AU131" s="584"/>
    </row>
    <row r="132" spans="1:47" s="607" customFormat="1" ht="18.75" customHeight="1" x14ac:dyDescent="0.3">
      <c r="A132" s="556" t="s">
        <v>383</v>
      </c>
      <c r="B132" s="808"/>
      <c r="C132" s="809"/>
      <c r="D132" s="605"/>
      <c r="E132" s="808"/>
      <c r="F132" s="809"/>
      <c r="G132" s="606"/>
      <c r="H132" s="907"/>
      <c r="I132" s="605"/>
      <c r="J132" s="606"/>
      <c r="K132" s="808"/>
      <c r="L132" s="809"/>
      <c r="M132" s="605"/>
      <c r="N132" s="808"/>
      <c r="O132" s="809"/>
      <c r="P132" s="606"/>
      <c r="Q132" s="808">
        <v>1307.4806950746199</v>
      </c>
      <c r="R132" s="605"/>
      <c r="S132" s="606">
        <f t="shared" si="56"/>
        <v>-100</v>
      </c>
      <c r="T132" s="808"/>
      <c r="U132" s="809"/>
      <c r="V132" s="606"/>
      <c r="W132" s="808"/>
      <c r="X132" s="809"/>
      <c r="Y132" s="606"/>
      <c r="Z132" s="808">
        <v>791</v>
      </c>
      <c r="AA132" s="809">
        <v>1019</v>
      </c>
      <c r="AB132" s="606">
        <f t="shared" si="57"/>
        <v>28.8</v>
      </c>
      <c r="AC132" s="808"/>
      <c r="AD132" s="809"/>
      <c r="AE132" s="606"/>
      <c r="AF132" s="808"/>
      <c r="AG132" s="809"/>
      <c r="AH132" s="606"/>
      <c r="AI132" s="808">
        <v>16.399999999999999</v>
      </c>
      <c r="AJ132" s="809">
        <v>18</v>
      </c>
      <c r="AK132" s="606">
        <f t="shared" si="58"/>
        <v>9.8000000000000007</v>
      </c>
      <c r="AL132" s="605">
        <f t="shared" si="61"/>
        <v>2114.8806950746198</v>
      </c>
      <c r="AM132" s="605">
        <f t="shared" si="61"/>
        <v>1037</v>
      </c>
      <c r="AN132" s="606">
        <f t="shared" si="17"/>
        <v>-51</v>
      </c>
      <c r="AO132" s="564">
        <f t="shared" si="60"/>
        <v>2114.8806950746198</v>
      </c>
      <c r="AP132" s="564">
        <f t="shared" si="60"/>
        <v>1037</v>
      </c>
      <c r="AQ132" s="606">
        <f t="shared" si="18"/>
        <v>-51</v>
      </c>
      <c r="AR132" s="589"/>
      <c r="AS132" s="589"/>
      <c r="AT132" s="584"/>
      <c r="AU132" s="584"/>
    </row>
    <row r="133" spans="1:47" s="607" customFormat="1" ht="18.75" customHeight="1" x14ac:dyDescent="0.3">
      <c r="A133" s="550" t="s">
        <v>403</v>
      </c>
      <c r="B133" s="808"/>
      <c r="C133" s="809"/>
      <c r="D133" s="605"/>
      <c r="E133" s="808"/>
      <c r="F133" s="809"/>
      <c r="G133" s="606"/>
      <c r="H133" s="907"/>
      <c r="I133" s="605"/>
      <c r="J133" s="606"/>
      <c r="K133" s="808"/>
      <c r="L133" s="809"/>
      <c r="M133" s="605"/>
      <c r="N133" s="808"/>
      <c r="O133" s="809"/>
      <c r="P133" s="606"/>
      <c r="Q133" s="808"/>
      <c r="R133" s="605"/>
      <c r="S133" s="606"/>
      <c r="T133" s="808"/>
      <c r="U133" s="809"/>
      <c r="V133" s="606"/>
      <c r="W133" s="808"/>
      <c r="X133" s="809"/>
      <c r="Y133" s="606"/>
      <c r="Z133" s="808"/>
      <c r="AA133" s="809"/>
      <c r="AB133" s="606"/>
      <c r="AC133" s="808"/>
      <c r="AD133" s="809"/>
      <c r="AE133" s="606"/>
      <c r="AF133" s="808"/>
      <c r="AG133" s="809"/>
      <c r="AH133" s="606"/>
      <c r="AI133" s="808"/>
      <c r="AJ133" s="809"/>
      <c r="AK133" s="606"/>
      <c r="AL133" s="605"/>
      <c r="AM133" s="605"/>
      <c r="AN133" s="606"/>
      <c r="AO133" s="605"/>
      <c r="AP133" s="605"/>
      <c r="AQ133" s="606"/>
      <c r="AR133" s="589"/>
      <c r="AS133" s="589"/>
      <c r="AT133" s="584"/>
      <c r="AU133" s="584"/>
    </row>
    <row r="134" spans="1:47" s="607" customFormat="1" ht="18.75" customHeight="1" x14ac:dyDescent="0.3">
      <c r="A134" s="556" t="s">
        <v>373</v>
      </c>
      <c r="B134" s="808"/>
      <c r="C134" s="809"/>
      <c r="D134" s="605"/>
      <c r="E134" s="808"/>
      <c r="F134" s="809"/>
      <c r="G134" s="606"/>
      <c r="H134" s="907"/>
      <c r="I134" s="605"/>
      <c r="J134" s="606"/>
      <c r="K134" s="808"/>
      <c r="L134" s="809"/>
      <c r="M134" s="605"/>
      <c r="N134" s="808"/>
      <c r="O134" s="809"/>
      <c r="P134" s="606"/>
      <c r="Q134" s="808">
        <v>-40.261006909999999</v>
      </c>
      <c r="R134" s="605"/>
      <c r="S134" s="606">
        <f t="shared" si="56"/>
        <v>-100</v>
      </c>
      <c r="T134" s="808"/>
      <c r="U134" s="809"/>
      <c r="V134" s="606"/>
      <c r="W134" s="808"/>
      <c r="X134" s="809"/>
      <c r="Y134" s="606"/>
      <c r="Z134" s="808"/>
      <c r="AA134" s="809"/>
      <c r="AB134" s="606"/>
      <c r="AC134" s="808"/>
      <c r="AD134" s="809"/>
      <c r="AE134" s="606"/>
      <c r="AF134" s="808"/>
      <c r="AG134" s="809"/>
      <c r="AH134" s="606"/>
      <c r="AI134" s="808"/>
      <c r="AJ134" s="809"/>
      <c r="AK134" s="606"/>
      <c r="AL134" s="605">
        <f t="shared" ref="AL134:AM141" si="62">B134+E134+H134+K134+Q134+T134+W134+Z134+AF134+AI134</f>
        <v>-40.261006909999999</v>
      </c>
      <c r="AM134" s="605">
        <f t="shared" si="62"/>
        <v>0</v>
      </c>
      <c r="AN134" s="606">
        <f t="shared" si="17"/>
        <v>-100</v>
      </c>
      <c r="AO134" s="564">
        <f t="shared" ref="AO134:AP143" si="63">+B134+E134+H134+K134+N134+Q134+T134+W134+Z134+AC134+AF134+AI134</f>
        <v>-40.261006909999999</v>
      </c>
      <c r="AP134" s="564">
        <f t="shared" si="63"/>
        <v>0</v>
      </c>
      <c r="AQ134" s="606">
        <f t="shared" si="18"/>
        <v>-100</v>
      </c>
      <c r="AR134" s="589"/>
      <c r="AS134" s="589"/>
      <c r="AT134" s="584"/>
      <c r="AU134" s="584"/>
    </row>
    <row r="135" spans="1:47" s="607" customFormat="1" ht="18.75" customHeight="1" x14ac:dyDescent="0.3">
      <c r="A135" s="556" t="s">
        <v>374</v>
      </c>
      <c r="B135" s="808"/>
      <c r="C135" s="809"/>
      <c r="D135" s="605"/>
      <c r="E135" s="808"/>
      <c r="F135" s="809"/>
      <c r="G135" s="606"/>
      <c r="H135" s="907"/>
      <c r="I135" s="605"/>
      <c r="J135" s="606"/>
      <c r="K135" s="808"/>
      <c r="L135" s="809"/>
      <c r="M135" s="605"/>
      <c r="N135" s="808"/>
      <c r="O135" s="809"/>
      <c r="P135" s="606"/>
      <c r="Q135" s="808">
        <v>0</v>
      </c>
      <c r="R135" s="605"/>
      <c r="S135" s="606" t="str">
        <f t="shared" si="56"/>
        <v xml:space="preserve">    ---- </v>
      </c>
      <c r="T135" s="808"/>
      <c r="U135" s="809"/>
      <c r="V135" s="606"/>
      <c r="W135" s="808"/>
      <c r="X135" s="809"/>
      <c r="Y135" s="606"/>
      <c r="Z135" s="808"/>
      <c r="AA135" s="809"/>
      <c r="AB135" s="606"/>
      <c r="AC135" s="808"/>
      <c r="AD135" s="809"/>
      <c r="AE135" s="606"/>
      <c r="AF135" s="808"/>
      <c r="AG135" s="809"/>
      <c r="AH135" s="606"/>
      <c r="AI135" s="808"/>
      <c r="AJ135" s="809"/>
      <c r="AK135" s="606"/>
      <c r="AL135" s="605">
        <f t="shared" si="62"/>
        <v>0</v>
      </c>
      <c r="AM135" s="605">
        <f t="shared" si="62"/>
        <v>0</v>
      </c>
      <c r="AN135" s="606" t="str">
        <f t="shared" si="17"/>
        <v xml:space="preserve">    ---- </v>
      </c>
      <c r="AO135" s="564">
        <f t="shared" si="63"/>
        <v>0</v>
      </c>
      <c r="AP135" s="564">
        <f t="shared" si="63"/>
        <v>0</v>
      </c>
      <c r="AQ135" s="606" t="str">
        <f t="shared" si="18"/>
        <v xml:space="preserve">    ---- </v>
      </c>
      <c r="AR135" s="589"/>
      <c r="AS135" s="589"/>
      <c r="AT135" s="584"/>
      <c r="AU135" s="584"/>
    </row>
    <row r="136" spans="1:47" s="607" customFormat="1" ht="18.75" customHeight="1" x14ac:dyDescent="0.3">
      <c r="A136" s="556" t="s">
        <v>375</v>
      </c>
      <c r="B136" s="808"/>
      <c r="C136" s="809"/>
      <c r="D136" s="605"/>
      <c r="E136" s="808"/>
      <c r="F136" s="809"/>
      <c r="G136" s="606"/>
      <c r="H136" s="907"/>
      <c r="I136" s="605"/>
      <c r="J136" s="606"/>
      <c r="K136" s="808"/>
      <c r="L136" s="809"/>
      <c r="M136" s="605"/>
      <c r="N136" s="808"/>
      <c r="O136" s="809"/>
      <c r="P136" s="606"/>
      <c r="Q136" s="808">
        <v>0.53446521738128738</v>
      </c>
      <c r="R136" s="605"/>
      <c r="S136" s="606">
        <f t="shared" si="56"/>
        <v>-100</v>
      </c>
      <c r="T136" s="808"/>
      <c r="U136" s="809"/>
      <c r="V136" s="606"/>
      <c r="W136" s="808"/>
      <c r="X136" s="809"/>
      <c r="Y136" s="606"/>
      <c r="Z136" s="808"/>
      <c r="AA136" s="809"/>
      <c r="AB136" s="606"/>
      <c r="AC136" s="808"/>
      <c r="AD136" s="809"/>
      <c r="AE136" s="606"/>
      <c r="AF136" s="808"/>
      <c r="AG136" s="809"/>
      <c r="AH136" s="606"/>
      <c r="AI136" s="808"/>
      <c r="AJ136" s="809"/>
      <c r="AK136" s="606"/>
      <c r="AL136" s="605">
        <f t="shared" si="62"/>
        <v>0.53446521738128738</v>
      </c>
      <c r="AM136" s="605">
        <f t="shared" si="62"/>
        <v>0</v>
      </c>
      <c r="AN136" s="606">
        <f t="shared" si="17"/>
        <v>-100</v>
      </c>
      <c r="AO136" s="564">
        <f t="shared" si="63"/>
        <v>0.53446521738128738</v>
      </c>
      <c r="AP136" s="564">
        <f t="shared" si="63"/>
        <v>0</v>
      </c>
      <c r="AQ136" s="606">
        <f t="shared" si="18"/>
        <v>-100</v>
      </c>
      <c r="AR136" s="589"/>
      <c r="AS136" s="589"/>
      <c r="AT136" s="584"/>
      <c r="AU136" s="584"/>
    </row>
    <row r="137" spans="1:47" s="607" customFormat="1" ht="18.75" customHeight="1" x14ac:dyDescent="0.3">
      <c r="A137" s="556" t="s">
        <v>376</v>
      </c>
      <c r="B137" s="808"/>
      <c r="C137" s="809"/>
      <c r="D137" s="605"/>
      <c r="E137" s="808"/>
      <c r="F137" s="809"/>
      <c r="G137" s="606"/>
      <c r="H137" s="907"/>
      <c r="I137" s="605"/>
      <c r="J137" s="606"/>
      <c r="K137" s="808"/>
      <c r="L137" s="809"/>
      <c r="M137" s="605"/>
      <c r="N137" s="808"/>
      <c r="O137" s="809"/>
      <c r="P137" s="606"/>
      <c r="Q137" s="808"/>
      <c r="R137" s="605"/>
      <c r="S137" s="606"/>
      <c r="T137" s="808"/>
      <c r="U137" s="809"/>
      <c r="V137" s="606"/>
      <c r="W137" s="808"/>
      <c r="X137" s="809"/>
      <c r="Y137" s="606"/>
      <c r="Z137" s="808"/>
      <c r="AA137" s="809"/>
      <c r="AB137" s="606"/>
      <c r="AC137" s="808"/>
      <c r="AD137" s="809"/>
      <c r="AE137" s="606"/>
      <c r="AF137" s="808"/>
      <c r="AG137" s="809"/>
      <c r="AH137" s="606"/>
      <c r="AI137" s="808"/>
      <c r="AJ137" s="809"/>
      <c r="AK137" s="606"/>
      <c r="AL137" s="605">
        <f t="shared" si="62"/>
        <v>0</v>
      </c>
      <c r="AM137" s="605">
        <f t="shared" si="62"/>
        <v>0</v>
      </c>
      <c r="AN137" s="606" t="str">
        <f t="shared" si="17"/>
        <v xml:space="preserve">    ---- </v>
      </c>
      <c r="AO137" s="564">
        <f t="shared" si="63"/>
        <v>0</v>
      </c>
      <c r="AP137" s="564">
        <f t="shared" si="63"/>
        <v>0</v>
      </c>
      <c r="AQ137" s="606" t="str">
        <f t="shared" si="18"/>
        <v xml:space="preserve">    ---- </v>
      </c>
      <c r="AR137" s="589"/>
      <c r="AS137" s="589"/>
      <c r="AT137" s="584"/>
      <c r="AU137" s="584"/>
    </row>
    <row r="138" spans="1:47" s="607" customFormat="1" ht="18.75" customHeight="1" x14ac:dyDescent="0.3">
      <c r="A138" s="556" t="s">
        <v>377</v>
      </c>
      <c r="B138" s="808"/>
      <c r="C138" s="809"/>
      <c r="D138" s="605"/>
      <c r="E138" s="808"/>
      <c r="F138" s="809"/>
      <c r="G138" s="606"/>
      <c r="H138" s="907"/>
      <c r="I138" s="605"/>
      <c r="J138" s="606"/>
      <c r="K138" s="808"/>
      <c r="L138" s="809"/>
      <c r="M138" s="605"/>
      <c r="N138" s="808"/>
      <c r="O138" s="809"/>
      <c r="P138" s="606"/>
      <c r="Q138" s="808">
        <v>7.8561880000000004</v>
      </c>
      <c r="R138" s="605"/>
      <c r="S138" s="606">
        <f t="shared" si="56"/>
        <v>-100</v>
      </c>
      <c r="T138" s="808"/>
      <c r="U138" s="809"/>
      <c r="V138" s="606"/>
      <c r="W138" s="808"/>
      <c r="X138" s="809"/>
      <c r="Y138" s="606"/>
      <c r="Z138" s="808"/>
      <c r="AA138" s="809"/>
      <c r="AB138" s="606"/>
      <c r="AC138" s="808"/>
      <c r="AD138" s="809"/>
      <c r="AE138" s="606"/>
      <c r="AF138" s="808"/>
      <c r="AG138" s="809"/>
      <c r="AH138" s="606"/>
      <c r="AI138" s="808"/>
      <c r="AJ138" s="809"/>
      <c r="AK138" s="606"/>
      <c r="AL138" s="605">
        <f t="shared" si="62"/>
        <v>7.8561880000000004</v>
      </c>
      <c r="AM138" s="605">
        <f t="shared" si="62"/>
        <v>0</v>
      </c>
      <c r="AN138" s="606">
        <f t="shared" si="17"/>
        <v>-100</v>
      </c>
      <c r="AO138" s="564">
        <f t="shared" si="63"/>
        <v>7.8561880000000004</v>
      </c>
      <c r="AP138" s="564">
        <f t="shared" si="63"/>
        <v>0</v>
      </c>
      <c r="AQ138" s="606">
        <f t="shared" si="18"/>
        <v>-100</v>
      </c>
      <c r="AR138" s="589"/>
      <c r="AS138" s="589"/>
      <c r="AT138" s="584"/>
      <c r="AU138" s="584"/>
    </row>
    <row r="139" spans="1:47" s="607" customFormat="1" ht="18.75" customHeight="1" x14ac:dyDescent="0.3">
      <c r="A139" s="556" t="s">
        <v>378</v>
      </c>
      <c r="B139" s="808"/>
      <c r="C139" s="809"/>
      <c r="D139" s="605"/>
      <c r="E139" s="808"/>
      <c r="F139" s="809"/>
      <c r="G139" s="606"/>
      <c r="H139" s="907"/>
      <c r="I139" s="605"/>
      <c r="J139" s="606"/>
      <c r="K139" s="808"/>
      <c r="L139" s="809"/>
      <c r="M139" s="605"/>
      <c r="N139" s="808"/>
      <c r="O139" s="809"/>
      <c r="P139" s="606"/>
      <c r="Q139" s="808">
        <v>4.2270294139835354</v>
      </c>
      <c r="R139" s="605"/>
      <c r="S139" s="606">
        <f t="shared" si="56"/>
        <v>-100</v>
      </c>
      <c r="T139" s="808"/>
      <c r="U139" s="809"/>
      <c r="V139" s="606"/>
      <c r="W139" s="808"/>
      <c r="X139" s="809"/>
      <c r="Y139" s="606"/>
      <c r="Z139" s="808"/>
      <c r="AA139" s="809"/>
      <c r="AB139" s="606"/>
      <c r="AC139" s="808"/>
      <c r="AD139" s="809"/>
      <c r="AE139" s="606"/>
      <c r="AF139" s="808"/>
      <c r="AG139" s="809"/>
      <c r="AH139" s="606"/>
      <c r="AI139" s="808"/>
      <c r="AJ139" s="809"/>
      <c r="AK139" s="606"/>
      <c r="AL139" s="605">
        <f t="shared" si="62"/>
        <v>4.2270294139835354</v>
      </c>
      <c r="AM139" s="605">
        <f t="shared" si="62"/>
        <v>0</v>
      </c>
      <c r="AN139" s="606">
        <f t="shared" si="17"/>
        <v>-100</v>
      </c>
      <c r="AO139" s="564">
        <f t="shared" si="63"/>
        <v>4.2270294139835354</v>
      </c>
      <c r="AP139" s="564">
        <f t="shared" si="63"/>
        <v>0</v>
      </c>
      <c r="AQ139" s="606">
        <f t="shared" si="18"/>
        <v>-100</v>
      </c>
      <c r="AR139" s="589"/>
      <c r="AS139" s="589"/>
      <c r="AT139" s="584"/>
      <c r="AU139" s="584"/>
    </row>
    <row r="140" spans="1:47" s="607" customFormat="1" ht="18.75" customHeight="1" x14ac:dyDescent="0.3">
      <c r="A140" s="556" t="s">
        <v>379</v>
      </c>
      <c r="B140" s="808"/>
      <c r="C140" s="809"/>
      <c r="D140" s="605"/>
      <c r="E140" s="808"/>
      <c r="F140" s="809"/>
      <c r="G140" s="606"/>
      <c r="H140" s="907"/>
      <c r="I140" s="605"/>
      <c r="J140" s="606"/>
      <c r="K140" s="808"/>
      <c r="L140" s="809"/>
      <c r="M140" s="605"/>
      <c r="N140" s="808"/>
      <c r="O140" s="809"/>
      <c r="P140" s="606"/>
      <c r="Q140" s="808">
        <v>2.113515</v>
      </c>
      <c r="R140" s="605"/>
      <c r="S140" s="606">
        <f t="shared" si="56"/>
        <v>-100</v>
      </c>
      <c r="T140" s="808"/>
      <c r="U140" s="809"/>
      <c r="V140" s="606"/>
      <c r="W140" s="808"/>
      <c r="X140" s="809"/>
      <c r="Y140" s="606"/>
      <c r="Z140" s="808"/>
      <c r="AA140" s="809"/>
      <c r="AB140" s="606"/>
      <c r="AC140" s="808"/>
      <c r="AD140" s="809"/>
      <c r="AE140" s="606"/>
      <c r="AF140" s="808"/>
      <c r="AG140" s="809"/>
      <c r="AH140" s="606"/>
      <c r="AI140" s="808"/>
      <c r="AJ140" s="809"/>
      <c r="AK140" s="606"/>
      <c r="AL140" s="605">
        <f t="shared" si="62"/>
        <v>2.113515</v>
      </c>
      <c r="AM140" s="605">
        <f t="shared" si="62"/>
        <v>0</v>
      </c>
      <c r="AN140" s="606">
        <f t="shared" si="17"/>
        <v>-100</v>
      </c>
      <c r="AO140" s="564">
        <f t="shared" si="63"/>
        <v>2.113515</v>
      </c>
      <c r="AP140" s="564">
        <f t="shared" si="63"/>
        <v>0</v>
      </c>
      <c r="AQ140" s="606">
        <f t="shared" si="18"/>
        <v>-100</v>
      </c>
      <c r="AR140" s="589"/>
      <c r="AS140" s="589"/>
      <c r="AT140" s="584"/>
      <c r="AU140" s="584"/>
    </row>
    <row r="141" spans="1:47" s="607" customFormat="1" ht="18.75" customHeight="1" x14ac:dyDescent="0.3">
      <c r="A141" s="556" t="s">
        <v>380</v>
      </c>
      <c r="B141" s="808"/>
      <c r="C141" s="809"/>
      <c r="D141" s="605"/>
      <c r="E141" s="808"/>
      <c r="F141" s="809"/>
      <c r="G141" s="606"/>
      <c r="H141" s="907"/>
      <c r="I141" s="605"/>
      <c r="J141" s="606"/>
      <c r="K141" s="808"/>
      <c r="L141" s="809"/>
      <c r="M141" s="605"/>
      <c r="N141" s="808"/>
      <c r="O141" s="809"/>
      <c r="P141" s="606"/>
      <c r="Q141" s="808"/>
      <c r="R141" s="605"/>
      <c r="S141" s="606"/>
      <c r="T141" s="808"/>
      <c r="U141" s="809"/>
      <c r="V141" s="606"/>
      <c r="W141" s="808"/>
      <c r="X141" s="809"/>
      <c r="Y141" s="606"/>
      <c r="Z141" s="808"/>
      <c r="AA141" s="809"/>
      <c r="AB141" s="606"/>
      <c r="AC141" s="808"/>
      <c r="AD141" s="809"/>
      <c r="AE141" s="606"/>
      <c r="AF141" s="808"/>
      <c r="AG141" s="809"/>
      <c r="AH141" s="606"/>
      <c r="AI141" s="808"/>
      <c r="AJ141" s="809"/>
      <c r="AK141" s="606"/>
      <c r="AL141" s="605">
        <f t="shared" si="62"/>
        <v>0</v>
      </c>
      <c r="AM141" s="605">
        <f t="shared" si="62"/>
        <v>0</v>
      </c>
      <c r="AN141" s="606" t="str">
        <f t="shared" si="17"/>
        <v xml:space="preserve">    ---- </v>
      </c>
      <c r="AO141" s="564">
        <f t="shared" si="63"/>
        <v>0</v>
      </c>
      <c r="AP141" s="564">
        <f t="shared" si="63"/>
        <v>0</v>
      </c>
      <c r="AQ141" s="606" t="str">
        <f t="shared" si="18"/>
        <v xml:space="preserve">    ---- </v>
      </c>
      <c r="AR141" s="589"/>
      <c r="AS141" s="589"/>
      <c r="AT141" s="584"/>
      <c r="AU141" s="584"/>
    </row>
    <row r="142" spans="1:47" s="610" customFormat="1" ht="18.75" customHeight="1" x14ac:dyDescent="0.3">
      <c r="A142" s="550" t="s">
        <v>381</v>
      </c>
      <c r="B142" s="801"/>
      <c r="C142" s="811"/>
      <c r="D142" s="603"/>
      <c r="E142" s="810"/>
      <c r="F142" s="811"/>
      <c r="G142" s="604"/>
      <c r="H142" s="908"/>
      <c r="I142" s="603"/>
      <c r="J142" s="604"/>
      <c r="K142" s="810"/>
      <c r="L142" s="811"/>
      <c r="M142" s="603"/>
      <c r="N142" s="810"/>
      <c r="O142" s="811"/>
      <c r="P142" s="604"/>
      <c r="Q142" s="810">
        <v>-27.643324278635177</v>
      </c>
      <c r="R142" s="603"/>
      <c r="S142" s="604">
        <f t="shared" si="56"/>
        <v>-100</v>
      </c>
      <c r="T142" s="810"/>
      <c r="U142" s="811"/>
      <c r="V142" s="604"/>
      <c r="W142" s="810"/>
      <c r="X142" s="811"/>
      <c r="Y142" s="604"/>
      <c r="Z142" s="810"/>
      <c r="AA142" s="811"/>
      <c r="AB142" s="604"/>
      <c r="AC142" s="810"/>
      <c r="AD142" s="811"/>
      <c r="AE142" s="604"/>
      <c r="AF142" s="810"/>
      <c r="AG142" s="811"/>
      <c r="AH142" s="604"/>
      <c r="AI142" s="810"/>
      <c r="AJ142" s="811"/>
      <c r="AK142" s="604"/>
      <c r="AL142" s="603">
        <f>B142+E142+H142+K142+Q142+T142+W142+Z142+AF142+AI142</f>
        <v>-27.643324278635177</v>
      </c>
      <c r="AM142" s="603">
        <f>C142+F142+I142+L142+R142+U142+X142+AA142+AG142+AJ142</f>
        <v>0</v>
      </c>
      <c r="AN142" s="604">
        <f t="shared" si="17"/>
        <v>-100</v>
      </c>
      <c r="AO142" s="566">
        <f t="shared" si="63"/>
        <v>-27.643324278635177</v>
      </c>
      <c r="AP142" s="566">
        <f t="shared" si="63"/>
        <v>0</v>
      </c>
      <c r="AQ142" s="604">
        <f t="shared" si="18"/>
        <v>-100</v>
      </c>
      <c r="AR142" s="608" t="e">
        <f>B142,C142,E142,F142,H142,I142,K142,L142,N142,O142,Q142,R142,T142,U142,W142,X142,Z142,AA142,AC142,AD142,#REF!,#REF!,AF142,AG142,AI142,AJ142,AL142,AM142,AO142,AP142</f>
        <v>#REF!</v>
      </c>
      <c r="AS142" s="587"/>
      <c r="AT142" s="609"/>
      <c r="AU142" s="609"/>
    </row>
    <row r="143" spans="1:47" s="607" customFormat="1" ht="18.75" customHeight="1" x14ac:dyDescent="0.3">
      <c r="A143" s="556" t="s">
        <v>382</v>
      </c>
      <c r="B143" s="808"/>
      <c r="C143" s="809"/>
      <c r="D143" s="605"/>
      <c r="E143" s="808"/>
      <c r="F143" s="809"/>
      <c r="G143" s="606"/>
      <c r="H143" s="907"/>
      <c r="I143" s="605"/>
      <c r="J143" s="606"/>
      <c r="K143" s="808"/>
      <c r="L143" s="809"/>
      <c r="M143" s="605"/>
      <c r="N143" s="808"/>
      <c r="O143" s="809"/>
      <c r="P143" s="606"/>
      <c r="Q143" s="808">
        <v>-39.033977203008199</v>
      </c>
      <c r="R143" s="605"/>
      <c r="S143" s="606">
        <f t="shared" si="56"/>
        <v>-100</v>
      </c>
      <c r="T143" s="808"/>
      <c r="U143" s="809"/>
      <c r="V143" s="606"/>
      <c r="W143" s="808"/>
      <c r="X143" s="809"/>
      <c r="Y143" s="606"/>
      <c r="Z143" s="808"/>
      <c r="AA143" s="809"/>
      <c r="AB143" s="606"/>
      <c r="AC143" s="808"/>
      <c r="AD143" s="809"/>
      <c r="AE143" s="606"/>
      <c r="AF143" s="808"/>
      <c r="AG143" s="809"/>
      <c r="AH143" s="606"/>
      <c r="AI143" s="808"/>
      <c r="AJ143" s="809"/>
      <c r="AK143" s="606"/>
      <c r="AL143" s="605">
        <f t="shared" ref="AL143:AM143" si="64">B143+E143+H143+K143+Q143+T143+W143+Z143+AF143+AI143</f>
        <v>-39.033977203008199</v>
      </c>
      <c r="AM143" s="605">
        <f t="shared" si="64"/>
        <v>0</v>
      </c>
      <c r="AN143" s="606">
        <f t="shared" si="17"/>
        <v>-100</v>
      </c>
      <c r="AO143" s="564">
        <f t="shared" si="63"/>
        <v>-39.033977203008199</v>
      </c>
      <c r="AP143" s="564">
        <f t="shared" si="63"/>
        <v>0</v>
      </c>
      <c r="AQ143" s="606">
        <f t="shared" si="18"/>
        <v>-100</v>
      </c>
      <c r="AR143" s="589"/>
      <c r="AS143" s="589"/>
      <c r="AT143" s="584"/>
      <c r="AU143" s="584"/>
    </row>
    <row r="144" spans="1:47" s="584" customFormat="1" ht="18.75" customHeight="1" x14ac:dyDescent="0.3">
      <c r="A144" s="568" t="s">
        <v>383</v>
      </c>
      <c r="B144" s="812"/>
      <c r="C144" s="813"/>
      <c r="D144" s="619"/>
      <c r="E144" s="812"/>
      <c r="F144" s="813"/>
      <c r="G144" s="620"/>
      <c r="H144" s="909"/>
      <c r="I144" s="619"/>
      <c r="J144" s="620"/>
      <c r="K144" s="812"/>
      <c r="L144" s="813"/>
      <c r="M144" s="619"/>
      <c r="N144" s="812"/>
      <c r="O144" s="813"/>
      <c r="P144" s="620"/>
      <c r="Q144" s="812">
        <v>11.3906529243731</v>
      </c>
      <c r="R144" s="619"/>
      <c r="S144" s="620">
        <f t="shared" si="56"/>
        <v>-100</v>
      </c>
      <c r="T144" s="812"/>
      <c r="U144" s="813"/>
      <c r="V144" s="620"/>
      <c r="W144" s="812"/>
      <c r="X144" s="813"/>
      <c r="Y144" s="620"/>
      <c r="Z144" s="812"/>
      <c r="AA144" s="813"/>
      <c r="AB144" s="620"/>
      <c r="AC144" s="812"/>
      <c r="AD144" s="813"/>
      <c r="AE144" s="620"/>
      <c r="AF144" s="812"/>
      <c r="AG144" s="813"/>
      <c r="AH144" s="620"/>
      <c r="AI144" s="812"/>
      <c r="AJ144" s="813"/>
      <c r="AK144" s="620"/>
      <c r="AL144" s="619">
        <f>B144+E144+H144+K144+Q144+T144+W144+Z144+AF144+AI144</f>
        <v>11.3906529243731</v>
      </c>
      <c r="AM144" s="619">
        <f>C144+F144+I144+L144+R144+U144+X144+AA144+AG144+AJ144</f>
        <v>0</v>
      </c>
      <c r="AN144" s="620">
        <f t="shared" si="17"/>
        <v>-100</v>
      </c>
      <c r="AO144" s="619">
        <f>+B144+E144+H144+K144+N144+Q144+T144+W144+Z144+AC144+AF144+AI144</f>
        <v>11.3906529243731</v>
      </c>
      <c r="AP144" s="619">
        <f>+C144+F144+I144+L144+O144+R144+U144+X144+AA144+AD144+AG144+AJ144</f>
        <v>0</v>
      </c>
      <c r="AQ144" s="620">
        <f t="shared" si="18"/>
        <v>-100</v>
      </c>
      <c r="AR144" s="589"/>
      <c r="AS144" s="589"/>
    </row>
    <row r="145" spans="1:47" s="622" customFormat="1" ht="18.75" customHeight="1" x14ac:dyDescent="0.3">
      <c r="A145" s="584" t="s">
        <v>257</v>
      </c>
      <c r="B145" s="529"/>
      <c r="C145" s="621"/>
      <c r="D145" s="621"/>
      <c r="E145" s="621"/>
      <c r="F145" s="621"/>
      <c r="G145" s="621"/>
      <c r="H145" s="589"/>
      <c r="I145" s="584"/>
      <c r="J145" s="584"/>
      <c r="K145" s="584"/>
      <c r="L145" s="584"/>
      <c r="M145" s="584"/>
      <c r="N145" s="584"/>
      <c r="O145" s="584"/>
      <c r="P145" s="584"/>
      <c r="Q145" s="584"/>
      <c r="R145" s="584"/>
      <c r="S145" s="584"/>
      <c r="T145" s="584"/>
      <c r="U145" s="584"/>
      <c r="V145" s="584"/>
      <c r="X145" s="584"/>
      <c r="Y145" s="584"/>
      <c r="Z145" s="584"/>
      <c r="AA145" s="584"/>
      <c r="AB145" s="584"/>
      <c r="AD145" s="584"/>
      <c r="AE145" s="584"/>
      <c r="AF145" s="584"/>
      <c r="AG145" s="584"/>
      <c r="AH145" s="584"/>
      <c r="AJ145" s="584"/>
      <c r="AK145" s="584"/>
      <c r="AL145" s="584"/>
      <c r="AM145" s="584"/>
      <c r="AN145" s="584"/>
      <c r="AO145" s="589"/>
      <c r="AP145" s="589"/>
      <c r="AQ145" s="589"/>
      <c r="AR145" s="623"/>
      <c r="AS145" s="624"/>
      <c r="AT145" s="623"/>
      <c r="AU145" s="623"/>
    </row>
    <row r="146" spans="1:47" s="622" customFormat="1" ht="18.75" x14ac:dyDescent="0.3">
      <c r="A146" s="623"/>
      <c r="B146" s="625"/>
      <c r="C146" s="625"/>
      <c r="D146" s="621"/>
      <c r="E146" s="625"/>
      <c r="F146" s="625"/>
      <c r="G146" s="621"/>
      <c r="H146" s="625"/>
      <c r="I146" s="625"/>
      <c r="J146" s="621"/>
      <c r="K146" s="625"/>
      <c r="L146" s="625"/>
      <c r="M146" s="621"/>
      <c r="N146" s="625"/>
      <c r="O146" s="625"/>
      <c r="P146" s="621"/>
      <c r="Q146" s="625"/>
      <c r="R146" s="625"/>
      <c r="S146" s="621"/>
      <c r="T146" s="625"/>
      <c r="U146" s="625"/>
      <c r="V146" s="621"/>
      <c r="W146" s="625"/>
      <c r="X146" s="625"/>
      <c r="Y146" s="621"/>
      <c r="Z146" s="625"/>
      <c r="AA146" s="625"/>
      <c r="AB146" s="621"/>
      <c r="AC146" s="625"/>
      <c r="AD146" s="625"/>
      <c r="AE146" s="621"/>
      <c r="AF146" s="625"/>
      <c r="AG146" s="625"/>
      <c r="AH146" s="621"/>
      <c r="AI146" s="625"/>
      <c r="AJ146" s="625"/>
      <c r="AK146" s="621"/>
      <c r="AL146" s="625"/>
      <c r="AM146" s="625"/>
      <c r="AN146" s="621"/>
      <c r="AO146" s="625"/>
      <c r="AP146" s="625"/>
      <c r="AQ146" s="621"/>
      <c r="AR146" s="623"/>
      <c r="AS146" s="624"/>
      <c r="AT146" s="623"/>
      <c r="AU146" s="623"/>
    </row>
    <row r="147" spans="1:47" ht="18.75" x14ac:dyDescent="0.3">
      <c r="A147" s="584"/>
      <c r="W147" s="628"/>
      <c r="AS147" s="629"/>
    </row>
    <row r="148" spans="1:47" ht="18.75" x14ac:dyDescent="0.3">
      <c r="A148" s="584"/>
      <c r="AS148" s="629"/>
    </row>
    <row r="149" spans="1:47" ht="18.75" x14ac:dyDescent="0.3">
      <c r="A149" s="584"/>
      <c r="AS149" s="629"/>
    </row>
    <row r="150" spans="1:47" ht="18.75" x14ac:dyDescent="0.3">
      <c r="A150" s="584"/>
      <c r="AS150" s="629"/>
    </row>
    <row r="151" spans="1:47" ht="18.75" x14ac:dyDescent="0.3">
      <c r="A151" s="584"/>
      <c r="AS151" s="629"/>
    </row>
    <row r="152" spans="1:47" ht="18.75" x14ac:dyDescent="0.3">
      <c r="A152" s="584"/>
      <c r="AS152" s="629"/>
    </row>
    <row r="153" spans="1:47" ht="18.75" x14ac:dyDescent="0.3">
      <c r="A153" s="584"/>
      <c r="AS153" s="629"/>
    </row>
    <row r="154" spans="1:47" ht="18.75" x14ac:dyDescent="0.3">
      <c r="A154" s="584"/>
      <c r="AS154" s="629"/>
    </row>
    <row r="155" spans="1:47" ht="18.75" x14ac:dyDescent="0.3">
      <c r="A155" s="584"/>
      <c r="AS155" s="629"/>
    </row>
    <row r="156" spans="1:47" ht="18.75" x14ac:dyDescent="0.3">
      <c r="A156" s="584"/>
      <c r="AS156" s="629"/>
    </row>
    <row r="157" spans="1:47" ht="18.75" x14ac:dyDescent="0.3">
      <c r="A157" s="584"/>
      <c r="AS157" s="629"/>
    </row>
    <row r="158" spans="1:47" ht="18.75" x14ac:dyDescent="0.3">
      <c r="A158" s="584"/>
      <c r="AS158" s="629"/>
    </row>
    <row r="159" spans="1:47" ht="18.75" x14ac:dyDescent="0.3">
      <c r="A159" s="584"/>
      <c r="AS159" s="629"/>
    </row>
    <row r="160" spans="1:47" ht="18.75" x14ac:dyDescent="0.3">
      <c r="A160" s="584"/>
      <c r="AS160" s="629"/>
    </row>
    <row r="161" spans="1:45" ht="18.75" x14ac:dyDescent="0.3">
      <c r="A161" s="584"/>
      <c r="AS161" s="629"/>
    </row>
    <row r="162" spans="1:45" ht="18.75" x14ac:dyDescent="0.3">
      <c r="A162" s="584"/>
      <c r="AS162" s="629"/>
    </row>
    <row r="163" spans="1:45" ht="18.75" x14ac:dyDescent="0.3">
      <c r="A163" s="584"/>
      <c r="AS163" s="629"/>
    </row>
    <row r="164" spans="1:45" ht="18.75" x14ac:dyDescent="0.3">
      <c r="A164" s="584"/>
      <c r="AS164" s="629"/>
    </row>
    <row r="165" spans="1:45" ht="18.75" x14ac:dyDescent="0.3">
      <c r="A165" s="584"/>
      <c r="AS165" s="629"/>
    </row>
    <row r="166" spans="1:45" ht="18.75" x14ac:dyDescent="0.3">
      <c r="A166" s="584"/>
      <c r="AS166" s="629"/>
    </row>
    <row r="167" spans="1:45" ht="18.75" x14ac:dyDescent="0.3">
      <c r="A167" s="584"/>
      <c r="AS167" s="629"/>
    </row>
    <row r="168" spans="1:45" ht="18.75" x14ac:dyDescent="0.3">
      <c r="A168" s="584"/>
      <c r="AS168" s="629"/>
    </row>
    <row r="169" spans="1:45" ht="18.75" x14ac:dyDescent="0.3">
      <c r="A169" s="584"/>
      <c r="AS169" s="629"/>
    </row>
    <row r="170" spans="1:45" ht="18.75" x14ac:dyDescent="0.3">
      <c r="A170" s="584"/>
      <c r="AS170" s="629"/>
    </row>
    <row r="171" spans="1:45" ht="18.75" x14ac:dyDescent="0.3">
      <c r="A171" s="584"/>
      <c r="AS171" s="629"/>
    </row>
    <row r="172" spans="1:45" ht="18.75" x14ac:dyDescent="0.3">
      <c r="A172" s="584"/>
      <c r="AS172" s="629"/>
    </row>
    <row r="173" spans="1:45" ht="18.75" x14ac:dyDescent="0.3">
      <c r="A173" s="584"/>
      <c r="AS173" s="629"/>
    </row>
    <row r="174" spans="1:45" ht="18.75" x14ac:dyDescent="0.3">
      <c r="A174" s="584"/>
      <c r="AS174" s="629"/>
    </row>
    <row r="175" spans="1:45" ht="18.75" x14ac:dyDescent="0.3">
      <c r="A175" s="584"/>
      <c r="AS175" s="629"/>
    </row>
    <row r="176" spans="1:45" ht="18.75" x14ac:dyDescent="0.3">
      <c r="A176" s="584"/>
      <c r="AS176" s="629"/>
    </row>
    <row r="177" spans="1:45" ht="18.75" x14ac:dyDescent="0.3">
      <c r="A177" s="584"/>
      <c r="AS177" s="629"/>
    </row>
    <row r="178" spans="1:45" ht="18.75" x14ac:dyDescent="0.3">
      <c r="A178" s="584"/>
      <c r="AS178" s="629"/>
    </row>
    <row r="179" spans="1:45" ht="18.75" x14ac:dyDescent="0.3">
      <c r="A179" s="584"/>
      <c r="AS179" s="629"/>
    </row>
    <row r="180" spans="1:45" ht="18.75" x14ac:dyDescent="0.3">
      <c r="A180" s="584"/>
      <c r="AS180" s="629"/>
    </row>
    <row r="181" spans="1:45" ht="18.75" x14ac:dyDescent="0.3">
      <c r="A181" s="584"/>
      <c r="AS181" s="629"/>
    </row>
    <row r="182" spans="1:45" ht="18.75" x14ac:dyDescent="0.3">
      <c r="A182" s="584"/>
      <c r="AS182" s="629"/>
    </row>
    <row r="183" spans="1:45" ht="18.75" x14ac:dyDescent="0.3">
      <c r="A183" s="584"/>
      <c r="AS183" s="629"/>
    </row>
    <row r="184" spans="1:45" ht="18.75" x14ac:dyDescent="0.3">
      <c r="A184" s="584"/>
      <c r="AS184" s="629"/>
    </row>
    <row r="185" spans="1:45" ht="18.75" x14ac:dyDescent="0.3">
      <c r="A185" s="584"/>
      <c r="AS185" s="629"/>
    </row>
    <row r="186" spans="1:45" ht="18.75" x14ac:dyDescent="0.3">
      <c r="A186" s="584"/>
      <c r="AS186" s="629"/>
    </row>
    <row r="187" spans="1:45" ht="18.75" x14ac:dyDescent="0.3">
      <c r="A187" s="584"/>
      <c r="AS187" s="629"/>
    </row>
    <row r="188" spans="1:45" ht="18.75" x14ac:dyDescent="0.3">
      <c r="A188" s="584"/>
      <c r="AS188" s="629"/>
    </row>
    <row r="189" spans="1:45" ht="18.75" x14ac:dyDescent="0.3">
      <c r="A189" s="584"/>
      <c r="AS189" s="629"/>
    </row>
    <row r="190" spans="1:45" ht="18.75" x14ac:dyDescent="0.3">
      <c r="A190" s="584"/>
      <c r="AS190" s="629"/>
    </row>
    <row r="191" spans="1:45" ht="18.75" x14ac:dyDescent="0.3">
      <c r="A191" s="584"/>
      <c r="AS191" s="629"/>
    </row>
    <row r="192" spans="1:45" ht="18.75" x14ac:dyDescent="0.3">
      <c r="A192" s="584"/>
      <c r="AS192" s="629"/>
    </row>
    <row r="193" spans="1:45" ht="18.75" x14ac:dyDescent="0.3">
      <c r="A193" s="584"/>
      <c r="AS193" s="629"/>
    </row>
    <row r="194" spans="1:45" ht="18.75" x14ac:dyDescent="0.3">
      <c r="A194" s="584"/>
      <c r="AS194" s="629"/>
    </row>
    <row r="195" spans="1:45" ht="18.75" x14ac:dyDescent="0.3">
      <c r="A195" s="584"/>
      <c r="AS195" s="629"/>
    </row>
    <row r="196" spans="1:45" ht="18.75" x14ac:dyDescent="0.3">
      <c r="A196" s="584"/>
      <c r="AS196" s="629"/>
    </row>
    <row r="197" spans="1:45" ht="18.75" x14ac:dyDescent="0.3">
      <c r="A197" s="584"/>
      <c r="AS197" s="629"/>
    </row>
    <row r="198" spans="1:45" ht="18.75" x14ac:dyDescent="0.3">
      <c r="A198" s="584"/>
      <c r="AS198" s="629"/>
    </row>
    <row r="199" spans="1:45" ht="18.75" x14ac:dyDescent="0.3">
      <c r="A199" s="584"/>
      <c r="AS199" s="629"/>
    </row>
    <row r="200" spans="1:45" ht="18.75" x14ac:dyDescent="0.3">
      <c r="A200" s="584"/>
      <c r="AS200" s="629"/>
    </row>
    <row r="201" spans="1:45" ht="18.75" x14ac:dyDescent="0.3">
      <c r="A201" s="584"/>
      <c r="AS201" s="629"/>
    </row>
    <row r="202" spans="1:45" ht="18.75" x14ac:dyDescent="0.3">
      <c r="A202" s="584"/>
      <c r="AS202" s="629"/>
    </row>
    <row r="203" spans="1:45" ht="18.75" x14ac:dyDescent="0.3">
      <c r="A203" s="584"/>
      <c r="AS203" s="629"/>
    </row>
    <row r="204" spans="1:45" ht="18.75" x14ac:dyDescent="0.3">
      <c r="A204" s="584"/>
      <c r="AS204" s="629"/>
    </row>
    <row r="205" spans="1:45" ht="18.75" x14ac:dyDescent="0.3">
      <c r="A205" s="584"/>
      <c r="AS205" s="629"/>
    </row>
    <row r="206" spans="1:45" ht="18.75" x14ac:dyDescent="0.3">
      <c r="A206" s="584"/>
      <c r="AS206" s="629"/>
    </row>
    <row r="207" spans="1:45" ht="18.75" x14ac:dyDescent="0.3">
      <c r="A207" s="584"/>
      <c r="AS207" s="629"/>
    </row>
    <row r="208" spans="1:45" ht="18.75" x14ac:dyDescent="0.3">
      <c r="A208" s="584"/>
      <c r="AS208" s="629"/>
    </row>
    <row r="209" spans="1:45" ht="18.75" x14ac:dyDescent="0.3">
      <c r="A209" s="584"/>
      <c r="AS209" s="629"/>
    </row>
    <row r="210" spans="1:45" ht="18.75" x14ac:dyDescent="0.3">
      <c r="A210" s="584"/>
      <c r="AS210" s="629"/>
    </row>
    <row r="211" spans="1:45" ht="18.75" x14ac:dyDescent="0.3">
      <c r="A211" s="584"/>
      <c r="AS211" s="629"/>
    </row>
    <row r="212" spans="1:45" ht="18.75" x14ac:dyDescent="0.3">
      <c r="A212" s="584"/>
    </row>
    <row r="213" spans="1:45" ht="18.75" x14ac:dyDescent="0.3">
      <c r="A213" s="584"/>
    </row>
    <row r="214" spans="1:45" ht="18.75" x14ac:dyDescent="0.3">
      <c r="A214" s="584"/>
    </row>
    <row r="215" spans="1:45" ht="18.75" x14ac:dyDescent="0.3">
      <c r="A215" s="584"/>
    </row>
    <row r="216" spans="1:45" ht="18.75" x14ac:dyDescent="0.3">
      <c r="A216" s="584"/>
    </row>
    <row r="217" spans="1:45" ht="18.75" x14ac:dyDescent="0.3">
      <c r="A217" s="584"/>
    </row>
    <row r="218" spans="1:45" ht="18.75" x14ac:dyDescent="0.3">
      <c r="A218" s="584"/>
    </row>
    <row r="219" spans="1:45" ht="18.75" x14ac:dyDescent="0.3">
      <c r="A219" s="584"/>
    </row>
    <row r="220" spans="1:45" ht="18.75" x14ac:dyDescent="0.3">
      <c r="A220" s="584"/>
    </row>
    <row r="221" spans="1:45" ht="18.75" x14ac:dyDescent="0.3">
      <c r="A221" s="584"/>
    </row>
  </sheetData>
  <mergeCells count="25">
    <mergeCell ref="AL7:AN7"/>
    <mergeCell ref="AO7:AQ7"/>
    <mergeCell ref="T7:V7"/>
    <mergeCell ref="W7:Y7"/>
    <mergeCell ref="Z7:AB7"/>
    <mergeCell ref="AC7:AE7"/>
    <mergeCell ref="AF7:AH7"/>
    <mergeCell ref="B7:D7"/>
    <mergeCell ref="E7:G7"/>
    <mergeCell ref="H7:J7"/>
    <mergeCell ref="K7:M7"/>
    <mergeCell ref="N7:P7"/>
    <mergeCell ref="Q7:S7"/>
    <mergeCell ref="Z6:AB6"/>
    <mergeCell ref="AF6:AH6"/>
    <mergeCell ref="AI6:AK6"/>
    <mergeCell ref="AI7:AK7"/>
    <mergeCell ref="AL6:AN6"/>
    <mergeCell ref="AO6:AQ6"/>
    <mergeCell ref="B6:D6"/>
    <mergeCell ref="E6:G6"/>
    <mergeCell ref="H6:J6"/>
    <mergeCell ref="K6:M6"/>
    <mergeCell ref="N6:P6"/>
    <mergeCell ref="T6:V6"/>
  </mergeCells>
  <conditionalFormatting sqref="AL142 AL130 AL116 AL92 AL80">
    <cfRule type="expression" dxfId="102" priority="917">
      <formula>$B$117="56≠48+49+50+51+52+53+55"</formula>
    </cfRule>
    <cfRule type="expression" dxfId="101" priority="918">
      <formula>AL$118="56≠57+58"</formula>
    </cfRule>
  </conditionalFormatting>
  <conditionalFormatting sqref="AL104">
    <cfRule type="expression" dxfId="100" priority="47">
      <formula>$B$117="56≠48+49+50+51+52+53+55"</formula>
    </cfRule>
    <cfRule type="expression" dxfId="99" priority="48">
      <formula>AL$118="56≠57+58"</formula>
    </cfRule>
  </conditionalFormatting>
  <conditionalFormatting sqref="AL68">
    <cfRule type="expression" dxfId="98" priority="45">
      <formula>$B$117="56≠48+49+50+51+52+53+55"</formula>
    </cfRule>
    <cfRule type="expression" dxfId="97" priority="46">
      <formula>AL$118="56≠57+58"</formula>
    </cfRule>
  </conditionalFormatting>
  <conditionalFormatting sqref="AL56">
    <cfRule type="expression" dxfId="96" priority="43">
      <formula>$B$117="56≠48+49+50+51+52+53+55"</formula>
    </cfRule>
    <cfRule type="expression" dxfId="95" priority="44">
      <formula>AL$118="56≠57+58"</formula>
    </cfRule>
  </conditionalFormatting>
  <conditionalFormatting sqref="AL44">
    <cfRule type="expression" dxfId="94" priority="41">
      <formula>$B$117="56≠48+49+50+51+52+53+55"</formula>
    </cfRule>
    <cfRule type="expression" dxfId="93" priority="42">
      <formula>AL$118="56≠57+58"</formula>
    </cfRule>
  </conditionalFormatting>
  <conditionalFormatting sqref="AL32">
    <cfRule type="expression" dxfId="92" priority="39">
      <formula>$B$117="56≠48+49+50+51+52+53+55"</formula>
    </cfRule>
    <cfRule type="expression" dxfId="91" priority="40">
      <formula>AL$118="56≠57+58"</formula>
    </cfRule>
  </conditionalFormatting>
  <conditionalFormatting sqref="AL20">
    <cfRule type="expression" dxfId="90" priority="37">
      <formula>$B$117="56≠48+49+50+51+52+53+55"</formula>
    </cfRule>
    <cfRule type="expression" dxfId="89" priority="38">
      <formula>AL$118="56≠57+58"</formula>
    </cfRule>
  </conditionalFormatting>
  <conditionalFormatting sqref="AM142 AM130 AM116 AM92 AM80">
    <cfRule type="expression" dxfId="88" priority="35">
      <formula>$B$117="56≠48+49+50+51+52+53+55"</formula>
    </cfRule>
    <cfRule type="expression" dxfId="87" priority="36">
      <formula>AM$118="56≠57+58"</formula>
    </cfRule>
  </conditionalFormatting>
  <conditionalFormatting sqref="AM104">
    <cfRule type="expression" dxfId="86" priority="33">
      <formula>$B$117="56≠48+49+50+51+52+53+55"</formula>
    </cfRule>
    <cfRule type="expression" dxfId="85" priority="34">
      <formula>AM$118="56≠57+58"</formula>
    </cfRule>
  </conditionalFormatting>
  <conditionalFormatting sqref="AM68">
    <cfRule type="expression" dxfId="84" priority="31">
      <formula>$B$117="56≠48+49+50+51+52+53+55"</formula>
    </cfRule>
    <cfRule type="expression" dxfId="83" priority="32">
      <formula>AM$118="56≠57+58"</formula>
    </cfRule>
  </conditionalFormatting>
  <conditionalFormatting sqref="AM56">
    <cfRule type="expression" dxfId="82" priority="29">
      <formula>$B$117="56≠48+49+50+51+52+53+55"</formula>
    </cfRule>
    <cfRule type="expression" dxfId="81" priority="30">
      <formula>AM$118="56≠57+58"</formula>
    </cfRule>
  </conditionalFormatting>
  <conditionalFormatting sqref="AM44">
    <cfRule type="expression" dxfId="80" priority="27">
      <formula>$B$117="56≠48+49+50+51+52+53+55"</formula>
    </cfRule>
    <cfRule type="expression" dxfId="79" priority="28">
      <formula>AM$118="56≠57+58"</formula>
    </cfRule>
  </conditionalFormatting>
  <conditionalFormatting sqref="AM32">
    <cfRule type="expression" dxfId="78" priority="25">
      <formula>$B$117="56≠48+49+50+51+52+53+55"</formula>
    </cfRule>
    <cfRule type="expression" dxfId="77" priority="26">
      <formula>AM$118="56≠57+58"</formula>
    </cfRule>
  </conditionalFormatting>
  <conditionalFormatting sqref="AM20">
    <cfRule type="expression" dxfId="76" priority="23">
      <formula>$B$117="56≠48+49+50+51+52+53+55"</formula>
    </cfRule>
    <cfRule type="expression" dxfId="75" priority="24">
      <formula>AM$118="56≠57+58"</formula>
    </cfRule>
  </conditionalFormatting>
  <conditionalFormatting sqref="K20:L20 B20:C20 Z20:AA20 AI20:AJ20 W20:X20 E20:F20 H20:I20 N20:O20 AC20:AD20 T20:U20 AF20:AG20 Q20:R20">
    <cfRule type="expression" dxfId="74" priority="1496">
      <formula>#REF!="20≠21+22"</formula>
    </cfRule>
  </conditionalFormatting>
  <conditionalFormatting sqref="K32:L32 B32:C32 Z32:AA32 AI32:AJ32 W32:X32 E32:F32 H32:I32 N32:O32 AC32:AD32 T32:U32 AF32:AG32 Q32:R32">
    <cfRule type="expression" dxfId="73" priority="1497">
      <formula>#REF!="32≠24+25+26+27+28+29+31"</formula>
    </cfRule>
    <cfRule type="expression" dxfId="72" priority="1498">
      <formula>#REF!="32≠33+34"</formula>
    </cfRule>
  </conditionalFormatting>
  <conditionalFormatting sqref="K44:L44 B44:C44 Z44:AA44 AI44:AJ44 W44:X44 E44:F44 H44:I44 N44:O44 AC44:AD44 T44:U44 AF44:AG44 Q44:R44">
    <cfRule type="expression" dxfId="71" priority="1499">
      <formula>#REF!="44≠36+37+38+39+40+41+43"</formula>
    </cfRule>
    <cfRule type="expression" dxfId="70" priority="1500">
      <formula>#REF!="44≠45+46"</formula>
    </cfRule>
  </conditionalFormatting>
  <conditionalFormatting sqref="K56:L56 B56:C56 Z56:AA56 AI56:AJ56 W56:X56 E56:F56 H56:I56 N56:O56 AC56:AD56 T56:U56 AF56:AG56 Q56:R56">
    <cfRule type="expression" dxfId="69" priority="1501">
      <formula>#REF!="56≠48+49+50+51+52+53+55"</formula>
    </cfRule>
    <cfRule type="expression" dxfId="68" priority="1502">
      <formula>#REF!="56≠57+58"</formula>
    </cfRule>
  </conditionalFormatting>
  <conditionalFormatting sqref="K68:L68 B68:C68 Z68:AA68 AI68:AJ68 W68:X68 E68:F68 H68:I68 N68:O68 AC68:AD68 T68:U68 AF68:AG68 Q68:R68">
    <cfRule type="expression" dxfId="67" priority="1503">
      <formula>#REF!="68≠60+61+62+63+64+65+67"</formula>
    </cfRule>
    <cfRule type="expression" dxfId="66" priority="1504">
      <formula>#REF!="68≠69+70"</formula>
    </cfRule>
  </conditionalFormatting>
  <conditionalFormatting sqref="K80:L80 B80:C80 Z80:AA80 AI80:AJ80 W80:X80 E80:F80 H80:I80 N80:O80 AC80:AD80 T80:U80 AF80:AG80 Q80:R80">
    <cfRule type="expression" dxfId="65" priority="1505">
      <formula>#REF!="80≠72+73+74+75+76+77+79"</formula>
    </cfRule>
    <cfRule type="expression" dxfId="64" priority="1506">
      <formula>#REF!="80≠81+82"</formula>
    </cfRule>
  </conditionalFormatting>
  <conditionalFormatting sqref="K92:L92 B92:C92 Z92:AA92 AI92:AJ92 W92:X92 E92:F92 H92:I92 N92:O92 AC92:AD92 T92:U92 AF92:AG92 Q92:R92">
    <cfRule type="expression" dxfId="63" priority="1507">
      <formula>#REF!="92≠84+85+86+87+88+89+91"</formula>
    </cfRule>
    <cfRule type="expression" dxfId="62" priority="1508">
      <formula>#REF!="92≠93+94"</formula>
    </cfRule>
  </conditionalFormatting>
  <conditionalFormatting sqref="K104:L104 B104:C104 Z104:AA104 AI104:AJ104 W104:X104 E104:F104 H104:I104 N104:O104 AC104:AD104 T104:U104 AF104:AG104 Q104:R104">
    <cfRule type="expression" dxfId="61" priority="1509">
      <formula>#REF!="104≠96+97+98+99+100+101+103"</formula>
    </cfRule>
    <cfRule type="expression" dxfId="60" priority="1510">
      <formula>#REF!="104≠105+106"</formula>
    </cfRule>
  </conditionalFormatting>
  <conditionalFormatting sqref="K116:L116 B116:C116 Z116:AA116 AI116:AJ116 W116:X116 E116:F116 H116:I116 N116:O116 AC116:AD116 T116:U116 AF116:AG116 Q116:R116">
    <cfRule type="expression" dxfId="59" priority="1511">
      <formula>#REF!="116≠108+109+110+111+112+113+115"</formula>
    </cfRule>
    <cfRule type="expression" dxfId="58" priority="1512">
      <formula>#REF!="116≠117+118"</formula>
    </cfRule>
  </conditionalFormatting>
  <conditionalFormatting sqref="K130:L130 B130:C130 Z130:AA130 AI130:AJ130 W130:X130 E130:F130 H130:I130 N130:O130 AC130:AD130 T130:U130 AF130:AG130 Q130:R130">
    <cfRule type="expression" dxfId="57" priority="1513">
      <formula>#REF!="130≠122+123+124+125+126+127+129"</formula>
    </cfRule>
    <cfRule type="expression" dxfId="56" priority="1514">
      <formula>#REF!="130≠131+132"</formula>
    </cfRule>
  </conditionalFormatting>
  <conditionalFormatting sqref="K142:L142 B142:C142 Z142:AA142 AI142:AJ142 W142:X142 E142:F142 H142:I142 N142:O142 AC142:AD142 T142:U142 AF142:AG142 Q142:R142">
    <cfRule type="expression" dxfId="55" priority="1515">
      <formula>#REF!="142≠134+135+136+137+138+139+141"</formula>
    </cfRule>
    <cfRule type="expression" dxfId="54" priority="1516">
      <formula>#REF!="142≠143+144"</formula>
    </cfRule>
  </conditionalFormatting>
  <conditionalFormatting sqref="K20:L20 B20:C20 Z20:AA20 AI20:AJ20 W20:X20 E20:F20 H20:I20 N20:O20 AC20:AD20 T20:U20 AF20:AG20 Q20:R20">
    <cfRule type="expression" dxfId="53" priority="1517">
      <formula>#REF!="20≠12+13+14+15+16+17+19"</formula>
    </cfRule>
  </conditionalFormatting>
  <hyperlinks>
    <hyperlink ref="B1" location="Innhold!A1" display="Tilbake" xr:uid="{00000000-0004-0000-2000-000000000000}"/>
  </hyperlinks>
  <printOptions headings="1"/>
  <pageMargins left="0.78740157480314965" right="0.78740157480314965" top="1.5748031496062993" bottom="0.98425196850393704" header="0.51181102362204722" footer="0.51181102362204722"/>
  <pageSetup paperSize="9" scale="40" fitToWidth="5" orientation="portrait" r:id="rId1"/>
  <headerFooter alignWithMargins="0"/>
  <rowBreaks count="1" manualBreakCount="1">
    <brk id="119" max="39" man="1"/>
  </rowBreaks>
  <colBreaks count="4" manualBreakCount="4">
    <brk id="10" min="1" max="108" man="1"/>
    <brk id="19" min="1" max="108" man="1"/>
    <brk id="28" min="1" max="108" man="1"/>
    <brk id="34" min="1" max="108"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U130"/>
  <sheetViews>
    <sheetView showGridLines="0" zoomScale="70" zoomScaleNormal="70" workbookViewId="0">
      <pane xSplit="1" ySplit="9" topLeftCell="B10" activePane="bottomRight" state="frozen"/>
      <selection activeCell="AU39" sqref="AU39"/>
      <selection pane="topRight" activeCell="AU39" sqref="AU39"/>
      <selection pane="bottomLeft" activeCell="AU39" sqref="AU39"/>
      <selection pane="bottomRight" activeCell="Q23" sqref="Q23"/>
    </sheetView>
  </sheetViews>
  <sheetFormatPr baseColWidth="10" defaultColWidth="12.5703125" defaultRowHeight="15.75" x14ac:dyDescent="0.25"/>
  <cols>
    <col min="1" max="1" width="55.5703125" style="585" customWidth="1"/>
    <col min="2" max="43" width="11.7109375" style="585" customWidth="1"/>
    <col min="44" max="16384" width="12.5703125" style="585"/>
  </cols>
  <sheetData>
    <row r="1" spans="1:47" ht="20.25" customHeight="1" x14ac:dyDescent="0.3">
      <c r="A1" s="528" t="s">
        <v>176</v>
      </c>
      <c r="B1" s="420" t="s">
        <v>52</v>
      </c>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row>
    <row r="2" spans="1:47" ht="20.100000000000001" customHeight="1" x14ac:dyDescent="0.3">
      <c r="A2" s="586" t="s">
        <v>267</v>
      </c>
      <c r="B2" s="584"/>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row>
    <row r="3" spans="1:47" ht="20.100000000000001" customHeight="1" x14ac:dyDescent="0.3">
      <c r="A3" s="587" t="s">
        <v>404</v>
      </c>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row>
    <row r="4" spans="1:47" ht="20.100000000000001" customHeight="1" x14ac:dyDescent="0.3">
      <c r="A4" s="630" t="s">
        <v>405</v>
      </c>
      <c r="B4" s="589"/>
      <c r="C4" s="584"/>
      <c r="D4" s="584"/>
      <c r="E4" s="584"/>
      <c r="F4" s="584"/>
      <c r="G4" s="584"/>
      <c r="H4" s="584"/>
      <c r="I4" s="584"/>
      <c r="J4" s="584"/>
      <c r="K4" s="584"/>
      <c r="L4" s="584"/>
      <c r="M4" s="584"/>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4"/>
      <c r="AP4" s="584"/>
      <c r="AQ4" s="584"/>
      <c r="AR4" s="589"/>
      <c r="AS4" s="584"/>
      <c r="AT4" s="584"/>
      <c r="AU4" s="584"/>
    </row>
    <row r="5" spans="1:47" ht="18.75" customHeight="1" x14ac:dyDescent="0.3">
      <c r="A5" s="631" t="s">
        <v>367</v>
      </c>
      <c r="B5" s="591"/>
      <c r="C5" s="591"/>
      <c r="D5" s="592"/>
      <c r="E5" s="593"/>
      <c r="F5" s="591"/>
      <c r="G5" s="592"/>
      <c r="H5" s="593"/>
      <c r="I5" s="591"/>
      <c r="J5" s="592"/>
      <c r="K5" s="593"/>
      <c r="L5" s="591"/>
      <c r="M5" s="592"/>
      <c r="N5" s="593"/>
      <c r="O5" s="591"/>
      <c r="P5" s="592"/>
      <c r="Q5" s="593"/>
      <c r="R5" s="591"/>
      <c r="S5" s="592"/>
      <c r="T5" s="593"/>
      <c r="U5" s="591"/>
      <c r="V5" s="592"/>
      <c r="W5" s="593"/>
      <c r="X5" s="591"/>
      <c r="Y5" s="592"/>
      <c r="Z5" s="593"/>
      <c r="AA5" s="591"/>
      <c r="AB5" s="592"/>
      <c r="AC5" s="593"/>
      <c r="AD5" s="591"/>
      <c r="AE5" s="592"/>
      <c r="AF5" s="593"/>
      <c r="AG5" s="591"/>
      <c r="AH5" s="592"/>
      <c r="AI5" s="593"/>
      <c r="AJ5" s="591"/>
      <c r="AK5" s="592"/>
      <c r="AL5" s="593"/>
      <c r="AM5" s="591"/>
      <c r="AN5" s="592"/>
      <c r="AO5" s="593"/>
      <c r="AP5" s="591"/>
      <c r="AQ5" s="592"/>
      <c r="AR5" s="589"/>
      <c r="AS5" s="589"/>
      <c r="AT5" s="584"/>
      <c r="AU5" s="584"/>
    </row>
    <row r="6" spans="1:47" ht="18.75" customHeight="1" x14ac:dyDescent="0.3">
      <c r="A6" s="594" t="s">
        <v>104</v>
      </c>
      <c r="B6" s="994" t="s">
        <v>179</v>
      </c>
      <c r="C6" s="995"/>
      <c r="D6" s="996"/>
      <c r="E6" s="994" t="s">
        <v>180</v>
      </c>
      <c r="F6" s="995"/>
      <c r="G6" s="996"/>
      <c r="H6" s="994" t="s">
        <v>181</v>
      </c>
      <c r="I6" s="995"/>
      <c r="J6" s="996"/>
      <c r="K6" s="994" t="s">
        <v>182</v>
      </c>
      <c r="L6" s="995"/>
      <c r="M6" s="996"/>
      <c r="N6" s="994" t="s">
        <v>183</v>
      </c>
      <c r="O6" s="995"/>
      <c r="P6" s="996"/>
      <c r="Q6" s="934" t="s">
        <v>183</v>
      </c>
      <c r="R6" s="935"/>
      <c r="S6" s="936"/>
      <c r="T6" s="994" t="s">
        <v>63</v>
      </c>
      <c r="U6" s="995"/>
      <c r="V6" s="996"/>
      <c r="W6" s="855"/>
      <c r="X6" s="856"/>
      <c r="Y6" s="857"/>
      <c r="Z6" s="994" t="s">
        <v>184</v>
      </c>
      <c r="AA6" s="995"/>
      <c r="AB6" s="996"/>
      <c r="AC6" s="883"/>
      <c r="AD6" s="884"/>
      <c r="AE6" s="885"/>
      <c r="AF6" s="994"/>
      <c r="AG6" s="995"/>
      <c r="AH6" s="996"/>
      <c r="AI6" s="994" t="s">
        <v>75</v>
      </c>
      <c r="AJ6" s="995"/>
      <c r="AK6" s="996"/>
      <c r="AL6" s="991" t="s">
        <v>2</v>
      </c>
      <c r="AM6" s="992"/>
      <c r="AN6" s="993"/>
      <c r="AO6" s="994" t="s">
        <v>2</v>
      </c>
      <c r="AP6" s="995"/>
      <c r="AQ6" s="996"/>
      <c r="AR6" s="589"/>
      <c r="AS6" s="589"/>
      <c r="AT6" s="584"/>
      <c r="AU6" s="584"/>
    </row>
    <row r="7" spans="1:47" ht="18.75" customHeight="1" x14ac:dyDescent="0.3">
      <c r="A7" s="595"/>
      <c r="B7" s="997" t="s">
        <v>185</v>
      </c>
      <c r="C7" s="998"/>
      <c r="D7" s="999"/>
      <c r="E7" s="997" t="s">
        <v>186</v>
      </c>
      <c r="F7" s="998"/>
      <c r="G7" s="999"/>
      <c r="H7" s="997" t="s">
        <v>186</v>
      </c>
      <c r="I7" s="998"/>
      <c r="J7" s="999"/>
      <c r="K7" s="997" t="s">
        <v>187</v>
      </c>
      <c r="L7" s="998"/>
      <c r="M7" s="999"/>
      <c r="N7" s="997" t="s">
        <v>93</v>
      </c>
      <c r="O7" s="998"/>
      <c r="P7" s="999"/>
      <c r="Q7" s="997" t="s">
        <v>63</v>
      </c>
      <c r="R7" s="998"/>
      <c r="S7" s="999"/>
      <c r="T7" s="997" t="s">
        <v>188</v>
      </c>
      <c r="U7" s="998"/>
      <c r="V7" s="999"/>
      <c r="W7" s="997" t="s">
        <v>68</v>
      </c>
      <c r="X7" s="998"/>
      <c r="Y7" s="999"/>
      <c r="Z7" s="997" t="s">
        <v>185</v>
      </c>
      <c r="AA7" s="998"/>
      <c r="AB7" s="999"/>
      <c r="AC7" s="997" t="s">
        <v>74</v>
      </c>
      <c r="AD7" s="998"/>
      <c r="AE7" s="999"/>
      <c r="AF7" s="997" t="s">
        <v>70</v>
      </c>
      <c r="AG7" s="998"/>
      <c r="AH7" s="999"/>
      <c r="AI7" s="997" t="s">
        <v>186</v>
      </c>
      <c r="AJ7" s="998"/>
      <c r="AK7" s="999"/>
      <c r="AL7" s="1000" t="s">
        <v>291</v>
      </c>
      <c r="AM7" s="1001"/>
      <c r="AN7" s="1002"/>
      <c r="AO7" s="1003" t="s">
        <v>292</v>
      </c>
      <c r="AP7" s="1004"/>
      <c r="AQ7" s="1005"/>
      <c r="AR7" s="589"/>
      <c r="AS7" s="589"/>
      <c r="AT7" s="584"/>
      <c r="AU7" s="584"/>
    </row>
    <row r="8" spans="1:47" ht="18.75" customHeight="1" x14ac:dyDescent="0.3">
      <c r="A8" s="595"/>
      <c r="B8" s="540"/>
      <c r="C8" s="540"/>
      <c r="D8" s="541" t="s">
        <v>83</v>
      </c>
      <c r="E8" s="540"/>
      <c r="F8" s="540"/>
      <c r="G8" s="541" t="s">
        <v>83</v>
      </c>
      <c r="H8" s="540"/>
      <c r="I8" s="540"/>
      <c r="J8" s="541" t="s">
        <v>83</v>
      </c>
      <c r="K8" s="540"/>
      <c r="L8" s="540"/>
      <c r="M8" s="541" t="s">
        <v>83</v>
      </c>
      <c r="N8" s="540"/>
      <c r="O8" s="540"/>
      <c r="P8" s="541" t="s">
        <v>83</v>
      </c>
      <c r="Q8" s="540"/>
      <c r="R8" s="540"/>
      <c r="S8" s="541" t="s">
        <v>83</v>
      </c>
      <c r="T8" s="540"/>
      <c r="U8" s="540"/>
      <c r="V8" s="541" t="s">
        <v>83</v>
      </c>
      <c r="W8" s="540"/>
      <c r="X8" s="540"/>
      <c r="Y8" s="541" t="s">
        <v>83</v>
      </c>
      <c r="Z8" s="540"/>
      <c r="AA8" s="540"/>
      <c r="AB8" s="541" t="s">
        <v>83</v>
      </c>
      <c r="AC8" s="540"/>
      <c r="AD8" s="540"/>
      <c r="AE8" s="541" t="s">
        <v>83</v>
      </c>
      <c r="AF8" s="540"/>
      <c r="AG8" s="540"/>
      <c r="AH8" s="541" t="s">
        <v>83</v>
      </c>
      <c r="AI8" s="540"/>
      <c r="AJ8" s="540"/>
      <c r="AK8" s="541" t="s">
        <v>83</v>
      </c>
      <c r="AL8" s="540"/>
      <c r="AM8" s="540"/>
      <c r="AN8" s="541" t="s">
        <v>83</v>
      </c>
      <c r="AO8" s="540"/>
      <c r="AP8" s="540"/>
      <c r="AQ8" s="541" t="s">
        <v>83</v>
      </c>
      <c r="AR8" s="589"/>
      <c r="AS8" s="589"/>
      <c r="AT8" s="584"/>
      <c r="AU8" s="584"/>
    </row>
    <row r="9" spans="1:47" ht="18.75" customHeight="1" x14ac:dyDescent="0.3">
      <c r="A9" s="596" t="s">
        <v>293</v>
      </c>
      <c r="B9" s="842">
        <v>2018</v>
      </c>
      <c r="C9" s="842">
        <v>2019</v>
      </c>
      <c r="D9" s="544" t="s">
        <v>85</v>
      </c>
      <c r="E9" s="842">
        <v>2018</v>
      </c>
      <c r="F9" s="842">
        <v>2019</v>
      </c>
      <c r="G9" s="544" t="s">
        <v>85</v>
      </c>
      <c r="H9" s="543">
        <v>2018</v>
      </c>
      <c r="I9" s="543">
        <v>2019</v>
      </c>
      <c r="J9" s="544" t="s">
        <v>85</v>
      </c>
      <c r="K9" s="543">
        <v>2018</v>
      </c>
      <c r="L9" s="543">
        <v>2019</v>
      </c>
      <c r="M9" s="544" t="s">
        <v>85</v>
      </c>
      <c r="N9" s="842">
        <v>2018</v>
      </c>
      <c r="O9" s="842">
        <v>2019</v>
      </c>
      <c r="P9" s="544" t="s">
        <v>85</v>
      </c>
      <c r="Q9" s="842">
        <v>2018</v>
      </c>
      <c r="R9" s="543">
        <v>2019</v>
      </c>
      <c r="S9" s="544" t="s">
        <v>85</v>
      </c>
      <c r="T9" s="842">
        <v>2018</v>
      </c>
      <c r="U9" s="842">
        <v>2019</v>
      </c>
      <c r="V9" s="544" t="s">
        <v>85</v>
      </c>
      <c r="W9" s="842">
        <v>2018</v>
      </c>
      <c r="X9" s="842">
        <v>2019</v>
      </c>
      <c r="Y9" s="544" t="s">
        <v>85</v>
      </c>
      <c r="Z9" s="842">
        <v>2018</v>
      </c>
      <c r="AA9" s="842">
        <v>2019</v>
      </c>
      <c r="AB9" s="544" t="s">
        <v>85</v>
      </c>
      <c r="AC9" s="842">
        <v>2018</v>
      </c>
      <c r="AD9" s="842">
        <v>2019</v>
      </c>
      <c r="AE9" s="544" t="s">
        <v>85</v>
      </c>
      <c r="AF9" s="842">
        <v>2018</v>
      </c>
      <c r="AG9" s="842">
        <v>2019</v>
      </c>
      <c r="AH9" s="544" t="s">
        <v>85</v>
      </c>
      <c r="AI9" s="842">
        <v>2018</v>
      </c>
      <c r="AJ9" s="842">
        <v>2019</v>
      </c>
      <c r="AK9" s="544" t="s">
        <v>85</v>
      </c>
      <c r="AL9" s="842">
        <v>2018</v>
      </c>
      <c r="AM9" s="842">
        <v>2019</v>
      </c>
      <c r="AN9" s="544" t="s">
        <v>85</v>
      </c>
      <c r="AO9" s="842">
        <v>2018</v>
      </c>
      <c r="AP9" s="842">
        <v>2019</v>
      </c>
      <c r="AQ9" s="544" t="s">
        <v>85</v>
      </c>
      <c r="AR9" s="589"/>
      <c r="AS9" s="589"/>
      <c r="AT9" s="584"/>
      <c r="AU9" s="584"/>
    </row>
    <row r="10" spans="1:47" ht="18.75" customHeight="1" x14ac:dyDescent="0.3">
      <c r="A10" s="597"/>
      <c r="B10" s="806"/>
      <c r="C10" s="807"/>
      <c r="D10" s="598"/>
      <c r="E10" s="863"/>
      <c r="F10" s="807"/>
      <c r="G10" s="599"/>
      <c r="H10" s="905"/>
      <c r="I10" s="906"/>
      <c r="J10" s="600"/>
      <c r="K10" s="806"/>
      <c r="L10" s="807"/>
      <c r="M10" s="598"/>
      <c r="N10" s="806"/>
      <c r="O10" s="807"/>
      <c r="P10" s="599"/>
      <c r="Q10" s="863"/>
      <c r="R10" s="602"/>
      <c r="S10" s="599"/>
      <c r="T10" s="863"/>
      <c r="U10" s="807"/>
      <c r="V10" s="599"/>
      <c r="W10" s="863"/>
      <c r="X10" s="807"/>
      <c r="Y10" s="599"/>
      <c r="Z10" s="863"/>
      <c r="AA10" s="807"/>
      <c r="AB10" s="599"/>
      <c r="AC10" s="863"/>
      <c r="AD10" s="807"/>
      <c r="AE10" s="599"/>
      <c r="AF10" s="863"/>
      <c r="AG10" s="807"/>
      <c r="AH10" s="599"/>
      <c r="AI10" s="863"/>
      <c r="AJ10" s="807"/>
      <c r="AK10" s="599"/>
      <c r="AL10" s="598"/>
      <c r="AM10" s="598"/>
      <c r="AN10" s="599"/>
      <c r="AO10" s="602"/>
      <c r="AP10" s="602"/>
      <c r="AQ10" s="599"/>
      <c r="AR10" s="589"/>
      <c r="AS10" s="589"/>
      <c r="AT10" s="584"/>
      <c r="AU10" s="584"/>
    </row>
    <row r="11" spans="1:47" ht="18.75" customHeight="1" x14ac:dyDescent="0.3">
      <c r="A11" s="632" t="s">
        <v>406</v>
      </c>
      <c r="B11" s="814"/>
      <c r="C11" s="815"/>
      <c r="D11" s="634"/>
      <c r="E11" s="814"/>
      <c r="F11" s="815"/>
      <c r="G11" s="635"/>
      <c r="H11" s="910"/>
      <c r="I11" s="633"/>
      <c r="J11" s="635"/>
      <c r="K11" s="814"/>
      <c r="L11" s="815"/>
      <c r="M11" s="634"/>
      <c r="N11" s="814"/>
      <c r="O11" s="815"/>
      <c r="P11" s="635"/>
      <c r="Q11" s="814"/>
      <c r="R11" s="633"/>
      <c r="S11" s="635"/>
      <c r="T11" s="814"/>
      <c r="U11" s="815"/>
      <c r="V11" s="635"/>
      <c r="W11" s="876"/>
      <c r="X11" s="815"/>
      <c r="Y11" s="635"/>
      <c r="Z11" s="814"/>
      <c r="AA11" s="815"/>
      <c r="AB11" s="635"/>
      <c r="AC11" s="814"/>
      <c r="AD11" s="815"/>
      <c r="AE11" s="635"/>
      <c r="AF11" s="814"/>
      <c r="AG11" s="815"/>
      <c r="AH11" s="635"/>
      <c r="AI11" s="814"/>
      <c r="AJ11" s="815"/>
      <c r="AK11" s="635"/>
      <c r="AL11" s="634"/>
      <c r="AM11" s="634"/>
      <c r="AN11" s="635"/>
      <c r="AO11" s="633"/>
      <c r="AP11" s="633"/>
      <c r="AQ11" s="635"/>
      <c r="AR11" s="589"/>
      <c r="AS11" s="589"/>
      <c r="AT11" s="584"/>
      <c r="AU11" s="584"/>
    </row>
    <row r="12" spans="1:47" s="607" customFormat="1" ht="18.75" customHeight="1" x14ac:dyDescent="0.3">
      <c r="A12" s="556" t="s">
        <v>373</v>
      </c>
      <c r="B12" s="800">
        <v>1.2E-2</v>
      </c>
      <c r="C12" s="799">
        <v>1.6E-2</v>
      </c>
      <c r="D12" s="605">
        <f>IF(B12=0, "    ---- ", IF(ABS(ROUND(100/B12*C12-100,1))&lt;999,ROUND(100/B12*C12-100,1),IF(ROUND(100/B12*C12-100,1)&gt;999,999,-999)))</f>
        <v>33.299999999999997</v>
      </c>
      <c r="E12" s="800">
        <v>13</v>
      </c>
      <c r="F12" s="799">
        <v>-1.07</v>
      </c>
      <c r="G12" s="606">
        <f>IF(E12=0, "    ---- ", IF(ABS(ROUND(100/E12*F12-100,1))&lt;999,ROUND(100/E12*F12-100,1),IF(ROUND(100/E12*F12-100,1)&gt;999,999,-999)))</f>
        <v>-108.2</v>
      </c>
      <c r="H12" s="901">
        <v>0.44</v>
      </c>
      <c r="I12" s="564">
        <v>4.4489999999999998</v>
      </c>
      <c r="J12" s="606">
        <f t="shared" ref="J12:J34" si="0">IF(H12=0, "    ---- ", IF(ABS(ROUND(100/H12*I12-100,1))&lt;999,ROUND(100/H12*I12-100,1),IF(ROUND(100/H12*I12-100,1)&gt;999,999,-999)))</f>
        <v>911.1</v>
      </c>
      <c r="K12" s="800"/>
      <c r="L12" s="799"/>
      <c r="M12" s="605"/>
      <c r="N12" s="800">
        <v>0.55427550332370201</v>
      </c>
      <c r="O12" s="799">
        <v>0.68213626975381103</v>
      </c>
      <c r="P12" s="606">
        <f t="shared" ref="P12:P22" si="1">IF(N12=0, "    ---- ", IF(ABS(ROUND(100/N12*O12-100,1))&lt;999,ROUND(100/N12*O12-100,1),IF(ROUND(100/N12*O12-100,1)&gt;999,999,-999)))</f>
        <v>23.1</v>
      </c>
      <c r="Q12" s="800"/>
      <c r="R12" s="564"/>
      <c r="S12" s="606"/>
      <c r="T12" s="800"/>
      <c r="U12" s="799"/>
      <c r="V12" s="606"/>
      <c r="W12" s="875"/>
      <c r="X12" s="799"/>
      <c r="Y12" s="606"/>
      <c r="Z12" s="800"/>
      <c r="AA12" s="799"/>
      <c r="AB12" s="606"/>
      <c r="AC12" s="800"/>
      <c r="AD12" s="799"/>
      <c r="AE12" s="606"/>
      <c r="AF12" s="800">
        <v>121.309</v>
      </c>
      <c r="AG12" s="799">
        <v>31</v>
      </c>
      <c r="AH12" s="606">
        <f t="shared" ref="AH12:AH34" si="2">IF(AF12=0, "    ---- ", IF(ABS(ROUND(100/AF12*AG12-100,1))&lt;999,ROUND(100/AF12*AG12-100,1),IF(ROUND(100/AF12*AG12-100,1)&gt;999,999,-999)))</f>
        <v>-74.400000000000006</v>
      </c>
      <c r="AI12" s="800">
        <v>16.2</v>
      </c>
      <c r="AJ12" s="799">
        <v>18.399999999999999</v>
      </c>
      <c r="AK12" s="606">
        <f>IF(AI12=0, "    ---- ", IF(ABS(ROUND(100/AI12*AJ12-100,1))&lt;999,ROUND(100/AI12*AJ12-100,1),IF(ROUND(100/AI12*AJ12-100,1)&gt;999,999,-999)))</f>
        <v>13.6</v>
      </c>
      <c r="AL12" s="605">
        <f>B12+E12+H12+K12+Q12+T12+W12+Z12+AF12+AI12</f>
        <v>150.96099999999998</v>
      </c>
      <c r="AM12" s="605">
        <f>C12+F12+I12+L12+R12+U12+X12+AA12+AG12+AJ12</f>
        <v>52.794999999999995</v>
      </c>
      <c r="AN12" s="606">
        <f t="shared" ref="AN12:AN22" si="3">IF(AL12=0, "    ---- ", IF(ABS(ROUND(100/AL12*AM12-100,1))&lt;999,ROUND(100/AL12*AM12-100,1),IF(ROUND(100/AL12*AM12-100,1)&gt;999,999,-999)))</f>
        <v>-65</v>
      </c>
      <c r="AO12" s="564">
        <f>+B12+E12+H12+K12+N12+Q12+T12+W12+Z12+AC12+AF12+AI12</f>
        <v>151.51527550332369</v>
      </c>
      <c r="AP12" s="564">
        <f>+C12+F12+I12+L12+O12+R12+U12+X12+AA12+AD12+AG12+AJ12</f>
        <v>53.477136269753807</v>
      </c>
      <c r="AQ12" s="606">
        <f t="shared" ref="AQ12:AQ22" si="4">IF(AO12=0, "    ---- ", IF(ABS(ROUND(100/AO12*AP12-100,1))&lt;999,ROUND(100/AO12*AP12-100,1),IF(ROUND(100/AO12*AP12-100,1)&gt;999,999,-999)))</f>
        <v>-64.7</v>
      </c>
      <c r="AR12" s="589"/>
      <c r="AS12" s="589"/>
      <c r="AT12" s="584"/>
      <c r="AU12" s="584"/>
    </row>
    <row r="13" spans="1:47" s="607" customFormat="1" ht="18.75" customHeight="1" x14ac:dyDescent="0.3">
      <c r="A13" s="556" t="s">
        <v>374</v>
      </c>
      <c r="B13" s="800"/>
      <c r="C13" s="799"/>
      <c r="D13" s="605"/>
      <c r="E13" s="800"/>
      <c r="F13" s="799"/>
      <c r="G13" s="606"/>
      <c r="H13" s="901"/>
      <c r="I13" s="564"/>
      <c r="J13" s="606"/>
      <c r="K13" s="800"/>
      <c r="L13" s="799"/>
      <c r="M13" s="605"/>
      <c r="N13" s="800"/>
      <c r="O13" s="799"/>
      <c r="P13" s="606"/>
      <c r="Q13" s="800"/>
      <c r="R13" s="564"/>
      <c r="S13" s="606"/>
      <c r="T13" s="800"/>
      <c r="U13" s="799"/>
      <c r="V13" s="606"/>
      <c r="W13" s="875"/>
      <c r="X13" s="799"/>
      <c r="Y13" s="606"/>
      <c r="Z13" s="800"/>
      <c r="AA13" s="799"/>
      <c r="AB13" s="606"/>
      <c r="AC13" s="800"/>
      <c r="AD13" s="799"/>
      <c r="AE13" s="606"/>
      <c r="AF13" s="800"/>
      <c r="AG13" s="799"/>
      <c r="AH13" s="606"/>
      <c r="AI13" s="800"/>
      <c r="AJ13" s="799"/>
      <c r="AK13" s="606"/>
      <c r="AL13" s="605">
        <f t="shared" ref="AL13:AM22" si="5">B13+E13+H13+K13+Q13+T13+W13+Z13+AF13+AI13</f>
        <v>0</v>
      </c>
      <c r="AM13" s="605">
        <f t="shared" si="5"/>
        <v>0</v>
      </c>
      <c r="AN13" s="606" t="str">
        <f t="shared" si="3"/>
        <v xml:space="preserve">    ---- </v>
      </c>
      <c r="AO13" s="564">
        <f t="shared" ref="AO13:AP22" si="6">+B13+E13+H13+K13+N13+Q13+T13+W13+Z13+AC13+AF13+AI13</f>
        <v>0</v>
      </c>
      <c r="AP13" s="564">
        <f t="shared" si="6"/>
        <v>0</v>
      </c>
      <c r="AQ13" s="606" t="str">
        <f t="shared" si="4"/>
        <v xml:space="preserve">    ---- </v>
      </c>
      <c r="AR13" s="589"/>
      <c r="AS13" s="589"/>
      <c r="AT13" s="584"/>
      <c r="AU13" s="584"/>
    </row>
    <row r="14" spans="1:47" s="607" customFormat="1" ht="18.75" customHeight="1" x14ac:dyDescent="0.3">
      <c r="A14" s="556" t="s">
        <v>375</v>
      </c>
      <c r="B14" s="800">
        <v>-0.153</v>
      </c>
      <c r="C14" s="799">
        <v>-6.2E-2</v>
      </c>
      <c r="D14" s="605">
        <f>IF(B14=0, "    ---- ", IF(ABS(ROUND(100/B14*C14-100,1))&lt;999,ROUND(100/B14*C14-100,1),IF(ROUND(100/B14*C14-100,1)&gt;999,999,-999)))</f>
        <v>-59.5</v>
      </c>
      <c r="E14" s="800">
        <v>-5</v>
      </c>
      <c r="F14" s="799">
        <v>7.7519999999999998</v>
      </c>
      <c r="G14" s="606">
        <f>IF(E14=0, "    ---- ", IF(ABS(ROUND(100/E14*F14-100,1))&lt;999,ROUND(100/E14*F14-100,1),IF(ROUND(100/E14*F14-100,1)&gt;999,999,-999)))</f>
        <v>-255</v>
      </c>
      <c r="H14" s="901">
        <v>-16.28</v>
      </c>
      <c r="I14" s="564">
        <v>-13.226000000000001</v>
      </c>
      <c r="J14" s="606">
        <f t="shared" si="0"/>
        <v>-18.8</v>
      </c>
      <c r="K14" s="800"/>
      <c r="L14" s="799"/>
      <c r="M14" s="605"/>
      <c r="N14" s="800">
        <v>-2.25300781327917</v>
      </c>
      <c r="O14" s="799">
        <v>-1.86920699491394</v>
      </c>
      <c r="P14" s="606">
        <f t="shared" si="1"/>
        <v>-17</v>
      </c>
      <c r="Q14" s="800">
        <v>-1.1007280363864795</v>
      </c>
      <c r="R14" s="564"/>
      <c r="S14" s="606">
        <f t="shared" ref="S14:S22" si="7">IF(Q14=0, "    ---- ", IF(ABS(ROUND(100/Q14*R14-100,1))&lt;999,ROUND(100/Q14*R14-100,1),IF(ROUND(100/Q14*R14-100,1)&gt;999,999,-999)))</f>
        <v>-100</v>
      </c>
      <c r="T14" s="800"/>
      <c r="U14" s="799"/>
      <c r="V14" s="606"/>
      <c r="W14" s="875"/>
      <c r="X14" s="799"/>
      <c r="Y14" s="606"/>
      <c r="Z14" s="800"/>
      <c r="AA14" s="799"/>
      <c r="AB14" s="606"/>
      <c r="AC14" s="800"/>
      <c r="AD14" s="799"/>
      <c r="AE14" s="606"/>
      <c r="AF14" s="800">
        <v>0.70099999999999996</v>
      </c>
      <c r="AG14" s="799">
        <v>-12</v>
      </c>
      <c r="AH14" s="606">
        <f t="shared" si="2"/>
        <v>-999</v>
      </c>
      <c r="AI14" s="800">
        <v>0.6</v>
      </c>
      <c r="AJ14" s="799">
        <v>0</v>
      </c>
      <c r="AK14" s="606">
        <f>IF(AI14=0, "    ---- ", IF(ABS(ROUND(100/AI14*AJ14-100,1))&lt;999,ROUND(100/AI14*AJ14-100,1),IF(ROUND(100/AI14*AJ14-100,1)&gt;999,999,-999)))</f>
        <v>-100</v>
      </c>
      <c r="AL14" s="605">
        <f t="shared" si="5"/>
        <v>-21.232728036386476</v>
      </c>
      <c r="AM14" s="605">
        <f t="shared" si="5"/>
        <v>-17.536000000000001</v>
      </c>
      <c r="AN14" s="606">
        <f t="shared" si="3"/>
        <v>-17.399999999999999</v>
      </c>
      <c r="AO14" s="564">
        <f t="shared" si="6"/>
        <v>-23.485735849665645</v>
      </c>
      <c r="AP14" s="564">
        <f t="shared" si="6"/>
        <v>-19.405206994913939</v>
      </c>
      <c r="AQ14" s="606">
        <f t="shared" si="4"/>
        <v>-17.399999999999999</v>
      </c>
      <c r="AR14" s="589"/>
      <c r="AS14" s="589"/>
      <c r="AT14" s="584"/>
      <c r="AU14" s="584"/>
    </row>
    <row r="15" spans="1:47" s="607" customFormat="1" ht="18.75" customHeight="1" x14ac:dyDescent="0.3">
      <c r="A15" s="556" t="s">
        <v>376</v>
      </c>
      <c r="B15" s="800"/>
      <c r="C15" s="799"/>
      <c r="D15" s="605"/>
      <c r="E15" s="800"/>
      <c r="F15" s="799"/>
      <c r="G15" s="606"/>
      <c r="H15" s="901"/>
      <c r="I15" s="564"/>
      <c r="J15" s="606"/>
      <c r="K15" s="800"/>
      <c r="L15" s="799"/>
      <c r="M15" s="605"/>
      <c r="N15" s="800"/>
      <c r="O15" s="799"/>
      <c r="P15" s="606"/>
      <c r="Q15" s="800"/>
      <c r="R15" s="564"/>
      <c r="S15" s="606"/>
      <c r="T15" s="800"/>
      <c r="U15" s="799"/>
      <c r="V15" s="606"/>
      <c r="W15" s="875"/>
      <c r="X15" s="799"/>
      <c r="Y15" s="606"/>
      <c r="Z15" s="800"/>
      <c r="AA15" s="799"/>
      <c r="AB15" s="606"/>
      <c r="AC15" s="800"/>
      <c r="AD15" s="799"/>
      <c r="AE15" s="606"/>
      <c r="AF15" s="800"/>
      <c r="AG15" s="799"/>
      <c r="AH15" s="606"/>
      <c r="AI15" s="800"/>
      <c r="AJ15" s="799"/>
      <c r="AK15" s="606"/>
      <c r="AL15" s="605">
        <f t="shared" si="5"/>
        <v>0</v>
      </c>
      <c r="AM15" s="605">
        <f t="shared" si="5"/>
        <v>0</v>
      </c>
      <c r="AN15" s="606" t="str">
        <f t="shared" si="3"/>
        <v xml:space="preserve">    ---- </v>
      </c>
      <c r="AO15" s="564">
        <f t="shared" si="6"/>
        <v>0</v>
      </c>
      <c r="AP15" s="564">
        <f t="shared" si="6"/>
        <v>0</v>
      </c>
      <c r="AQ15" s="606" t="str">
        <f t="shared" si="4"/>
        <v xml:space="preserve">    ---- </v>
      </c>
      <c r="AR15" s="589"/>
      <c r="AS15" s="589"/>
      <c r="AT15" s="584"/>
      <c r="AU15" s="584"/>
    </row>
    <row r="16" spans="1:47" s="607" customFormat="1" ht="18.75" customHeight="1" x14ac:dyDescent="0.3">
      <c r="A16" s="556" t="s">
        <v>377</v>
      </c>
      <c r="B16" s="800"/>
      <c r="C16" s="799"/>
      <c r="D16" s="605"/>
      <c r="E16" s="800"/>
      <c r="F16" s="799"/>
      <c r="G16" s="606"/>
      <c r="H16" s="901"/>
      <c r="I16" s="564"/>
      <c r="J16" s="606"/>
      <c r="K16" s="800"/>
      <c r="L16" s="799"/>
      <c r="M16" s="605"/>
      <c r="N16" s="800"/>
      <c r="O16" s="799"/>
      <c r="P16" s="606"/>
      <c r="Q16" s="800"/>
      <c r="R16" s="564"/>
      <c r="S16" s="606"/>
      <c r="T16" s="800"/>
      <c r="U16" s="799"/>
      <c r="V16" s="606"/>
      <c r="W16" s="875"/>
      <c r="X16" s="799"/>
      <c r="Y16" s="606"/>
      <c r="Z16" s="800"/>
      <c r="AA16" s="799"/>
      <c r="AB16" s="606"/>
      <c r="AC16" s="800"/>
      <c r="AD16" s="799"/>
      <c r="AE16" s="606"/>
      <c r="AF16" s="800"/>
      <c r="AG16" s="799"/>
      <c r="AH16" s="606"/>
      <c r="AI16" s="800"/>
      <c r="AJ16" s="799"/>
      <c r="AK16" s="606"/>
      <c r="AL16" s="605">
        <f t="shared" si="5"/>
        <v>0</v>
      </c>
      <c r="AM16" s="605">
        <f t="shared" si="5"/>
        <v>0</v>
      </c>
      <c r="AN16" s="606" t="str">
        <f t="shared" si="3"/>
        <v xml:space="preserve">    ---- </v>
      </c>
      <c r="AO16" s="564">
        <f t="shared" si="6"/>
        <v>0</v>
      </c>
      <c r="AP16" s="564">
        <f t="shared" si="6"/>
        <v>0</v>
      </c>
      <c r="AQ16" s="606" t="str">
        <f t="shared" si="4"/>
        <v xml:space="preserve">    ---- </v>
      </c>
      <c r="AR16" s="589"/>
      <c r="AS16" s="589"/>
      <c r="AT16" s="584"/>
      <c r="AU16" s="584"/>
    </row>
    <row r="17" spans="1:47" s="607" customFormat="1" ht="18.75" customHeight="1" x14ac:dyDescent="0.3">
      <c r="A17" s="556" t="s">
        <v>378</v>
      </c>
      <c r="B17" s="800">
        <v>0.98599999999999999</v>
      </c>
      <c r="C17" s="799">
        <v>-0.64500000000000002</v>
      </c>
      <c r="D17" s="605">
        <f>IF(B17=0, "    ---- ", IF(ABS(ROUND(100/B17*C17-100,1))&lt;999,ROUND(100/B17*C17-100,1),IF(ROUND(100/B17*C17-100,1)&gt;999,999,-999)))</f>
        <v>-165.4</v>
      </c>
      <c r="E17" s="800">
        <v>-87</v>
      </c>
      <c r="F17" s="799">
        <v>-52.676000000000002</v>
      </c>
      <c r="G17" s="606">
        <f>IF(E17=0, "    ---- ", IF(ABS(ROUND(100/E17*F17-100,1))&lt;999,ROUND(100/E17*F17-100,1),IF(ROUND(100/E17*F17-100,1)&gt;999,999,-999)))</f>
        <v>-39.5</v>
      </c>
      <c r="H17" s="901">
        <v>6.6</v>
      </c>
      <c r="I17" s="564">
        <v>9.8859999999999992</v>
      </c>
      <c r="J17" s="606">
        <f t="shared" si="0"/>
        <v>49.8</v>
      </c>
      <c r="K17" s="800"/>
      <c r="L17" s="799"/>
      <c r="M17" s="605"/>
      <c r="N17" s="800">
        <v>-4.1441030000000003</v>
      </c>
      <c r="O17" s="799">
        <v>-2.0764119999999999</v>
      </c>
      <c r="P17" s="606">
        <f t="shared" si="1"/>
        <v>-49.9</v>
      </c>
      <c r="Q17" s="800">
        <v>-2.0600488872006721</v>
      </c>
      <c r="R17" s="564"/>
      <c r="S17" s="606">
        <f t="shared" si="7"/>
        <v>-100</v>
      </c>
      <c r="T17" s="800"/>
      <c r="U17" s="799"/>
      <c r="V17" s="606"/>
      <c r="W17" s="875"/>
      <c r="X17" s="799"/>
      <c r="Y17" s="606"/>
      <c r="Z17" s="800"/>
      <c r="AA17" s="799"/>
      <c r="AB17" s="606"/>
      <c r="AC17" s="800"/>
      <c r="AD17" s="799"/>
      <c r="AE17" s="606"/>
      <c r="AF17" s="800">
        <v>-29.861000000000001</v>
      </c>
      <c r="AG17" s="799">
        <v>40</v>
      </c>
      <c r="AH17" s="606">
        <f t="shared" si="2"/>
        <v>-234</v>
      </c>
      <c r="AI17" s="800">
        <v>96.9</v>
      </c>
      <c r="AJ17" s="799">
        <v>-59.5</v>
      </c>
      <c r="AK17" s="606">
        <f>IF(AI17=0, "    ---- ", IF(ABS(ROUND(100/AI17*AJ17-100,1))&lt;999,ROUND(100/AI17*AJ17-100,1),IF(ROUND(100/AI17*AJ17-100,1)&gt;999,999,-999)))</f>
        <v>-161.4</v>
      </c>
      <c r="AL17" s="605">
        <f t="shared" si="5"/>
        <v>-14.435048887200665</v>
      </c>
      <c r="AM17" s="605">
        <f t="shared" si="5"/>
        <v>-62.935000000000002</v>
      </c>
      <c r="AN17" s="606">
        <f t="shared" si="3"/>
        <v>336</v>
      </c>
      <c r="AO17" s="564">
        <f t="shared" si="6"/>
        <v>-18.579151887200666</v>
      </c>
      <c r="AP17" s="564">
        <f t="shared" si="6"/>
        <v>-65.011412000000007</v>
      </c>
      <c r="AQ17" s="606">
        <f t="shared" si="4"/>
        <v>249.9</v>
      </c>
      <c r="AR17" s="589"/>
      <c r="AS17" s="589"/>
      <c r="AT17" s="584"/>
      <c r="AU17" s="584"/>
    </row>
    <row r="18" spans="1:47" s="607" customFormat="1" ht="18.75" customHeight="1" x14ac:dyDescent="0.3">
      <c r="A18" s="556" t="s">
        <v>379</v>
      </c>
      <c r="B18" s="800"/>
      <c r="C18" s="799"/>
      <c r="D18" s="605"/>
      <c r="E18" s="800"/>
      <c r="F18" s="799"/>
      <c r="G18" s="606"/>
      <c r="H18" s="901"/>
      <c r="I18" s="564"/>
      <c r="J18" s="606"/>
      <c r="K18" s="800"/>
      <c r="L18" s="799"/>
      <c r="M18" s="605"/>
      <c r="N18" s="800"/>
      <c r="O18" s="799"/>
      <c r="P18" s="606"/>
      <c r="Q18" s="800"/>
      <c r="R18" s="564"/>
      <c r="S18" s="606"/>
      <c r="T18" s="800"/>
      <c r="U18" s="799"/>
      <c r="V18" s="606"/>
      <c r="W18" s="875"/>
      <c r="X18" s="799"/>
      <c r="Y18" s="606"/>
      <c r="Z18" s="800"/>
      <c r="AA18" s="799"/>
      <c r="AB18" s="606"/>
      <c r="AC18" s="800"/>
      <c r="AD18" s="799"/>
      <c r="AE18" s="606"/>
      <c r="AF18" s="800"/>
      <c r="AG18" s="799"/>
      <c r="AH18" s="606"/>
      <c r="AI18" s="800"/>
      <c r="AJ18" s="799"/>
      <c r="AK18" s="606"/>
      <c r="AL18" s="605">
        <f t="shared" si="5"/>
        <v>0</v>
      </c>
      <c r="AM18" s="605">
        <f t="shared" si="5"/>
        <v>0</v>
      </c>
      <c r="AN18" s="606" t="str">
        <f t="shared" si="3"/>
        <v xml:space="preserve">    ---- </v>
      </c>
      <c r="AO18" s="564">
        <f t="shared" si="6"/>
        <v>0</v>
      </c>
      <c r="AP18" s="564">
        <f t="shared" si="6"/>
        <v>0</v>
      </c>
      <c r="AQ18" s="606" t="str">
        <f t="shared" si="4"/>
        <v xml:space="preserve">    ---- </v>
      </c>
      <c r="AR18" s="589"/>
      <c r="AS18" s="589"/>
      <c r="AT18" s="584"/>
      <c r="AU18" s="584"/>
    </row>
    <row r="19" spans="1:47" s="607" customFormat="1" ht="18.75" customHeight="1" x14ac:dyDescent="0.3">
      <c r="A19" s="556" t="s">
        <v>380</v>
      </c>
      <c r="B19" s="800"/>
      <c r="C19" s="799"/>
      <c r="D19" s="605"/>
      <c r="E19" s="800"/>
      <c r="F19" s="799"/>
      <c r="G19" s="606"/>
      <c r="H19" s="901"/>
      <c r="I19" s="564">
        <v>3.0000000000000001E-3</v>
      </c>
      <c r="J19" s="606" t="str">
        <f t="shared" si="0"/>
        <v xml:space="preserve">    ---- </v>
      </c>
      <c r="K19" s="800"/>
      <c r="L19" s="799"/>
      <c r="M19" s="605"/>
      <c r="N19" s="800"/>
      <c r="O19" s="799"/>
      <c r="P19" s="606"/>
      <c r="Q19" s="800"/>
      <c r="R19" s="564"/>
      <c r="S19" s="606"/>
      <c r="T19" s="800"/>
      <c r="U19" s="799"/>
      <c r="V19" s="606"/>
      <c r="W19" s="875"/>
      <c r="X19" s="799"/>
      <c r="Y19" s="606"/>
      <c r="Z19" s="800"/>
      <c r="AA19" s="799"/>
      <c r="AB19" s="606"/>
      <c r="AC19" s="800"/>
      <c r="AD19" s="799"/>
      <c r="AE19" s="606"/>
      <c r="AF19" s="800"/>
      <c r="AG19" s="799"/>
      <c r="AH19" s="606"/>
      <c r="AI19" s="800"/>
      <c r="AJ19" s="799"/>
      <c r="AK19" s="606"/>
      <c r="AL19" s="605">
        <f t="shared" si="5"/>
        <v>0</v>
      </c>
      <c r="AM19" s="605">
        <f t="shared" si="5"/>
        <v>3.0000000000000001E-3</v>
      </c>
      <c r="AN19" s="606" t="str">
        <f t="shared" si="3"/>
        <v xml:space="preserve">    ---- </v>
      </c>
      <c r="AO19" s="564">
        <f t="shared" si="6"/>
        <v>0</v>
      </c>
      <c r="AP19" s="564">
        <f t="shared" si="6"/>
        <v>3.0000000000000001E-3</v>
      </c>
      <c r="AQ19" s="606" t="str">
        <f t="shared" si="4"/>
        <v xml:space="preserve">    ---- </v>
      </c>
      <c r="AR19" s="589"/>
      <c r="AS19" s="589"/>
      <c r="AT19" s="584"/>
      <c r="AU19" s="584"/>
    </row>
    <row r="20" spans="1:47" s="610" customFormat="1" ht="18.75" customHeight="1" x14ac:dyDescent="0.3">
      <c r="A20" s="550" t="s">
        <v>381</v>
      </c>
      <c r="B20" s="801">
        <v>0.84499999999999997</v>
      </c>
      <c r="C20" s="797">
        <f>SUM(C12:C17)+C19</f>
        <v>-0.69100000000000006</v>
      </c>
      <c r="D20" s="603">
        <f>IF(B20=0, "    ---- ", IF(ABS(ROUND(100/B20*C20-100,1))&lt;999,ROUND(100/B20*C20-100,1),IF(ROUND(100/B20*C20-100,1)&gt;999,999,-999)))</f>
        <v>-181.8</v>
      </c>
      <c r="E20" s="801">
        <v>-79</v>
      </c>
      <c r="F20" s="797">
        <f>SUM(F12:F17)+F19</f>
        <v>-45.994</v>
      </c>
      <c r="G20" s="604">
        <f>IF(E20=0, "    ---- ", IF(ABS(ROUND(100/E20*F20-100,1))&lt;999,ROUND(100/E20*F20-100,1),IF(ROUND(100/E20*F20-100,1)&gt;999,999,-999)))</f>
        <v>-41.8</v>
      </c>
      <c r="H20" s="566">
        <f>SUM(H12:H17)+H19</f>
        <v>-9.240000000000002</v>
      </c>
      <c r="I20" s="566">
        <f>SUM(I12:I17)+I19</f>
        <v>1.1119999999999981</v>
      </c>
      <c r="J20" s="604">
        <f t="shared" si="0"/>
        <v>-112</v>
      </c>
      <c r="K20" s="801"/>
      <c r="L20" s="797"/>
      <c r="M20" s="603"/>
      <c r="N20" s="801">
        <v>-5.8428353099554684</v>
      </c>
      <c r="O20" s="797">
        <f>SUM(O12:O17)+O19</f>
        <v>-3.263482725160129</v>
      </c>
      <c r="P20" s="604">
        <f t="shared" si="1"/>
        <v>-44.1</v>
      </c>
      <c r="Q20" s="801">
        <v>-3.1607769235871519</v>
      </c>
      <c r="R20" s="566"/>
      <c r="S20" s="604">
        <f t="shared" si="7"/>
        <v>-100</v>
      </c>
      <c r="T20" s="801"/>
      <c r="U20" s="797"/>
      <c r="V20" s="604"/>
      <c r="W20" s="874"/>
      <c r="X20" s="797"/>
      <c r="Y20" s="604"/>
      <c r="Z20" s="801"/>
      <c r="AA20" s="797"/>
      <c r="AB20" s="604"/>
      <c r="AC20" s="801"/>
      <c r="AD20" s="797"/>
      <c r="AE20" s="604"/>
      <c r="AF20" s="801">
        <v>92.148999999999987</v>
      </c>
      <c r="AG20" s="797">
        <f>SUM(AG12:AG17)+AG19</f>
        <v>59</v>
      </c>
      <c r="AH20" s="604">
        <f t="shared" si="2"/>
        <v>-36</v>
      </c>
      <c r="AI20" s="801">
        <v>113.7</v>
      </c>
      <c r="AJ20" s="797">
        <f>SUM(AJ12:AJ17)+AJ19</f>
        <v>-41.1</v>
      </c>
      <c r="AK20" s="604">
        <f>IF(AI20=0, "    ---- ", IF(ABS(ROUND(100/AI20*AJ20-100,1))&lt;999,ROUND(100/AI20*AJ20-100,1),IF(ROUND(100/AI20*AJ20-100,1)&gt;999,999,-999)))</f>
        <v>-136.1</v>
      </c>
      <c r="AL20" s="603">
        <f t="shared" si="5"/>
        <v>115.29322307641283</v>
      </c>
      <c r="AM20" s="603">
        <f t="shared" si="5"/>
        <v>-27.673000000000009</v>
      </c>
      <c r="AN20" s="604">
        <f t="shared" si="3"/>
        <v>-124</v>
      </c>
      <c r="AO20" s="566">
        <f t="shared" si="6"/>
        <v>109.45038776645737</v>
      </c>
      <c r="AP20" s="566">
        <f t="shared" si="6"/>
        <v>-30.93648272516014</v>
      </c>
      <c r="AQ20" s="604">
        <f t="shared" si="4"/>
        <v>-128.30000000000001</v>
      </c>
      <c r="AR20" s="587"/>
      <c r="AS20" s="587"/>
      <c r="AT20" s="609"/>
      <c r="AU20" s="609"/>
    </row>
    <row r="21" spans="1:47" s="607" customFormat="1" ht="18.75" customHeight="1" x14ac:dyDescent="0.3">
      <c r="A21" s="556" t="s">
        <v>382</v>
      </c>
      <c r="B21" s="800"/>
      <c r="C21" s="799"/>
      <c r="D21" s="605"/>
      <c r="E21" s="800">
        <v>2</v>
      </c>
      <c r="F21" s="799">
        <v>4.4560000000000004</v>
      </c>
      <c r="G21" s="606">
        <f>IF(E21=0, "    ---- ", IF(ABS(ROUND(100/E21*F21-100,1))&lt;999,ROUND(100/E21*F21-100,1),IF(ROUND(100/E21*F21-100,1)&gt;999,999,-999)))</f>
        <v>122.8</v>
      </c>
      <c r="H21" s="901"/>
      <c r="I21" s="564"/>
      <c r="J21" s="606"/>
      <c r="K21" s="800"/>
      <c r="L21" s="799"/>
      <c r="M21" s="605"/>
      <c r="N21" s="800"/>
      <c r="O21" s="799"/>
      <c r="P21" s="606"/>
      <c r="Q21" s="800"/>
      <c r="R21" s="564"/>
      <c r="S21" s="606"/>
      <c r="T21" s="800"/>
      <c r="U21" s="799"/>
      <c r="V21" s="606"/>
      <c r="W21" s="875"/>
      <c r="X21" s="799"/>
      <c r="Y21" s="606"/>
      <c r="Z21" s="800"/>
      <c r="AA21" s="799"/>
      <c r="AB21" s="606"/>
      <c r="AC21" s="800"/>
      <c r="AD21" s="799"/>
      <c r="AE21" s="606"/>
      <c r="AF21" s="800">
        <v>48.634</v>
      </c>
      <c r="AG21" s="799"/>
      <c r="AH21" s="606">
        <f t="shared" si="2"/>
        <v>-100</v>
      </c>
      <c r="AI21" s="800"/>
      <c r="AJ21" s="799"/>
      <c r="AK21" s="606"/>
      <c r="AL21" s="605">
        <f t="shared" si="5"/>
        <v>50.634</v>
      </c>
      <c r="AM21" s="605">
        <f t="shared" si="5"/>
        <v>4.4560000000000004</v>
      </c>
      <c r="AN21" s="606">
        <f t="shared" si="3"/>
        <v>-91.2</v>
      </c>
      <c r="AO21" s="564">
        <f t="shared" si="6"/>
        <v>50.634</v>
      </c>
      <c r="AP21" s="564">
        <f t="shared" si="6"/>
        <v>4.4560000000000004</v>
      </c>
      <c r="AQ21" s="606">
        <f t="shared" si="4"/>
        <v>-91.2</v>
      </c>
      <c r="AR21" s="589"/>
      <c r="AS21" s="589"/>
      <c r="AT21" s="584"/>
      <c r="AU21" s="584"/>
    </row>
    <row r="22" spans="1:47" s="607" customFormat="1" ht="18.75" customHeight="1" x14ac:dyDescent="0.3">
      <c r="A22" s="556" t="s">
        <v>383</v>
      </c>
      <c r="B22" s="800">
        <v>0.84399999999999997</v>
      </c>
      <c r="C22" s="799">
        <v>-0.69099999999999995</v>
      </c>
      <c r="D22" s="605">
        <f>IF(B22=0, "    ---- ", IF(ABS(ROUND(100/B22*C22-100,1))&lt;999,ROUND(100/B22*C22-100,1),IF(ROUND(100/B22*C22-100,1)&gt;999,999,-999)))</f>
        <v>-181.9</v>
      </c>
      <c r="E22" s="800">
        <v>-81</v>
      </c>
      <c r="F22" s="799">
        <v>-50.45</v>
      </c>
      <c r="G22" s="606">
        <f>IF(E22=0, "    ---- ", IF(ABS(ROUND(100/E22*F22-100,1))&lt;999,ROUND(100/E22*F22-100,1),IF(ROUND(100/E22*F22-100,1)&gt;999,999,-999)))</f>
        <v>-37.700000000000003</v>
      </c>
      <c r="H22" s="901">
        <v>-9.24</v>
      </c>
      <c r="I22" s="564">
        <v>1.113</v>
      </c>
      <c r="J22" s="606">
        <f t="shared" si="0"/>
        <v>-112</v>
      </c>
      <c r="K22" s="800"/>
      <c r="L22" s="799"/>
      <c r="M22" s="605"/>
      <c r="N22" s="800">
        <v>-5.8428353099554702</v>
      </c>
      <c r="O22" s="799">
        <v>-3.263482725160129</v>
      </c>
      <c r="P22" s="606">
        <f t="shared" si="1"/>
        <v>-44.1</v>
      </c>
      <c r="Q22" s="800">
        <v>-3.1733017582301537</v>
      </c>
      <c r="R22" s="564"/>
      <c r="S22" s="606">
        <f t="shared" si="7"/>
        <v>-100</v>
      </c>
      <c r="T22" s="800"/>
      <c r="U22" s="799"/>
      <c r="V22" s="606"/>
      <c r="W22" s="875"/>
      <c r="X22" s="799"/>
      <c r="Y22" s="606"/>
      <c r="Z22" s="800"/>
      <c r="AA22" s="799"/>
      <c r="AB22" s="606"/>
      <c r="AC22" s="800"/>
      <c r="AD22" s="799"/>
      <c r="AE22" s="606"/>
      <c r="AF22" s="800">
        <v>43.515000000000001</v>
      </c>
      <c r="AG22" s="799">
        <v>59</v>
      </c>
      <c r="AH22" s="606">
        <f t="shared" si="2"/>
        <v>35.6</v>
      </c>
      <c r="AI22" s="800">
        <v>113.7</v>
      </c>
      <c r="AJ22" s="799">
        <v>-41</v>
      </c>
      <c r="AK22" s="606">
        <f>IF(AI22=0, "    ---- ", IF(ABS(ROUND(100/AI22*AJ22-100,1))&lt;999,ROUND(100/AI22*AJ22-100,1),IF(ROUND(100/AI22*AJ22-100,1)&gt;999,999,-999)))</f>
        <v>-136.1</v>
      </c>
      <c r="AL22" s="605">
        <f t="shared" si="5"/>
        <v>64.64569824176985</v>
      </c>
      <c r="AM22" s="605">
        <f t="shared" si="5"/>
        <v>-32.028000000000006</v>
      </c>
      <c r="AN22" s="606">
        <f t="shared" si="3"/>
        <v>-149.5</v>
      </c>
      <c r="AO22" s="564">
        <f t="shared" si="6"/>
        <v>58.802862931814374</v>
      </c>
      <c r="AP22" s="564">
        <f t="shared" si="6"/>
        <v>-35.291482725160137</v>
      </c>
      <c r="AQ22" s="606">
        <f t="shared" si="4"/>
        <v>-160</v>
      </c>
      <c r="AR22" s="589"/>
      <c r="AS22" s="589"/>
      <c r="AT22" s="584"/>
      <c r="AU22" s="584"/>
    </row>
    <row r="23" spans="1:47" s="607" customFormat="1" ht="18.75" customHeight="1" x14ac:dyDescent="0.3">
      <c r="A23" s="550" t="s">
        <v>407</v>
      </c>
      <c r="B23" s="810"/>
      <c r="C23" s="811"/>
      <c r="D23" s="605"/>
      <c r="E23" s="810"/>
      <c r="F23" s="811"/>
      <c r="G23" s="606"/>
      <c r="H23" s="908"/>
      <c r="I23" s="603"/>
      <c r="J23" s="606"/>
      <c r="K23" s="810"/>
      <c r="L23" s="811"/>
      <c r="M23" s="605"/>
      <c r="N23" s="810"/>
      <c r="O23" s="811"/>
      <c r="P23" s="606"/>
      <c r="Q23" s="810"/>
      <c r="R23" s="603"/>
      <c r="S23" s="606"/>
      <c r="T23" s="810"/>
      <c r="U23" s="811"/>
      <c r="V23" s="606"/>
      <c r="W23" s="874"/>
      <c r="X23" s="811"/>
      <c r="Y23" s="606"/>
      <c r="Z23" s="810"/>
      <c r="AA23" s="811"/>
      <c r="AB23" s="606"/>
      <c r="AC23" s="810"/>
      <c r="AD23" s="811"/>
      <c r="AE23" s="606"/>
      <c r="AF23" s="810"/>
      <c r="AG23" s="811"/>
      <c r="AH23" s="606"/>
      <c r="AI23" s="810"/>
      <c r="AJ23" s="811"/>
      <c r="AK23" s="606"/>
      <c r="AL23" s="605"/>
      <c r="AM23" s="605"/>
      <c r="AN23" s="606"/>
      <c r="AO23" s="605"/>
      <c r="AP23" s="605"/>
      <c r="AQ23" s="606"/>
      <c r="AR23" s="589"/>
      <c r="AS23" s="589"/>
      <c r="AT23" s="584"/>
      <c r="AU23" s="584"/>
    </row>
    <row r="24" spans="1:47" s="607" customFormat="1" ht="18.75" customHeight="1" x14ac:dyDescent="0.3">
      <c r="A24" s="556" t="s">
        <v>373</v>
      </c>
      <c r="B24" s="808">
        <v>0.499</v>
      </c>
      <c r="C24" s="809">
        <v>1.667</v>
      </c>
      <c r="D24" s="605">
        <f>IF(B24=0, "    ---- ", IF(ABS(ROUND(100/B24*C24-100,1))&lt;999,ROUND(100/B24*C24-100,1),IF(ROUND(100/B24*C24-100,1)&gt;999,999,-999)))</f>
        <v>234.1</v>
      </c>
      <c r="E24" s="808">
        <v>1</v>
      </c>
      <c r="F24" s="809">
        <v>-49.39</v>
      </c>
      <c r="G24" s="606">
        <f>IF(E24=0, "    ---- ", IF(ABS(ROUND(100/E24*F24-100,1))&lt;999,ROUND(100/E24*F24-100,1),IF(ROUND(100/E24*F24-100,1)&gt;999,999,-999)))</f>
        <v>-999</v>
      </c>
      <c r="H24" s="907">
        <v>0.91</v>
      </c>
      <c r="I24" s="605">
        <v>9.2439999999999998</v>
      </c>
      <c r="J24" s="606">
        <f t="shared" si="0"/>
        <v>915.8</v>
      </c>
      <c r="K24" s="808"/>
      <c r="L24" s="809"/>
      <c r="M24" s="606"/>
      <c r="N24" s="808"/>
      <c r="O24" s="809"/>
      <c r="P24" s="606"/>
      <c r="Q24" s="808"/>
      <c r="R24" s="605"/>
      <c r="S24" s="606"/>
      <c r="T24" s="808"/>
      <c r="U24" s="809"/>
      <c r="V24" s="606"/>
      <c r="W24" s="875">
        <v>1.5373328775474602</v>
      </c>
      <c r="X24" s="809">
        <v>1.148775028624456</v>
      </c>
      <c r="Y24" s="606">
        <f t="shared" ref="Y24:Y34" si="8">IF(W24=0, "    ---- ", IF(ABS(ROUND(100/W24*X24-100,1))&lt;999,ROUND(100/W24*X24-100,1),IF(ROUND(100/W24*X24-100,1)&gt;999,999,-999)))</f>
        <v>-25.3</v>
      </c>
      <c r="Z24" s="808"/>
      <c r="AA24" s="809"/>
      <c r="AB24" s="606"/>
      <c r="AC24" s="808"/>
      <c r="AD24" s="809"/>
      <c r="AE24" s="606"/>
      <c r="AF24" s="808">
        <v>29.655000000000001</v>
      </c>
      <c r="AG24" s="809">
        <v>4</v>
      </c>
      <c r="AH24" s="606">
        <f t="shared" si="2"/>
        <v>-86.5</v>
      </c>
      <c r="AI24" s="808">
        <v>4.5999999999999996</v>
      </c>
      <c r="AJ24" s="809">
        <v>7</v>
      </c>
      <c r="AK24" s="606">
        <f>IF(AI24=0, "    ---- ", IF(ABS(ROUND(100/AI24*AJ24-100,1))&lt;999,ROUND(100/AI24*AJ24-100,1),IF(ROUND(100/AI24*AJ24-100,1)&gt;999,999,-999)))</f>
        <v>52.2</v>
      </c>
      <c r="AL24" s="605">
        <f t="shared" ref="AL24:AM34" si="9">B24+E24+H24+K24+Q24+T24+W24+Z24+AF24+AI24</f>
        <v>38.201332877547465</v>
      </c>
      <c r="AM24" s="605">
        <f t="shared" si="9"/>
        <v>-26.330224971375543</v>
      </c>
      <c r="AN24" s="606">
        <f>IF(AL24=0, "    ---- ", IF(ABS(ROUND(100/AL24*AM24-100,1))&lt;999,ROUND(100/AL24*AM24-100,1),IF(ROUND(100/AL24*AM24-100,1)&gt;999,999,-999)))</f>
        <v>-168.9</v>
      </c>
      <c r="AO24" s="564">
        <f t="shared" ref="AO24:AP34" si="10">+B24+E24+H24+K24+N24+Q24+T24+W24+Z24+AC24+AF24+AI24</f>
        <v>38.201332877547465</v>
      </c>
      <c r="AP24" s="564">
        <f t="shared" si="10"/>
        <v>-26.330224971375543</v>
      </c>
      <c r="AQ24" s="606">
        <f>IF(AO24=0, "    ---- ", IF(ABS(ROUND(100/AO24*AP24-100,1))&lt;999,ROUND(100/AO24*AP24-100,1),IF(ROUND(100/AO24*AP24-100,1)&gt;999,999,-999)))</f>
        <v>-168.9</v>
      </c>
      <c r="AR24" s="589"/>
      <c r="AS24" s="589"/>
      <c r="AT24" s="584"/>
      <c r="AU24" s="584"/>
    </row>
    <row r="25" spans="1:47" s="607" customFormat="1" ht="18.75" customHeight="1" x14ac:dyDescent="0.3">
      <c r="A25" s="556" t="s">
        <v>374</v>
      </c>
      <c r="B25" s="808"/>
      <c r="C25" s="809"/>
      <c r="D25" s="605"/>
      <c r="E25" s="808"/>
      <c r="F25" s="809"/>
      <c r="G25" s="606"/>
      <c r="H25" s="907"/>
      <c r="I25" s="605"/>
      <c r="J25" s="606"/>
      <c r="K25" s="808"/>
      <c r="L25" s="809"/>
      <c r="M25" s="605"/>
      <c r="N25" s="808"/>
      <c r="O25" s="809"/>
      <c r="P25" s="606"/>
      <c r="Q25" s="808"/>
      <c r="R25" s="605"/>
      <c r="S25" s="606"/>
      <c r="T25" s="808"/>
      <c r="U25" s="809"/>
      <c r="V25" s="606"/>
      <c r="W25" s="875"/>
      <c r="X25" s="809"/>
      <c r="Y25" s="606"/>
      <c r="Z25" s="808"/>
      <c r="AA25" s="809"/>
      <c r="AB25" s="606"/>
      <c r="AC25" s="808"/>
      <c r="AD25" s="809"/>
      <c r="AE25" s="606"/>
      <c r="AF25" s="808"/>
      <c r="AG25" s="809"/>
      <c r="AH25" s="606"/>
      <c r="AI25" s="808"/>
      <c r="AJ25" s="809"/>
      <c r="AK25" s="606"/>
      <c r="AL25" s="605">
        <f t="shared" si="9"/>
        <v>0</v>
      </c>
      <c r="AM25" s="605">
        <f t="shared" si="9"/>
        <v>0</v>
      </c>
      <c r="AN25" s="606" t="str">
        <f t="shared" ref="AN25:AN34" si="11">IF(AL25=0, "    ---- ", IF(ABS(ROUND(100/AL25*AM25-100,1))&lt;999,ROUND(100/AL25*AM25-100,1),IF(ROUND(100/AL25*AM25-100,1)&gt;999,999,-999)))</f>
        <v xml:space="preserve">    ---- </v>
      </c>
      <c r="AO25" s="564">
        <f t="shared" si="10"/>
        <v>0</v>
      </c>
      <c r="AP25" s="564">
        <f t="shared" si="10"/>
        <v>0</v>
      </c>
      <c r="AQ25" s="606" t="str">
        <f t="shared" ref="AQ25:AQ34" si="12">IF(AO25=0, "    ---- ", IF(ABS(ROUND(100/AO25*AP25-100,1))&lt;999,ROUND(100/AO25*AP25-100,1),IF(ROUND(100/AO25*AP25-100,1)&gt;999,999,-999)))</f>
        <v xml:space="preserve">    ---- </v>
      </c>
      <c r="AR25" s="589"/>
      <c r="AS25" s="589"/>
      <c r="AT25" s="584"/>
      <c r="AU25" s="584"/>
    </row>
    <row r="26" spans="1:47" s="607" customFormat="1" ht="18.75" customHeight="1" x14ac:dyDescent="0.3">
      <c r="A26" s="556" t="s">
        <v>375</v>
      </c>
      <c r="B26" s="808">
        <v>-5.2539999999999996</v>
      </c>
      <c r="C26" s="809">
        <v>-1.6990000000000001</v>
      </c>
      <c r="D26" s="605">
        <f>IF(B26=0, "    ---- ", IF(ABS(ROUND(100/B26*C26-100,1))&lt;999,ROUND(100/B26*C26-100,1),IF(ROUND(100/B26*C26-100,1)&gt;999,999,-999)))</f>
        <v>-67.7</v>
      </c>
      <c r="E26" s="808">
        <v>-10</v>
      </c>
      <c r="F26" s="809">
        <v>-9.359</v>
      </c>
      <c r="G26" s="606">
        <f>IF(E26=0, "    ---- ", IF(ABS(ROUND(100/E26*F26-100,1))&lt;999,ROUND(100/E26*F26-100,1),IF(ROUND(100/E26*F26-100,1)&gt;999,999,-999)))</f>
        <v>-6.4</v>
      </c>
      <c r="H26" s="907">
        <v>-0.28000000000000003</v>
      </c>
      <c r="I26" s="605">
        <v>0.53800000000000003</v>
      </c>
      <c r="J26" s="606">
        <f t="shared" si="0"/>
        <v>-292.10000000000002</v>
      </c>
      <c r="K26" s="808"/>
      <c r="L26" s="809"/>
      <c r="M26" s="605"/>
      <c r="N26" s="808"/>
      <c r="O26" s="809"/>
      <c r="P26" s="606"/>
      <c r="Q26" s="808"/>
      <c r="R26" s="605"/>
      <c r="S26" s="606"/>
      <c r="T26" s="808"/>
      <c r="U26" s="809"/>
      <c r="V26" s="606"/>
      <c r="W26" s="875">
        <v>15.324249018109951</v>
      </c>
      <c r="X26" s="809">
        <v>14.011931115090372</v>
      </c>
      <c r="Y26" s="606">
        <f t="shared" si="8"/>
        <v>-8.6</v>
      </c>
      <c r="Z26" s="808"/>
      <c r="AA26" s="809"/>
      <c r="AB26" s="606"/>
      <c r="AC26" s="808"/>
      <c r="AD26" s="809"/>
      <c r="AE26" s="606"/>
      <c r="AF26" s="808">
        <v>-17.488</v>
      </c>
      <c r="AG26" s="809">
        <v>-11</v>
      </c>
      <c r="AH26" s="606">
        <f t="shared" si="2"/>
        <v>-37.1</v>
      </c>
      <c r="AI26" s="808">
        <v>-18.100000000000001</v>
      </c>
      <c r="AJ26" s="809">
        <v>-22</v>
      </c>
      <c r="AK26" s="606">
        <f>IF(AI26=0, "    ---- ", IF(ABS(ROUND(100/AI26*AJ26-100,1))&lt;999,ROUND(100/AI26*AJ26-100,1),IF(ROUND(100/AI26*AJ26-100,1)&gt;999,999,-999)))</f>
        <v>21.5</v>
      </c>
      <c r="AL26" s="605">
        <f t="shared" si="9"/>
        <v>-35.797750981890047</v>
      </c>
      <c r="AM26" s="605">
        <f t="shared" si="9"/>
        <v>-29.508068884909626</v>
      </c>
      <c r="AN26" s="606">
        <f t="shared" si="11"/>
        <v>-17.600000000000001</v>
      </c>
      <c r="AO26" s="564">
        <f t="shared" si="10"/>
        <v>-35.797750981890047</v>
      </c>
      <c r="AP26" s="564">
        <f t="shared" si="10"/>
        <v>-29.508068884909626</v>
      </c>
      <c r="AQ26" s="606">
        <f t="shared" si="12"/>
        <v>-17.600000000000001</v>
      </c>
      <c r="AR26" s="589"/>
      <c r="AS26" s="589"/>
      <c r="AT26" s="584"/>
      <c r="AU26" s="584"/>
    </row>
    <row r="27" spans="1:47" s="607" customFormat="1" ht="18.75" customHeight="1" x14ac:dyDescent="0.3">
      <c r="A27" s="556" t="s">
        <v>376</v>
      </c>
      <c r="B27" s="808"/>
      <c r="C27" s="809"/>
      <c r="D27" s="605"/>
      <c r="E27" s="808"/>
      <c r="F27" s="809"/>
      <c r="G27" s="606"/>
      <c r="H27" s="907"/>
      <c r="I27" s="605"/>
      <c r="J27" s="606"/>
      <c r="K27" s="808"/>
      <c r="L27" s="809"/>
      <c r="M27" s="605"/>
      <c r="N27" s="808"/>
      <c r="O27" s="809"/>
      <c r="P27" s="606"/>
      <c r="Q27" s="808"/>
      <c r="R27" s="605"/>
      <c r="S27" s="606"/>
      <c r="T27" s="808"/>
      <c r="U27" s="809"/>
      <c r="V27" s="606"/>
      <c r="W27" s="875"/>
      <c r="X27" s="809"/>
      <c r="Y27" s="606"/>
      <c r="Z27" s="808"/>
      <c r="AA27" s="809"/>
      <c r="AB27" s="606"/>
      <c r="AC27" s="808"/>
      <c r="AD27" s="809"/>
      <c r="AE27" s="606"/>
      <c r="AF27" s="808"/>
      <c r="AG27" s="809"/>
      <c r="AH27" s="606"/>
      <c r="AI27" s="808"/>
      <c r="AJ27" s="809"/>
      <c r="AK27" s="606"/>
      <c r="AL27" s="605">
        <f t="shared" si="9"/>
        <v>0</v>
      </c>
      <c r="AM27" s="605">
        <f t="shared" si="9"/>
        <v>0</v>
      </c>
      <c r="AN27" s="606" t="str">
        <f t="shared" si="11"/>
        <v xml:space="preserve">    ---- </v>
      </c>
      <c r="AO27" s="564">
        <f t="shared" si="10"/>
        <v>0</v>
      </c>
      <c r="AP27" s="564">
        <f t="shared" si="10"/>
        <v>0</v>
      </c>
      <c r="AQ27" s="606" t="str">
        <f t="shared" si="12"/>
        <v xml:space="preserve">    ---- </v>
      </c>
      <c r="AR27" s="589"/>
      <c r="AS27" s="589"/>
      <c r="AT27" s="584"/>
      <c r="AU27" s="584"/>
    </row>
    <row r="28" spans="1:47" s="607" customFormat="1" ht="18.75" customHeight="1" x14ac:dyDescent="0.3">
      <c r="A28" s="556" t="s">
        <v>377</v>
      </c>
      <c r="B28" s="808"/>
      <c r="C28" s="809"/>
      <c r="D28" s="605"/>
      <c r="E28" s="808"/>
      <c r="F28" s="809"/>
      <c r="G28" s="606"/>
      <c r="H28" s="907"/>
      <c r="I28" s="605"/>
      <c r="J28" s="606"/>
      <c r="K28" s="808"/>
      <c r="L28" s="809"/>
      <c r="M28" s="605"/>
      <c r="N28" s="808"/>
      <c r="O28" s="809"/>
      <c r="P28" s="606"/>
      <c r="Q28" s="808"/>
      <c r="R28" s="605"/>
      <c r="S28" s="606"/>
      <c r="T28" s="808"/>
      <c r="U28" s="809"/>
      <c r="V28" s="606"/>
      <c r="W28" s="875"/>
      <c r="X28" s="809"/>
      <c r="Y28" s="606"/>
      <c r="Z28" s="808"/>
      <c r="AA28" s="809"/>
      <c r="AB28" s="606"/>
      <c r="AC28" s="808"/>
      <c r="AD28" s="809"/>
      <c r="AE28" s="606"/>
      <c r="AF28" s="808"/>
      <c r="AG28" s="809"/>
      <c r="AH28" s="606"/>
      <c r="AI28" s="808"/>
      <c r="AJ28" s="809"/>
      <c r="AK28" s="606"/>
      <c r="AL28" s="605">
        <f t="shared" si="9"/>
        <v>0</v>
      </c>
      <c r="AM28" s="605">
        <f t="shared" si="9"/>
        <v>0</v>
      </c>
      <c r="AN28" s="606" t="str">
        <f t="shared" si="11"/>
        <v xml:space="preserve">    ---- </v>
      </c>
      <c r="AO28" s="564">
        <f t="shared" si="10"/>
        <v>0</v>
      </c>
      <c r="AP28" s="564">
        <f t="shared" si="10"/>
        <v>0</v>
      </c>
      <c r="AQ28" s="606" t="str">
        <f t="shared" si="12"/>
        <v xml:space="preserve">    ---- </v>
      </c>
      <c r="AR28" s="589"/>
      <c r="AS28" s="589"/>
      <c r="AT28" s="584"/>
      <c r="AU28" s="584"/>
    </row>
    <row r="29" spans="1:47" s="607" customFormat="1" ht="18.75" customHeight="1" x14ac:dyDescent="0.3">
      <c r="A29" s="556" t="s">
        <v>378</v>
      </c>
      <c r="B29" s="808">
        <v>13.205</v>
      </c>
      <c r="C29" s="809">
        <v>8.14</v>
      </c>
      <c r="D29" s="605">
        <f>IF(B29=0, "    ---- ", IF(ABS(ROUND(100/B29*C29-100,1))&lt;999,ROUND(100/B29*C29-100,1),IF(ROUND(100/B29*C29-100,1)&gt;999,999,-999)))</f>
        <v>-38.4</v>
      </c>
      <c r="E29" s="808">
        <v>77</v>
      </c>
      <c r="F29" s="809">
        <v>10.98</v>
      </c>
      <c r="G29" s="606">
        <f>IF(E29=0, "    ---- ", IF(ABS(ROUND(100/E29*F29-100,1))&lt;999,ROUND(100/E29*F29-100,1),IF(ROUND(100/E29*F29-100,1)&gt;999,999,-999)))</f>
        <v>-85.7</v>
      </c>
      <c r="H29" s="907">
        <v>10.67</v>
      </c>
      <c r="I29" s="605">
        <v>14.98</v>
      </c>
      <c r="J29" s="606">
        <f t="shared" si="0"/>
        <v>40.4</v>
      </c>
      <c r="K29" s="808"/>
      <c r="L29" s="809"/>
      <c r="M29" s="606"/>
      <c r="N29" s="808"/>
      <c r="O29" s="809"/>
      <c r="P29" s="606"/>
      <c r="Q29" s="808"/>
      <c r="R29" s="605"/>
      <c r="S29" s="606"/>
      <c r="T29" s="808"/>
      <c r="U29" s="809"/>
      <c r="V29" s="606"/>
      <c r="W29" s="875">
        <v>40.672628177242181</v>
      </c>
      <c r="X29" s="809">
        <v>49.05452669718396</v>
      </c>
      <c r="Y29" s="606">
        <f t="shared" si="8"/>
        <v>20.6</v>
      </c>
      <c r="Z29" s="808"/>
      <c r="AA29" s="809"/>
      <c r="AB29" s="606"/>
      <c r="AC29" s="808"/>
      <c r="AD29" s="809"/>
      <c r="AE29" s="606"/>
      <c r="AF29" s="808">
        <v>60.706000000000003</v>
      </c>
      <c r="AG29" s="809">
        <v>83</v>
      </c>
      <c r="AH29" s="606">
        <f t="shared" si="2"/>
        <v>36.700000000000003</v>
      </c>
      <c r="AI29" s="808">
        <v>106</v>
      </c>
      <c r="AJ29" s="809">
        <v>30</v>
      </c>
      <c r="AK29" s="606">
        <f>IF(AI29=0, "    ---- ", IF(ABS(ROUND(100/AI29*AJ29-100,1))&lt;999,ROUND(100/AI29*AJ29-100,1),IF(ROUND(100/AI29*AJ29-100,1)&gt;999,999,-999)))</f>
        <v>-71.7</v>
      </c>
      <c r="AL29" s="605">
        <f t="shared" si="9"/>
        <v>308.25362817724221</v>
      </c>
      <c r="AM29" s="605">
        <f t="shared" si="9"/>
        <v>196.15452669718397</v>
      </c>
      <c r="AN29" s="606">
        <f t="shared" si="11"/>
        <v>-36.4</v>
      </c>
      <c r="AO29" s="564">
        <f t="shared" si="10"/>
        <v>308.25362817724221</v>
      </c>
      <c r="AP29" s="564">
        <f t="shared" si="10"/>
        <v>196.15452669718397</v>
      </c>
      <c r="AQ29" s="606">
        <f t="shared" si="12"/>
        <v>-36.4</v>
      </c>
      <c r="AR29" s="589"/>
      <c r="AS29" s="589"/>
      <c r="AT29" s="584"/>
      <c r="AU29" s="584"/>
    </row>
    <row r="30" spans="1:47" s="607" customFormat="1" ht="18.75" customHeight="1" x14ac:dyDescent="0.3">
      <c r="A30" s="556" t="s">
        <v>379</v>
      </c>
      <c r="B30" s="808"/>
      <c r="C30" s="809"/>
      <c r="D30" s="605"/>
      <c r="E30" s="808"/>
      <c r="F30" s="809"/>
      <c r="G30" s="606"/>
      <c r="H30" s="907"/>
      <c r="I30" s="605"/>
      <c r="J30" s="606"/>
      <c r="K30" s="808"/>
      <c r="L30" s="809"/>
      <c r="M30" s="605"/>
      <c r="N30" s="808"/>
      <c r="O30" s="809"/>
      <c r="P30" s="606"/>
      <c r="Q30" s="808"/>
      <c r="R30" s="605"/>
      <c r="S30" s="606"/>
      <c r="T30" s="808"/>
      <c r="U30" s="809"/>
      <c r="V30" s="606"/>
      <c r="W30" s="875"/>
      <c r="X30" s="809"/>
      <c r="Y30" s="606"/>
      <c r="Z30" s="808"/>
      <c r="AA30" s="809"/>
      <c r="AB30" s="606"/>
      <c r="AC30" s="808"/>
      <c r="AD30" s="809"/>
      <c r="AE30" s="606"/>
      <c r="AF30" s="808"/>
      <c r="AG30" s="809"/>
      <c r="AH30" s="606"/>
      <c r="AI30" s="808"/>
      <c r="AJ30" s="809"/>
      <c r="AK30" s="606"/>
      <c r="AL30" s="605">
        <f t="shared" si="9"/>
        <v>0</v>
      </c>
      <c r="AM30" s="605">
        <f t="shared" si="9"/>
        <v>0</v>
      </c>
      <c r="AN30" s="606" t="str">
        <f t="shared" si="11"/>
        <v xml:space="preserve">    ---- </v>
      </c>
      <c r="AO30" s="564">
        <f t="shared" si="10"/>
        <v>0</v>
      </c>
      <c r="AP30" s="564">
        <f t="shared" si="10"/>
        <v>0</v>
      </c>
      <c r="AQ30" s="606" t="str">
        <f t="shared" si="12"/>
        <v xml:space="preserve">    ---- </v>
      </c>
      <c r="AR30" s="589"/>
      <c r="AS30" s="589"/>
      <c r="AT30" s="584"/>
      <c r="AU30" s="584"/>
    </row>
    <row r="31" spans="1:47" s="607" customFormat="1" ht="18.75" customHeight="1" x14ac:dyDescent="0.3">
      <c r="A31" s="556" t="s">
        <v>380</v>
      </c>
      <c r="B31" s="808"/>
      <c r="C31" s="809"/>
      <c r="D31" s="605"/>
      <c r="E31" s="808"/>
      <c r="F31" s="809"/>
      <c r="G31" s="606"/>
      <c r="H31" s="907"/>
      <c r="I31" s="605">
        <v>6.0000000000000001E-3</v>
      </c>
      <c r="J31" s="606" t="str">
        <f t="shared" si="0"/>
        <v xml:space="preserve">    ---- </v>
      </c>
      <c r="K31" s="808"/>
      <c r="L31" s="809"/>
      <c r="M31" s="605"/>
      <c r="N31" s="808"/>
      <c r="O31" s="809"/>
      <c r="P31" s="606"/>
      <c r="Q31" s="808"/>
      <c r="R31" s="605"/>
      <c r="S31" s="606"/>
      <c r="T31" s="808"/>
      <c r="U31" s="809"/>
      <c r="V31" s="606"/>
      <c r="W31" s="875"/>
      <c r="X31" s="809"/>
      <c r="Y31" s="606"/>
      <c r="Z31" s="808"/>
      <c r="AA31" s="809"/>
      <c r="AB31" s="606"/>
      <c r="AC31" s="808"/>
      <c r="AD31" s="809"/>
      <c r="AE31" s="606"/>
      <c r="AF31" s="808"/>
      <c r="AG31" s="809"/>
      <c r="AH31" s="606"/>
      <c r="AI31" s="808"/>
      <c r="AJ31" s="809"/>
      <c r="AK31" s="606"/>
      <c r="AL31" s="605">
        <f t="shared" si="9"/>
        <v>0</v>
      </c>
      <c r="AM31" s="605">
        <f t="shared" si="9"/>
        <v>6.0000000000000001E-3</v>
      </c>
      <c r="AN31" s="606" t="str">
        <f t="shared" si="11"/>
        <v xml:space="preserve">    ---- </v>
      </c>
      <c r="AO31" s="564">
        <f t="shared" si="10"/>
        <v>0</v>
      </c>
      <c r="AP31" s="564">
        <f t="shared" si="10"/>
        <v>6.0000000000000001E-3</v>
      </c>
      <c r="AQ31" s="606" t="str">
        <f t="shared" si="12"/>
        <v xml:space="preserve">    ---- </v>
      </c>
      <c r="AR31" s="589"/>
      <c r="AS31" s="589"/>
      <c r="AT31" s="584"/>
      <c r="AU31" s="584"/>
    </row>
    <row r="32" spans="1:47" s="610" customFormat="1" ht="18.75" customHeight="1" x14ac:dyDescent="0.3">
      <c r="A32" s="550" t="s">
        <v>381</v>
      </c>
      <c r="B32" s="801">
        <v>8.4499999999999993</v>
      </c>
      <c r="C32" s="811">
        <f>SUM(C24:C29)+C31</f>
        <v>8.1080000000000005</v>
      </c>
      <c r="D32" s="603">
        <f>IF(B32=0, "    ---- ", IF(ABS(ROUND(100/B32*C32-100,1))&lt;999,ROUND(100/B32*C32-100,1),IF(ROUND(100/B32*C32-100,1)&gt;999,999,-999)))</f>
        <v>-4</v>
      </c>
      <c r="E32" s="810">
        <v>68</v>
      </c>
      <c r="F32" s="811">
        <f>SUM(F24:F29)+F31</f>
        <v>-47.769000000000005</v>
      </c>
      <c r="G32" s="604">
        <f>IF(E32=0, "    ---- ", IF(ABS(ROUND(100/E32*F32-100,1))&lt;999,ROUND(100/E32*F32-100,1),IF(ROUND(100/E32*F32-100,1)&gt;999,999,-999)))</f>
        <v>-170.2</v>
      </c>
      <c r="H32" s="603">
        <f>SUM(H24:H29)+H31</f>
        <v>11.3</v>
      </c>
      <c r="I32" s="603">
        <f>SUM(I24:I29)+I31</f>
        <v>24.768000000000001</v>
      </c>
      <c r="J32" s="604">
        <f t="shared" si="0"/>
        <v>119.2</v>
      </c>
      <c r="K32" s="810"/>
      <c r="L32" s="811"/>
      <c r="M32" s="603"/>
      <c r="N32" s="810"/>
      <c r="O32" s="811"/>
      <c r="P32" s="604"/>
      <c r="Q32" s="810"/>
      <c r="R32" s="603"/>
      <c r="S32" s="604"/>
      <c r="T32" s="810"/>
      <c r="U32" s="811"/>
      <c r="V32" s="604"/>
      <c r="W32" s="874">
        <v>57.534210072899597</v>
      </c>
      <c r="X32" s="811">
        <f>SUM(X24:X29)+X31</f>
        <v>64.215232840898793</v>
      </c>
      <c r="Y32" s="604">
        <f t="shared" si="8"/>
        <v>11.6</v>
      </c>
      <c r="Z32" s="810"/>
      <c r="AA32" s="811"/>
      <c r="AB32" s="604"/>
      <c r="AC32" s="810"/>
      <c r="AD32" s="811"/>
      <c r="AE32" s="604"/>
      <c r="AF32" s="810">
        <v>72.873000000000005</v>
      </c>
      <c r="AG32" s="811">
        <f>SUM(AG24:AG29)+AG31</f>
        <v>76</v>
      </c>
      <c r="AH32" s="604">
        <f t="shared" si="2"/>
        <v>4.3</v>
      </c>
      <c r="AI32" s="810">
        <v>92.5</v>
      </c>
      <c r="AJ32" s="811">
        <f>SUM(AJ24:AJ29)+AJ31</f>
        <v>15</v>
      </c>
      <c r="AK32" s="604">
        <f>IF(AI32=0, "    ---- ", IF(ABS(ROUND(100/AI32*AJ32-100,1))&lt;999,ROUND(100/AI32*AJ32-100,1),IF(ROUND(100/AI32*AJ32-100,1)&gt;999,999,-999)))</f>
        <v>-83.8</v>
      </c>
      <c r="AL32" s="603">
        <f t="shared" si="9"/>
        <v>310.6572100728996</v>
      </c>
      <c r="AM32" s="603">
        <f t="shared" si="9"/>
        <v>140.32223284089878</v>
      </c>
      <c r="AN32" s="604">
        <f t="shared" si="11"/>
        <v>-54.8</v>
      </c>
      <c r="AO32" s="566">
        <f t="shared" si="10"/>
        <v>310.6572100728996</v>
      </c>
      <c r="AP32" s="566">
        <f t="shared" si="10"/>
        <v>140.32223284089878</v>
      </c>
      <c r="AQ32" s="604">
        <f t="shared" si="12"/>
        <v>-54.8</v>
      </c>
      <c r="AR32" s="587"/>
      <c r="AS32" s="587"/>
      <c r="AT32" s="609"/>
      <c r="AU32" s="609"/>
    </row>
    <row r="33" spans="1:47" s="607" customFormat="1" ht="18.75" customHeight="1" x14ac:dyDescent="0.3">
      <c r="A33" s="556" t="s">
        <v>382</v>
      </c>
      <c r="B33" s="808"/>
      <c r="C33" s="809"/>
      <c r="D33" s="605"/>
      <c r="E33" s="808"/>
      <c r="F33" s="809">
        <v>0</v>
      </c>
      <c r="G33" s="606" t="str">
        <f>IF(E33=0, "    ---- ", IF(ABS(ROUND(100/E33*F33-100,1))&lt;999,ROUND(100/E33*F33-100,1),IF(ROUND(100/E33*F33-100,1)&gt;999,999,-999)))</f>
        <v xml:space="preserve">    ---- </v>
      </c>
      <c r="H33" s="907"/>
      <c r="I33" s="605"/>
      <c r="J33" s="606"/>
      <c r="K33" s="808"/>
      <c r="L33" s="809"/>
      <c r="M33" s="605"/>
      <c r="N33" s="808"/>
      <c r="O33" s="809"/>
      <c r="P33" s="606"/>
      <c r="Q33" s="808"/>
      <c r="R33" s="605"/>
      <c r="S33" s="606"/>
      <c r="T33" s="808"/>
      <c r="U33" s="809"/>
      <c r="V33" s="606"/>
      <c r="W33" s="875"/>
      <c r="X33" s="809"/>
      <c r="Y33" s="606"/>
      <c r="Z33" s="808"/>
      <c r="AA33" s="809"/>
      <c r="AB33" s="606"/>
      <c r="AC33" s="808"/>
      <c r="AD33" s="809"/>
      <c r="AE33" s="606"/>
      <c r="AF33" s="808"/>
      <c r="AG33" s="809"/>
      <c r="AH33" s="606"/>
      <c r="AI33" s="808"/>
      <c r="AJ33" s="809"/>
      <c r="AK33" s="606"/>
      <c r="AL33" s="605">
        <f t="shared" si="9"/>
        <v>0</v>
      </c>
      <c r="AM33" s="605">
        <f t="shared" si="9"/>
        <v>0</v>
      </c>
      <c r="AN33" s="606" t="str">
        <f t="shared" si="11"/>
        <v xml:space="preserve">    ---- </v>
      </c>
      <c r="AO33" s="564">
        <f t="shared" si="10"/>
        <v>0</v>
      </c>
      <c r="AP33" s="564">
        <f t="shared" si="10"/>
        <v>0</v>
      </c>
      <c r="AQ33" s="606" t="str">
        <f t="shared" si="12"/>
        <v xml:space="preserve">    ---- </v>
      </c>
      <c r="AR33" s="589"/>
      <c r="AS33" s="589"/>
      <c r="AT33" s="584"/>
      <c r="AU33" s="584"/>
    </row>
    <row r="34" spans="1:47" s="607" customFormat="1" ht="18.75" customHeight="1" x14ac:dyDescent="0.3">
      <c r="A34" s="556" t="s">
        <v>383</v>
      </c>
      <c r="B34" s="808">
        <v>8.4489999999999998</v>
      </c>
      <c r="C34" s="809">
        <v>8.109</v>
      </c>
      <c r="D34" s="605">
        <f>IF(B34=0, "    ---- ", IF(ABS(ROUND(100/B34*C34-100,1))&lt;999,ROUND(100/B34*C34-100,1),IF(ROUND(100/B34*C34-100,1)&gt;999,999,-999)))</f>
        <v>-4</v>
      </c>
      <c r="E34" s="808">
        <v>68</v>
      </c>
      <c r="F34" s="809">
        <v>-47.77</v>
      </c>
      <c r="G34" s="606">
        <f>IF(E34=0, "    ---- ", IF(ABS(ROUND(100/E34*F34-100,1))&lt;999,ROUND(100/E34*F34-100,1),IF(ROUND(100/E34*F34-100,1)&gt;999,999,-999)))</f>
        <v>-170.3</v>
      </c>
      <c r="H34" s="907">
        <v>11.3</v>
      </c>
      <c r="I34" s="605">
        <v>24.768000000000001</v>
      </c>
      <c r="J34" s="606">
        <f t="shared" si="0"/>
        <v>119.2</v>
      </c>
      <c r="K34" s="808"/>
      <c r="L34" s="809"/>
      <c r="M34" s="605"/>
      <c r="N34" s="808"/>
      <c r="O34" s="809"/>
      <c r="P34" s="606"/>
      <c r="Q34" s="808"/>
      <c r="R34" s="605"/>
      <c r="S34" s="606"/>
      <c r="T34" s="808"/>
      <c r="U34" s="809"/>
      <c r="V34" s="606"/>
      <c r="W34" s="875">
        <v>57.534210072899597</v>
      </c>
      <c r="X34" s="809">
        <v>64.215232840898793</v>
      </c>
      <c r="Y34" s="606">
        <f t="shared" si="8"/>
        <v>11.6</v>
      </c>
      <c r="Z34" s="808"/>
      <c r="AA34" s="809"/>
      <c r="AB34" s="606"/>
      <c r="AC34" s="808"/>
      <c r="AD34" s="809"/>
      <c r="AE34" s="606"/>
      <c r="AF34" s="808">
        <v>72.873000000000005</v>
      </c>
      <c r="AG34" s="809">
        <v>76</v>
      </c>
      <c r="AH34" s="606">
        <f t="shared" si="2"/>
        <v>4.3</v>
      </c>
      <c r="AI34" s="808">
        <v>92.5</v>
      </c>
      <c r="AJ34" s="809">
        <v>15</v>
      </c>
      <c r="AK34" s="606">
        <f>IF(AI34=0, "    ---- ", IF(ABS(ROUND(100/AI34*AJ34-100,1))&lt;999,ROUND(100/AI34*AJ34-100,1),IF(ROUND(100/AI34*AJ34-100,1)&gt;999,999,-999)))</f>
        <v>-83.8</v>
      </c>
      <c r="AL34" s="605">
        <f t="shared" si="9"/>
        <v>310.65621007289957</v>
      </c>
      <c r="AM34" s="605">
        <f t="shared" si="9"/>
        <v>140.32223284089878</v>
      </c>
      <c r="AN34" s="606">
        <f t="shared" si="11"/>
        <v>-54.8</v>
      </c>
      <c r="AO34" s="564">
        <f t="shared" si="10"/>
        <v>310.65621007289957</v>
      </c>
      <c r="AP34" s="564">
        <f t="shared" si="10"/>
        <v>140.32223284089878</v>
      </c>
      <c r="AQ34" s="606">
        <f t="shared" si="12"/>
        <v>-54.8</v>
      </c>
      <c r="AR34" s="589"/>
      <c r="AS34" s="589"/>
      <c r="AT34" s="584"/>
      <c r="AU34" s="584"/>
    </row>
    <row r="35" spans="1:47" s="607" customFormat="1" ht="18.75" customHeight="1" x14ac:dyDescent="0.3">
      <c r="A35" s="568"/>
      <c r="B35" s="812"/>
      <c r="C35" s="813"/>
      <c r="D35" s="619"/>
      <c r="E35" s="812"/>
      <c r="F35" s="813"/>
      <c r="G35" s="620"/>
      <c r="H35" s="909"/>
      <c r="I35" s="619"/>
      <c r="J35" s="620"/>
      <c r="K35" s="812"/>
      <c r="L35" s="813"/>
      <c r="M35" s="619"/>
      <c r="N35" s="812"/>
      <c r="O35" s="813"/>
      <c r="P35" s="620"/>
      <c r="Q35" s="812"/>
      <c r="R35" s="619"/>
      <c r="S35" s="620"/>
      <c r="T35" s="812"/>
      <c r="U35" s="813"/>
      <c r="V35" s="620"/>
      <c r="W35" s="877"/>
      <c r="X35" s="813"/>
      <c r="Y35" s="620"/>
      <c r="Z35" s="812"/>
      <c r="AA35" s="813"/>
      <c r="AB35" s="620"/>
      <c r="AC35" s="812"/>
      <c r="AD35" s="813"/>
      <c r="AE35" s="620"/>
      <c r="AF35" s="812"/>
      <c r="AG35" s="813"/>
      <c r="AH35" s="620"/>
      <c r="AI35" s="812"/>
      <c r="AJ35" s="813"/>
      <c r="AK35" s="620"/>
      <c r="AL35" s="619"/>
      <c r="AM35" s="619"/>
      <c r="AN35" s="620"/>
      <c r="AO35" s="619"/>
      <c r="AP35" s="619"/>
      <c r="AQ35" s="620"/>
      <c r="AR35" s="589"/>
      <c r="AS35" s="589"/>
      <c r="AT35" s="584"/>
      <c r="AU35" s="584"/>
    </row>
    <row r="36" spans="1:47" s="607" customFormat="1" ht="18.75" customHeight="1" x14ac:dyDescent="0.3">
      <c r="A36" s="573"/>
      <c r="B36" s="808"/>
      <c r="C36" s="809"/>
      <c r="D36" s="605"/>
      <c r="E36" s="808"/>
      <c r="F36" s="809"/>
      <c r="G36" s="606"/>
      <c r="H36" s="605"/>
      <c r="I36" s="605"/>
      <c r="J36" s="606"/>
      <c r="K36" s="808"/>
      <c r="L36" s="809"/>
      <c r="M36" s="605"/>
      <c r="N36" s="808"/>
      <c r="O36" s="809"/>
      <c r="P36" s="606"/>
      <c r="Q36" s="808"/>
      <c r="R36" s="605"/>
      <c r="S36" s="606"/>
      <c r="T36" s="808"/>
      <c r="U36" s="809"/>
      <c r="V36" s="606"/>
      <c r="W36" s="875"/>
      <c r="X36" s="809"/>
      <c r="Y36" s="606"/>
      <c r="Z36" s="808"/>
      <c r="AA36" s="809"/>
      <c r="AB36" s="606"/>
      <c r="AC36" s="808"/>
      <c r="AD36" s="809"/>
      <c r="AE36" s="606"/>
      <c r="AF36" s="808"/>
      <c r="AG36" s="809"/>
      <c r="AH36" s="606"/>
      <c r="AI36" s="808"/>
      <c r="AJ36" s="809"/>
      <c r="AK36" s="606"/>
      <c r="AL36" s="605"/>
      <c r="AM36" s="605"/>
      <c r="AN36" s="606"/>
      <c r="AO36" s="605"/>
      <c r="AP36" s="605"/>
      <c r="AQ36" s="606"/>
      <c r="AR36" s="589"/>
      <c r="AS36" s="589"/>
      <c r="AT36" s="584"/>
      <c r="AU36" s="584"/>
    </row>
    <row r="37" spans="1:47" s="607" customFormat="1" ht="18.75" customHeight="1" x14ac:dyDescent="0.3">
      <c r="A37" s="550" t="s">
        <v>408</v>
      </c>
      <c r="B37" s="808"/>
      <c r="C37" s="809"/>
      <c r="D37" s="605"/>
      <c r="E37" s="808"/>
      <c r="F37" s="809"/>
      <c r="G37" s="606"/>
      <c r="H37" s="605"/>
      <c r="I37" s="605"/>
      <c r="J37" s="606"/>
      <c r="K37" s="808"/>
      <c r="L37" s="809"/>
      <c r="M37" s="605"/>
      <c r="N37" s="808"/>
      <c r="O37" s="809"/>
      <c r="P37" s="606"/>
      <c r="Q37" s="808"/>
      <c r="R37" s="605"/>
      <c r="S37" s="606"/>
      <c r="T37" s="808"/>
      <c r="U37" s="809"/>
      <c r="V37" s="606"/>
      <c r="W37" s="808"/>
      <c r="X37" s="809"/>
      <c r="Y37" s="606"/>
      <c r="Z37" s="808"/>
      <c r="AA37" s="809"/>
      <c r="AB37" s="606"/>
      <c r="AC37" s="808"/>
      <c r="AD37" s="809"/>
      <c r="AE37" s="606"/>
      <c r="AF37" s="808"/>
      <c r="AG37" s="809"/>
      <c r="AH37" s="606"/>
      <c r="AI37" s="808"/>
      <c r="AJ37" s="809"/>
      <c r="AK37" s="606"/>
      <c r="AL37" s="605"/>
      <c r="AM37" s="605"/>
      <c r="AN37" s="606"/>
      <c r="AO37" s="605"/>
      <c r="AP37" s="605"/>
      <c r="AQ37" s="606"/>
      <c r="AR37" s="589"/>
      <c r="AS37" s="589"/>
      <c r="AT37" s="584"/>
      <c r="AU37" s="584"/>
    </row>
    <row r="38" spans="1:47" s="607" customFormat="1" ht="18.75" customHeight="1" x14ac:dyDescent="0.3">
      <c r="A38" s="556" t="s">
        <v>373</v>
      </c>
      <c r="B38" s="808">
        <v>10.669</v>
      </c>
      <c r="C38" s="809">
        <v>17.831</v>
      </c>
      <c r="D38" s="605">
        <f t="shared" ref="D38:D48" si="13">IF(B38=0, "    ---- ", IF(ABS(ROUND(100/B38*C38-100,1))&lt;999,ROUND(100/B38*C38-100,1),IF(ROUND(100/B38*C38-100,1)&gt;999,999,-999)))</f>
        <v>67.099999999999994</v>
      </c>
      <c r="E38" s="808">
        <v>-2980</v>
      </c>
      <c r="F38" s="809">
        <v>16204</v>
      </c>
      <c r="G38" s="605">
        <f t="shared" ref="G38:G48" si="14">IF(E38=0, "    ---- ", IF(ABS(ROUND(100/E38*F38-100,1))&lt;999,ROUND(100/E38*F38-100,1),IF(ROUND(100/E38*F38-100,1)&gt;999,999,-999)))</f>
        <v>-643.79999999999995</v>
      </c>
      <c r="H38" s="605">
        <f>'[2]Tabell 5.1'!H12+'[2]Tabell 5.1'!H24+'[2]Tabell 5.1'!H36+'[2]Tabell 5.1'!H48+'[2]Tabell 5.1'!H62+'[2]Tabell 5.1'!H74+'[2]Tabell 5.1'!H86+'[2]Tabell 5.1'!H98+'[2]Tabell 5.2'!H12+'[2]Tabell 5.2'!H24+'[2]Tabell 5.2'!H36+'[2]Tabell 5.2'!H48+'[2]Tabell 5.2'!H84+'[2]Tabell 5.2'!H96+'[2]Tabell 5.2'!H122+'[2]Tabell 5.2'!H134+H12+H24+'[2]Tabell 5.2'!H60+'[2]Tabell 5.2'!H72+'[2]Tabell 5.2'!H108</f>
        <v>7.52</v>
      </c>
      <c r="I38" s="605">
        <f>'[2]Tabell 5.1'!I12+'[2]Tabell 5.1'!I24+'[2]Tabell 5.1'!I36+'[2]Tabell 5.1'!I48+'[2]Tabell 5.1'!I62+'[2]Tabell 5.1'!I74+'[2]Tabell 5.1'!I86+'[2]Tabell 5.1'!I98+'[2]Tabell 5.2'!I12+'[2]Tabell 5.2'!I24+'[2]Tabell 5.2'!I36+'[2]Tabell 5.2'!I48+'[2]Tabell 5.2'!I84+'[2]Tabell 5.2'!I96+'[2]Tabell 5.2'!I122+'[2]Tabell 5.2'!I134+I12+I24+'[2]Tabell 5.2'!I60+'[2]Tabell 5.2'!I72+'[2]Tabell 5.2'!I108</f>
        <v>76.534999999999997</v>
      </c>
      <c r="J38" s="605">
        <f t="shared" ref="J38:J48" si="15">IF(H38=0, "    ---- ", IF(ABS(ROUND(100/H38*I38-100,1))&lt;999,ROUND(100/H38*I38-100,1),IF(ROUND(100/H38*I38-100,1)&gt;999,999,-999)))</f>
        <v>917.8</v>
      </c>
      <c r="K38" s="808">
        <v>125.3</v>
      </c>
      <c r="L38" s="809">
        <v>91.7</v>
      </c>
      <c r="M38" s="605">
        <f t="shared" ref="M38:M48" si="16">IF(K38=0, "    ---- ", IF(ABS(ROUND(100/K38*L38-100,1))&lt;999,ROUND(100/K38*L38-100,1),IF(ROUND(100/K38*L38-100,1)&gt;999,999,-999)))</f>
        <v>-26.8</v>
      </c>
      <c r="N38" s="808">
        <v>1.624301119852952</v>
      </c>
      <c r="O38" s="809">
        <v>2.3202096800000001</v>
      </c>
      <c r="P38" s="605">
        <f t="shared" ref="P38:P48" si="17">IF(N38=0, "    ---- ", IF(ABS(ROUND(100/N38*O38-100,1))&lt;999,ROUND(100/N38*O38-100,1),IF(ROUND(100/N38*O38-100,1)&gt;999,999,-999)))</f>
        <v>42.8</v>
      </c>
      <c r="Q38" s="808">
        <v>5227.5442170437636</v>
      </c>
      <c r="R38" s="605">
        <f>'Tabell 5.1'!R12+'Tabell 5.1'!R24+'Tabell 5.1'!R36+'Tabell 5.1'!R48+'Tabell 5.1'!R62+'Tabell 5.1'!R74+'Tabell 5.1'!R86+'Tabell 5.1'!R98+'Tabell 5.2'!R12+'Tabell 5.2'!R24+'Tabell 5.2'!R36+'Tabell 5.2'!R48+'Tabell 5.2'!R84+'Tabell 5.2'!R96+'Tabell 5.2'!R122+'Tabell 5.2'!R134+R12+R24+'Tabell 5.2'!R60+'Tabell 5.2'!R72+'Tabell 5.2'!R108</f>
        <v>0</v>
      </c>
      <c r="S38" s="605">
        <f t="shared" ref="S38:S48" si="18">IF(Q38=0, "    ---- ", IF(ABS(ROUND(100/Q38*R38-100,1))&lt;999,ROUND(100/Q38*R38-100,1),IF(ROUND(100/Q38*R38-100,1)&gt;999,999,-999)))</f>
        <v>-100</v>
      </c>
      <c r="T38" s="808">
        <v>28</v>
      </c>
      <c r="U38" s="809">
        <v>13</v>
      </c>
      <c r="V38" s="605">
        <f t="shared" ref="V38:V48" si="19">IF(T38=0, "    ---- ", IF(ABS(ROUND(100/T38*U38-100,1))&lt;999,ROUND(100/T38*U38-100,1),IF(ROUND(100/T38*U38-100,1)&gt;999,999,-999)))</f>
        <v>-53.6</v>
      </c>
      <c r="W38" s="808">
        <v>889.31480418633021</v>
      </c>
      <c r="X38" s="809">
        <v>827.72631261368508</v>
      </c>
      <c r="Y38" s="605">
        <f t="shared" ref="Y38:Y48" si="20">IF(W38=0, "    ---- ", IF(ABS(ROUND(100/W38*X38-100,1))&lt;999,ROUND(100/W38*X38-100,1),IF(ROUND(100/W38*X38-100,1)&gt;999,999,-999)))</f>
        <v>-6.9</v>
      </c>
      <c r="Z38" s="808">
        <v>1727</v>
      </c>
      <c r="AA38" s="809">
        <v>396</v>
      </c>
      <c r="AB38" s="605">
        <f t="shared" ref="AB38:AB48" si="21">IF(Z38=0, "    ---- ", IF(ABS(ROUND(100/Z38*AA38-100,1))&lt;999,ROUND(100/Z38*AA38-100,1),IF(ROUND(100/Z38*AA38-100,1)&gt;999,999,-999)))</f>
        <v>-77.099999999999994</v>
      </c>
      <c r="AC38" s="808"/>
      <c r="AD38" s="809"/>
      <c r="AE38" s="605"/>
      <c r="AF38" s="808">
        <v>749.01499999999987</v>
      </c>
      <c r="AG38" s="605">
        <v>1249</v>
      </c>
      <c r="AH38" s="605">
        <f t="shared" ref="AH38:AH48" si="22">IF(AF38=0, "    ---- ", IF(ABS(ROUND(100/AF38*AG38-100,1))&lt;999,ROUND(100/AF38*AG38-100,1),IF(ROUND(100/AF38*AG38-100,1)&gt;999,999,-999)))</f>
        <v>66.8</v>
      </c>
      <c r="AI38" s="808">
        <v>323.3</v>
      </c>
      <c r="AJ38" s="605">
        <v>1099</v>
      </c>
      <c r="AK38" s="605">
        <f t="shared" ref="AK38:AK48" si="23">IF(AI38=0, "    ---- ", IF(ABS(ROUND(100/AI38*AJ38-100,1))&lt;999,ROUND(100/AI38*AJ38-100,1),IF(ROUND(100/AI38*AJ38-100,1)&gt;999,999,-999)))</f>
        <v>239.9</v>
      </c>
      <c r="AL38" s="605">
        <f>'Tabell 5.1'!AL12+'Tabell 5.1'!AL24+'Tabell 5.1'!AL36+'Tabell 5.1'!AL48+'Tabell 5.1'!AL62+'Tabell 5.1'!AL74+'Tabell 5.1'!AL86+'Tabell 5.1'!AL98+'Tabell 5.2'!AL12+'Tabell 5.2'!AL24+'Tabell 5.2'!AL36+'Tabell 5.2'!AL48+'Tabell 5.2'!AL84+'Tabell 5.2'!AL96+'Tabell 5.2'!AL122+'Tabell 5.2'!AL134+AL12+AL24+'Tabell 5.2'!AL60+'Tabell 5.2'!AL72+'Tabell 5.2'!AL108</f>
        <v>6108.5330212300942</v>
      </c>
      <c r="AM38" s="605">
        <f>'Tabell 5.1'!AM12+'Tabell 5.1'!AM24+'Tabell 5.1'!AM36+'Tabell 5.1'!AM48+'Tabell 5.1'!AM62+'Tabell 5.1'!AM74+'Tabell 5.1'!AM86+'Tabell 5.1'!AM98+'Tabell 5.2'!AM12+'Tabell 5.2'!AM24+'Tabell 5.2'!AM36+'Tabell 5.2'!AM48+'Tabell 5.2'!AM84+'Tabell 5.2'!AM96+'Tabell 5.2'!AM122+'Tabell 5.2'!AM134+AM12+AM24+'Tabell 5.2'!AM60+'Tabell 5.2'!AM72+'Tabell 5.2'!AM108</f>
        <v>19971.364312613685</v>
      </c>
      <c r="AN38" s="605">
        <f t="shared" ref="AN38:AN48" si="24">IF(AL38=0, "    ---- ", IF(ABS(ROUND(100/AL38*AM38-100,1))&lt;999,ROUND(100/AL38*AM38-100,1),IF(ROUND(100/AL38*AM38-100,1)&gt;999,999,-999)))</f>
        <v>226.9</v>
      </c>
      <c r="AO38" s="605">
        <f>'Tabell 5.1'!AO12+'Tabell 5.1'!AO24+'Tabell 5.1'!AO36+'Tabell 5.1'!AO48+'Tabell 5.1'!AO62+'Tabell 5.1'!AO74+'Tabell 5.1'!AO86+'Tabell 5.1'!AO98+'Tabell 5.2'!AO12+'Tabell 5.2'!AO24+'Tabell 5.2'!AO36+'Tabell 5.2'!AO48+'Tabell 5.2'!AO84+'Tabell 5.2'!AO96+'Tabell 5.2'!AO122+'Tabell 5.2'!AO134+AO12+AO24+'Tabell 5.2'!AO60+'Tabell 5.2'!AO72+'Tabell 5.2'!AO108</f>
        <v>6110.1573223499472</v>
      </c>
      <c r="AP38" s="605">
        <f>'Tabell 5.1'!AP12+'Tabell 5.1'!AP24+'Tabell 5.1'!AP36+'Tabell 5.1'!AP48+'Tabell 5.1'!AP62+'Tabell 5.1'!AP74+'Tabell 5.1'!AP86+'Tabell 5.1'!AP98+'Tabell 5.2'!AP12+'Tabell 5.2'!AP24+'Tabell 5.2'!AP36+'Tabell 5.2'!AP48+'Tabell 5.2'!AP84+'Tabell 5.2'!AP96+'Tabell 5.2'!AP122+'Tabell 5.2'!AP134+AP12+AP24+'Tabell 5.2'!AP60+'Tabell 5.2'!AP72+'Tabell 5.2'!AP108</f>
        <v>19973.593863038648</v>
      </c>
      <c r="AQ38" s="606">
        <f t="shared" ref="AQ38:AQ48" si="25">IF(AO38=0, "    ---- ", IF(ABS(ROUND(100/AO38*AP38-100,1))&lt;999,ROUND(100/AO38*AP38-100,1),IF(ROUND(100/AO38*AP38-100,1)&gt;999,999,-999)))</f>
        <v>226.9</v>
      </c>
      <c r="AR38" s="636"/>
      <c r="AS38" s="589"/>
      <c r="AT38" s="584"/>
      <c r="AU38" s="584"/>
    </row>
    <row r="39" spans="1:47" s="607" customFormat="1" ht="18.75" customHeight="1" x14ac:dyDescent="0.3">
      <c r="A39" s="556" t="s">
        <v>374</v>
      </c>
      <c r="B39" s="808">
        <v>0</v>
      </c>
      <c r="C39" s="809">
        <v>0</v>
      </c>
      <c r="D39" s="605" t="str">
        <f t="shared" si="13"/>
        <v xml:space="preserve">    ---- </v>
      </c>
      <c r="E39" s="808">
        <v>27</v>
      </c>
      <c r="F39" s="809">
        <v>-162</v>
      </c>
      <c r="G39" s="605">
        <f t="shared" si="14"/>
        <v>-700</v>
      </c>
      <c r="H39" s="605"/>
      <c r="I39" s="605"/>
      <c r="J39" s="605"/>
      <c r="K39" s="808">
        <v>0</v>
      </c>
      <c r="L39" s="809"/>
      <c r="M39" s="605" t="str">
        <f t="shared" si="16"/>
        <v xml:space="preserve">    ---- </v>
      </c>
      <c r="N39" s="808">
        <v>0</v>
      </c>
      <c r="O39" s="809"/>
      <c r="P39" s="605" t="str">
        <f t="shared" si="17"/>
        <v xml:space="preserve">    ---- </v>
      </c>
      <c r="Q39" s="808">
        <v>-20.551272999999998</v>
      </c>
      <c r="R39" s="605">
        <f>'Tabell 5.1'!R13+'Tabell 5.1'!R25+'Tabell 5.1'!R37+'Tabell 5.1'!R49+'Tabell 5.1'!R63+'Tabell 5.1'!R75+'Tabell 5.1'!R87+'Tabell 5.1'!R99+'Tabell 5.2'!R13+'Tabell 5.2'!R25+'Tabell 5.2'!R37+'Tabell 5.2'!R49+'Tabell 5.2'!R85+'Tabell 5.2'!R97+'Tabell 5.2'!R123+'Tabell 5.2'!R135+R13+R25+'Tabell 5.2'!R61+'Tabell 5.2'!R73+'Tabell 5.2'!R109</f>
        <v>0</v>
      </c>
      <c r="S39" s="605">
        <f t="shared" si="18"/>
        <v>-100</v>
      </c>
      <c r="T39" s="808">
        <v>-8</v>
      </c>
      <c r="U39" s="809">
        <v>1</v>
      </c>
      <c r="V39" s="605">
        <f t="shared" si="19"/>
        <v>-112.5</v>
      </c>
      <c r="W39" s="808">
        <v>-512.69894308011442</v>
      </c>
      <c r="X39" s="809">
        <v>-488.19576938630001</v>
      </c>
      <c r="Y39" s="605">
        <f t="shared" si="20"/>
        <v>-4.8</v>
      </c>
      <c r="Z39" s="808">
        <v>-377</v>
      </c>
      <c r="AA39" s="809">
        <v>262</v>
      </c>
      <c r="AB39" s="605">
        <f t="shared" si="21"/>
        <v>-169.5</v>
      </c>
      <c r="AC39" s="808"/>
      <c r="AD39" s="809"/>
      <c r="AE39" s="605"/>
      <c r="AF39" s="808">
        <v>-178.85</v>
      </c>
      <c r="AG39" s="605">
        <v>-394</v>
      </c>
      <c r="AH39" s="605">
        <f t="shared" si="22"/>
        <v>120.3</v>
      </c>
      <c r="AI39" s="808">
        <v>-138.9</v>
      </c>
      <c r="AJ39" s="605">
        <v>-853</v>
      </c>
      <c r="AK39" s="605">
        <f t="shared" si="23"/>
        <v>514.1</v>
      </c>
      <c r="AL39" s="605">
        <f>'Tabell 5.1'!AL13+'Tabell 5.1'!AL25+'Tabell 5.1'!AL37+'Tabell 5.1'!AL49+'Tabell 5.1'!AL63+'Tabell 5.1'!AL75+'Tabell 5.1'!AL87+'Tabell 5.1'!AL99+'Tabell 5.2'!AL13+'Tabell 5.2'!AL25+'Tabell 5.2'!AL37+'Tabell 5.2'!AL49+'Tabell 5.2'!AL85+'Tabell 5.2'!AL97+'Tabell 5.2'!AL123+'Tabell 5.2'!AL135+AL13+AL25+'Tabell 5.2'!AL61+'Tabell 5.2'!AL73+'Tabell 5.2'!AL109</f>
        <v>-1209.0002160801141</v>
      </c>
      <c r="AM39" s="605">
        <f>'Tabell 5.1'!AM13+'Tabell 5.1'!AM25+'Tabell 5.1'!AM37+'Tabell 5.1'!AM49+'Tabell 5.1'!AM63+'Tabell 5.1'!AM75+'Tabell 5.1'!AM87+'Tabell 5.1'!AM99+'Tabell 5.2'!AM13+'Tabell 5.2'!AM25+'Tabell 5.2'!AM37+'Tabell 5.2'!AM49+'Tabell 5.2'!AM85+'Tabell 5.2'!AM97+'Tabell 5.2'!AM123+'Tabell 5.2'!AM135+AM13+AM25+'Tabell 5.2'!AM61+'Tabell 5.2'!AM73+'Tabell 5.2'!AM109</f>
        <v>-1632.3147693863002</v>
      </c>
      <c r="AN39" s="605">
        <f t="shared" si="24"/>
        <v>35</v>
      </c>
      <c r="AO39" s="605">
        <f>'Tabell 5.1'!AO13+'Tabell 5.1'!AO25+'Tabell 5.1'!AO37+'Tabell 5.1'!AO49+'Tabell 5.1'!AO63+'Tabell 5.1'!AO75+'Tabell 5.1'!AO87+'Tabell 5.1'!AO99+'Tabell 5.2'!AO13+'Tabell 5.2'!AO25+'Tabell 5.2'!AO37+'Tabell 5.2'!AO49+'Tabell 5.2'!AO85+'Tabell 5.2'!AO97+'Tabell 5.2'!AO123+'Tabell 5.2'!AO135+AO13+AO25+'Tabell 5.2'!AO61+'Tabell 5.2'!AO73+'Tabell 5.2'!AO109</f>
        <v>-1209.0002160801141</v>
      </c>
      <c r="AP39" s="605">
        <f>'Tabell 5.1'!AP13+'Tabell 5.1'!AP25+'Tabell 5.1'!AP37+'Tabell 5.1'!AP49+'Tabell 5.1'!AP63+'Tabell 5.1'!AP75+'Tabell 5.1'!AP87+'Tabell 5.1'!AP99+'Tabell 5.2'!AP13+'Tabell 5.2'!AP25+'Tabell 5.2'!AP37+'Tabell 5.2'!AP49+'Tabell 5.2'!AP85+'Tabell 5.2'!AP97+'Tabell 5.2'!AP123+'Tabell 5.2'!AP135+AP13+AP25+'Tabell 5.2'!AP61+'Tabell 5.2'!AP73+'Tabell 5.2'!AP109</f>
        <v>-1632.3147693863002</v>
      </c>
      <c r="AQ39" s="606">
        <f t="shared" si="25"/>
        <v>35</v>
      </c>
      <c r="AR39" s="636"/>
      <c r="AS39" s="589"/>
      <c r="AT39" s="584"/>
      <c r="AU39" s="584"/>
    </row>
    <row r="40" spans="1:47" s="607" customFormat="1" ht="18.75" customHeight="1" x14ac:dyDescent="0.3">
      <c r="A40" s="556" t="s">
        <v>375</v>
      </c>
      <c r="B40" s="808">
        <v>-18.777000000000001</v>
      </c>
      <c r="C40" s="809">
        <v>13.31</v>
      </c>
      <c r="D40" s="605">
        <f t="shared" si="13"/>
        <v>-170.9</v>
      </c>
      <c r="E40" s="808">
        <v>549</v>
      </c>
      <c r="F40" s="809">
        <v>632</v>
      </c>
      <c r="G40" s="605">
        <f t="shared" si="14"/>
        <v>15.1</v>
      </c>
      <c r="H40" s="605">
        <f>'[2]Tabell 5.1'!H14+'[2]Tabell 5.1'!H26+'[2]Tabell 5.1'!H38+'[2]Tabell 5.1'!H50+'[2]Tabell 5.1'!H64+'[2]Tabell 5.1'!H76+'[2]Tabell 5.1'!H88+'[2]Tabell 5.1'!H100+'[2]Tabell 5.2'!H14+'[2]Tabell 5.2'!H26+'[2]Tabell 5.2'!H38+'[2]Tabell 5.2'!H50+'[2]Tabell 5.2'!H86+'[2]Tabell 5.2'!H98+'[2]Tabell 5.2'!H124+'[2]Tabell 5.2'!H136+H14+H26+'[2]Tabell 5.2'!H62+'[2]Tabell 5.2'!H74+'[2]Tabell 5.2'!H110</f>
        <v>-89.860000000000014</v>
      </c>
      <c r="I40" s="605">
        <f>'[2]Tabell 5.1'!I14+'[2]Tabell 5.1'!I26+'[2]Tabell 5.1'!I38+'[2]Tabell 5.1'!I50+'[2]Tabell 5.1'!I64+'[2]Tabell 5.1'!I76+'[2]Tabell 5.1'!I88+'[2]Tabell 5.1'!I100+'[2]Tabell 5.2'!I14+'[2]Tabell 5.2'!I26+'[2]Tabell 5.2'!I38+'[2]Tabell 5.2'!I50+'[2]Tabell 5.2'!I86+'[2]Tabell 5.2'!I98+'[2]Tabell 5.2'!I124+'[2]Tabell 5.2'!I136+I14+I26+'[2]Tabell 5.2'!I62+'[2]Tabell 5.2'!I74+'[2]Tabell 5.2'!I110</f>
        <v>-56.562000000000005</v>
      </c>
      <c r="J40" s="605">
        <f t="shared" si="15"/>
        <v>-37.1</v>
      </c>
      <c r="K40" s="808">
        <v>120.7</v>
      </c>
      <c r="L40" s="809">
        <v>116.2</v>
      </c>
      <c r="M40" s="605">
        <f t="shared" si="16"/>
        <v>-3.7</v>
      </c>
      <c r="N40" s="808">
        <v>4.4149578837910894</v>
      </c>
      <c r="O40" s="809">
        <v>4.1279123100000001</v>
      </c>
      <c r="P40" s="605">
        <f t="shared" si="17"/>
        <v>-6.5</v>
      </c>
      <c r="Q40" s="808">
        <v>136.25192532769091</v>
      </c>
      <c r="R40" s="605">
        <f>'Tabell 5.1'!R14+'Tabell 5.1'!R26+'Tabell 5.1'!R38+'Tabell 5.1'!R50+'Tabell 5.1'!R64+'Tabell 5.1'!R76+'Tabell 5.1'!R88+'Tabell 5.1'!R100+'Tabell 5.2'!R14+'Tabell 5.2'!R26+'Tabell 5.2'!R38+'Tabell 5.2'!R50+'Tabell 5.2'!R86+'Tabell 5.2'!R98+'Tabell 5.2'!R124+'Tabell 5.2'!R136+R14+R26+'Tabell 5.2'!R62+'Tabell 5.2'!R74+'Tabell 5.2'!R110</f>
        <v>0</v>
      </c>
      <c r="S40" s="605">
        <f t="shared" si="18"/>
        <v>-100</v>
      </c>
      <c r="T40" s="808">
        <v>-39</v>
      </c>
      <c r="U40" s="809">
        <v>-38</v>
      </c>
      <c r="V40" s="605">
        <f t="shared" si="19"/>
        <v>-2.6</v>
      </c>
      <c r="W40" s="808">
        <v>331.37044324039613</v>
      </c>
      <c r="X40" s="809">
        <v>338.21830746719212</v>
      </c>
      <c r="Y40" s="605">
        <f t="shared" si="20"/>
        <v>2.1</v>
      </c>
      <c r="Z40" s="808">
        <v>47</v>
      </c>
      <c r="AA40" s="809">
        <v>55</v>
      </c>
      <c r="AB40" s="605">
        <f t="shared" si="21"/>
        <v>17</v>
      </c>
      <c r="AC40" s="808">
        <v>13.34519899</v>
      </c>
      <c r="AD40" s="809">
        <v>12.386465282550729</v>
      </c>
      <c r="AE40" s="605">
        <f t="shared" ref="AE40:AE48" si="26">IF(AC40=0, "    ---- ", IF(ABS(ROUND(100/AC40*AD40-100,1))&lt;999,ROUND(100/AC40*AD40-100,1),IF(ROUND(100/AC40*AD40-100,1)&gt;999,999,-999)))</f>
        <v>-7.2</v>
      </c>
      <c r="AF40" s="808">
        <v>-75.075000000000003</v>
      </c>
      <c r="AG40" s="605">
        <v>-369</v>
      </c>
      <c r="AH40" s="605">
        <f t="shared" si="22"/>
        <v>391.5</v>
      </c>
      <c r="AI40" s="808">
        <v>269.8</v>
      </c>
      <c r="AJ40" s="605">
        <v>342</v>
      </c>
      <c r="AK40" s="605">
        <f t="shared" si="23"/>
        <v>26.8</v>
      </c>
      <c r="AL40" s="605">
        <f>'Tabell 5.1'!AL14+'Tabell 5.1'!AL26+'Tabell 5.1'!AL38+'Tabell 5.1'!AL50+'Tabell 5.1'!AL64+'Tabell 5.1'!AL76+'Tabell 5.1'!AL88+'Tabell 5.1'!AL100+'Tabell 5.2'!AL14+'Tabell 5.2'!AL26+'Tabell 5.2'!AL38+'Tabell 5.2'!AL50+'Tabell 5.2'!AL86+'Tabell 5.2'!AL98+'Tabell 5.2'!AL124+'Tabell 5.2'!AL136+AL14+AL26+'Tabell 5.2'!AL62+'Tabell 5.2'!AL74+'Tabell 5.2'!AL110</f>
        <v>1232.5303685680869</v>
      </c>
      <c r="AM40" s="605">
        <f>'Tabell 5.1'!AM14+'Tabell 5.1'!AM26+'Tabell 5.1'!AM38+'Tabell 5.1'!AM50+'Tabell 5.1'!AM64+'Tabell 5.1'!AM76+'Tabell 5.1'!AM88+'Tabell 5.1'!AM100+'Tabell 5.2'!AM14+'Tabell 5.2'!AM26+'Tabell 5.2'!AM38+'Tabell 5.2'!AM50+'Tabell 5.2'!AM86+'Tabell 5.2'!AM98+'Tabell 5.2'!AM124+'Tabell 5.2'!AM136+AM14+AM26+'Tabell 5.2'!AM62+'Tabell 5.2'!AM74+'Tabell 5.2'!AM110</f>
        <v>1031.3873074671922</v>
      </c>
      <c r="AN40" s="605">
        <f t="shared" si="24"/>
        <v>-16.3</v>
      </c>
      <c r="AO40" s="605">
        <f>'Tabell 5.1'!AO14+'Tabell 5.1'!AO26+'Tabell 5.1'!AO38+'Tabell 5.1'!AO50+'Tabell 5.1'!AO64+'Tabell 5.1'!AO76+'Tabell 5.1'!AO88+'Tabell 5.1'!AO100+'Tabell 5.2'!AO14+'Tabell 5.2'!AO26+'Tabell 5.2'!AO38+'Tabell 5.2'!AO50+'Tabell 5.2'!AO86+'Tabell 5.2'!AO98+'Tabell 5.2'!AO124+'Tabell 5.2'!AO136+AO14+AO26+'Tabell 5.2'!AO62+'Tabell 5.2'!AO74+'Tabell 5.2'!AO110</f>
        <v>1250.2905254418783</v>
      </c>
      <c r="AP40" s="605">
        <f>'Tabell 5.1'!AP14+'Tabell 5.1'!AP26+'Tabell 5.1'!AP38+'Tabell 5.1'!AP50+'Tabell 5.1'!AP64+'Tabell 5.1'!AP76+'Tabell 5.1'!AP88+'Tabell 5.1'!AP100+'Tabell 5.2'!AP14+'Tabell 5.2'!AP26+'Tabell 5.2'!AP38+'Tabell 5.2'!AP50+'Tabell 5.2'!AP86+'Tabell 5.2'!AP98+'Tabell 5.2'!AP124+'Tabell 5.2'!AP136+AP14+AP26+'Tabell 5.2'!AP62+'Tabell 5.2'!AP74+'Tabell 5.2'!AP110</f>
        <v>1048.1088239948433</v>
      </c>
      <c r="AQ40" s="606">
        <f t="shared" si="25"/>
        <v>-16.2</v>
      </c>
      <c r="AR40" s="636"/>
      <c r="AS40" s="589"/>
      <c r="AT40" s="584"/>
      <c r="AU40" s="584"/>
    </row>
    <row r="41" spans="1:47" s="607" customFormat="1" ht="18.75" customHeight="1" x14ac:dyDescent="0.3">
      <c r="A41" s="556" t="s">
        <v>376</v>
      </c>
      <c r="B41" s="808">
        <v>0</v>
      </c>
      <c r="C41" s="809">
        <v>0</v>
      </c>
      <c r="D41" s="605" t="str">
        <f t="shared" si="13"/>
        <v xml:space="preserve">    ---- </v>
      </c>
      <c r="E41" s="808">
        <v>27</v>
      </c>
      <c r="F41" s="809">
        <v>25</v>
      </c>
      <c r="G41" s="605">
        <f t="shared" si="14"/>
        <v>-7.4</v>
      </c>
      <c r="H41" s="605"/>
      <c r="I41" s="605"/>
      <c r="J41" s="605"/>
      <c r="K41" s="808">
        <v>0.8</v>
      </c>
      <c r="L41" s="809">
        <v>1.5</v>
      </c>
      <c r="M41" s="605">
        <f t="shared" si="16"/>
        <v>87.5</v>
      </c>
      <c r="N41" s="808">
        <v>0</v>
      </c>
      <c r="O41" s="809"/>
      <c r="P41" s="605" t="str">
        <f t="shared" si="17"/>
        <v xml:space="preserve">    ---- </v>
      </c>
      <c r="Q41" s="808">
        <v>0</v>
      </c>
      <c r="R41" s="605">
        <f>'Tabell 5.1'!R15+'Tabell 5.1'!R27+'Tabell 5.1'!R39+'Tabell 5.1'!R51+'Tabell 5.1'!R65+'Tabell 5.1'!R77+'Tabell 5.1'!R89+'Tabell 5.1'!R101+'Tabell 5.2'!R15+'Tabell 5.2'!R27+'Tabell 5.2'!R39+'Tabell 5.2'!R51+'Tabell 5.2'!R87+'Tabell 5.2'!R99+'Tabell 5.2'!R125+'Tabell 5.2'!R137+R15+R27+'Tabell 5.2'!R63+'Tabell 5.2'!R75+'Tabell 5.2'!R111</f>
        <v>0</v>
      </c>
      <c r="S41" s="605" t="str">
        <f t="shared" si="18"/>
        <v xml:space="preserve">    ---- </v>
      </c>
      <c r="T41" s="808">
        <v>4</v>
      </c>
      <c r="U41" s="809">
        <v>4</v>
      </c>
      <c r="V41" s="605">
        <f t="shared" si="19"/>
        <v>0</v>
      </c>
      <c r="W41" s="808">
        <v>0.99353970000000014</v>
      </c>
      <c r="X41" s="809">
        <v>0.86702040000000002</v>
      </c>
      <c r="Y41" s="605">
        <f t="shared" si="20"/>
        <v>-12.7</v>
      </c>
      <c r="Z41" s="808">
        <v>0</v>
      </c>
      <c r="AA41" s="809"/>
      <c r="AB41" s="605" t="str">
        <f t="shared" si="21"/>
        <v xml:space="preserve">    ---- </v>
      </c>
      <c r="AC41" s="808"/>
      <c r="AD41" s="809"/>
      <c r="AE41" s="605"/>
      <c r="AF41" s="808">
        <v>0</v>
      </c>
      <c r="AG41" s="605">
        <v>0</v>
      </c>
      <c r="AH41" s="605" t="str">
        <f t="shared" si="22"/>
        <v xml:space="preserve">    ---- </v>
      </c>
      <c r="AI41" s="808">
        <v>45.7</v>
      </c>
      <c r="AJ41" s="605">
        <v>41</v>
      </c>
      <c r="AK41" s="605">
        <f t="shared" si="23"/>
        <v>-10.3</v>
      </c>
      <c r="AL41" s="605">
        <f>'Tabell 5.1'!AL15+'Tabell 5.1'!AL27+'Tabell 5.1'!AL39+'Tabell 5.1'!AL51+'Tabell 5.1'!AL65+'Tabell 5.1'!AL77+'Tabell 5.1'!AL89+'Tabell 5.1'!AL101+'Tabell 5.2'!AL15+'Tabell 5.2'!AL27+'Tabell 5.2'!AL39+'Tabell 5.2'!AL51+'Tabell 5.2'!AL87+'Tabell 5.2'!AL99+'Tabell 5.2'!AL125+'Tabell 5.2'!AL137+AL15+AL27+'Tabell 5.2'!AL63+'Tabell 5.2'!AL75+'Tabell 5.2'!AL111</f>
        <v>78.493539699999999</v>
      </c>
      <c r="AM41" s="605">
        <f>'Tabell 5.1'!AM15+'Tabell 5.1'!AM27+'Tabell 5.1'!AM39+'Tabell 5.1'!AM51+'Tabell 5.1'!AM65+'Tabell 5.1'!AM77+'Tabell 5.1'!AM89+'Tabell 5.1'!AM101+'Tabell 5.2'!AM15+'Tabell 5.2'!AM27+'Tabell 5.2'!AM39+'Tabell 5.2'!AM51+'Tabell 5.2'!AM87+'Tabell 5.2'!AM99+'Tabell 5.2'!AM125+'Tabell 5.2'!AM137+AM15+AM27+'Tabell 5.2'!AM63+'Tabell 5.2'!AM75+'Tabell 5.2'!AM111</f>
        <v>70.957020400000005</v>
      </c>
      <c r="AN41" s="605">
        <f t="shared" si="24"/>
        <v>-9.6</v>
      </c>
      <c r="AO41" s="605">
        <f>'Tabell 5.1'!AO15+'Tabell 5.1'!AO27+'Tabell 5.1'!AO39+'Tabell 5.1'!AO51+'Tabell 5.1'!AO65+'Tabell 5.1'!AO77+'Tabell 5.1'!AO89+'Tabell 5.1'!AO101+'Tabell 5.2'!AO15+'Tabell 5.2'!AO27+'Tabell 5.2'!AO39+'Tabell 5.2'!AO51+'Tabell 5.2'!AO87+'Tabell 5.2'!AO99+'Tabell 5.2'!AO125+'Tabell 5.2'!AO137+AO15+AO27+'Tabell 5.2'!AO63+'Tabell 5.2'!AO75+'Tabell 5.2'!AO111</f>
        <v>78.493539699999999</v>
      </c>
      <c r="AP41" s="605">
        <f>'Tabell 5.1'!AP15+'Tabell 5.1'!AP27+'Tabell 5.1'!AP39+'Tabell 5.1'!AP51+'Tabell 5.1'!AP65+'Tabell 5.1'!AP77+'Tabell 5.1'!AP89+'Tabell 5.1'!AP101+'Tabell 5.2'!AP15+'Tabell 5.2'!AP27+'Tabell 5.2'!AP39+'Tabell 5.2'!AP51+'Tabell 5.2'!AP87+'Tabell 5.2'!AP99+'Tabell 5.2'!AP125+'Tabell 5.2'!AP137+AP15+AP27+'Tabell 5.2'!AP63+'Tabell 5.2'!AP75+'Tabell 5.2'!AP111</f>
        <v>70.957020400000005</v>
      </c>
      <c r="AQ41" s="606">
        <f t="shared" si="25"/>
        <v>-9.6</v>
      </c>
      <c r="AR41" s="636"/>
      <c r="AS41" s="589"/>
      <c r="AT41" s="584"/>
      <c r="AU41" s="584"/>
    </row>
    <row r="42" spans="1:47" s="607" customFormat="1" ht="18.75" customHeight="1" x14ac:dyDescent="0.3">
      <c r="A42" s="556" t="s">
        <v>377</v>
      </c>
      <c r="B42" s="808">
        <v>1.0660000000000001</v>
      </c>
      <c r="C42" s="809">
        <v>1.339</v>
      </c>
      <c r="D42" s="605">
        <f t="shared" si="13"/>
        <v>25.6</v>
      </c>
      <c r="E42" s="808">
        <v>206</v>
      </c>
      <c r="F42" s="809">
        <v>179</v>
      </c>
      <c r="G42" s="605">
        <f t="shared" si="14"/>
        <v>-13.1</v>
      </c>
      <c r="H42" s="605"/>
      <c r="I42" s="605"/>
      <c r="J42" s="605"/>
      <c r="K42" s="808">
        <v>2.1</v>
      </c>
      <c r="L42" s="809">
        <v>4.5</v>
      </c>
      <c r="M42" s="605">
        <f t="shared" si="16"/>
        <v>114.3</v>
      </c>
      <c r="N42" s="808">
        <v>0</v>
      </c>
      <c r="O42" s="809"/>
      <c r="P42" s="605" t="str">
        <f t="shared" si="17"/>
        <v xml:space="preserve">    ---- </v>
      </c>
      <c r="Q42" s="808">
        <v>757.76423</v>
      </c>
      <c r="R42" s="605">
        <f>'Tabell 5.1'!R16+'Tabell 5.1'!R28+'Tabell 5.1'!R40+'Tabell 5.1'!R52+'Tabell 5.1'!R66+'Tabell 5.1'!R78+'Tabell 5.1'!R90+'Tabell 5.1'!R102+'Tabell 5.2'!R16+'Tabell 5.2'!R28+'Tabell 5.2'!R40+'Tabell 5.2'!R52+'Tabell 5.2'!R88+'Tabell 5.2'!R100+'Tabell 5.2'!R126+'Tabell 5.2'!R138+R16+R28+'Tabell 5.2'!R64+'Tabell 5.2'!R76+'Tabell 5.2'!R112</f>
        <v>0</v>
      </c>
      <c r="S42" s="605">
        <f t="shared" si="18"/>
        <v>-100</v>
      </c>
      <c r="T42" s="808">
        <v>3</v>
      </c>
      <c r="U42" s="809">
        <v>2</v>
      </c>
      <c r="V42" s="605">
        <f t="shared" si="19"/>
        <v>-33.299999999999997</v>
      </c>
      <c r="W42" s="808">
        <v>98.474376933333332</v>
      </c>
      <c r="X42" s="809">
        <v>87.972115083333321</v>
      </c>
      <c r="Y42" s="605">
        <f t="shared" si="20"/>
        <v>-10.7</v>
      </c>
      <c r="Z42" s="808">
        <v>257</v>
      </c>
      <c r="AA42" s="809">
        <v>306</v>
      </c>
      <c r="AB42" s="605">
        <f t="shared" si="21"/>
        <v>19.100000000000001</v>
      </c>
      <c r="AC42" s="808"/>
      <c r="AD42" s="809"/>
      <c r="AE42" s="605"/>
      <c r="AF42" s="808">
        <v>21.208999999999996</v>
      </c>
      <c r="AG42" s="605">
        <v>23</v>
      </c>
      <c r="AH42" s="605">
        <f t="shared" si="22"/>
        <v>8.4</v>
      </c>
      <c r="AI42" s="808">
        <v>269</v>
      </c>
      <c r="AJ42" s="605">
        <v>265</v>
      </c>
      <c r="AK42" s="605">
        <f t="shared" si="23"/>
        <v>-1.5</v>
      </c>
      <c r="AL42" s="605">
        <f>'Tabell 5.1'!AL16+'Tabell 5.1'!AL28+'Tabell 5.1'!AL40+'Tabell 5.1'!AL52+'Tabell 5.1'!AL66+'Tabell 5.1'!AL78+'Tabell 5.1'!AL90+'Tabell 5.1'!AL102+'Tabell 5.2'!AL16+'Tabell 5.2'!AL28+'Tabell 5.2'!AL40+'Tabell 5.2'!AL52+'Tabell 5.2'!AL88+'Tabell 5.2'!AL100+'Tabell 5.2'!AL126+'Tabell 5.2'!AL138+AL16+AL28+'Tabell 5.2'!AL64+'Tabell 5.2'!AL76+'Tabell 5.2'!AL112</f>
        <v>1614.5136069333334</v>
      </c>
      <c r="AM42" s="605">
        <f>'Tabell 5.1'!AM16+'Tabell 5.1'!AM28+'Tabell 5.1'!AM40+'Tabell 5.1'!AM52+'Tabell 5.1'!AM66+'Tabell 5.1'!AM78+'Tabell 5.1'!AM90+'Tabell 5.1'!AM102+'Tabell 5.2'!AM16+'Tabell 5.2'!AM28+'Tabell 5.2'!AM40+'Tabell 5.2'!AM52+'Tabell 5.2'!AM88+'Tabell 5.2'!AM100+'Tabell 5.2'!AM126+'Tabell 5.2'!AM138+AM16+AM28+'Tabell 5.2'!AM64+'Tabell 5.2'!AM76+'Tabell 5.2'!AM112</f>
        <v>868.36511508333331</v>
      </c>
      <c r="AN42" s="605">
        <f t="shared" si="24"/>
        <v>-46.2</v>
      </c>
      <c r="AO42" s="605">
        <f>'Tabell 5.1'!AO16+'Tabell 5.1'!AO28+'Tabell 5.1'!AO40+'Tabell 5.1'!AO52+'Tabell 5.1'!AO66+'Tabell 5.1'!AO78+'Tabell 5.1'!AO90+'Tabell 5.1'!AO102+'Tabell 5.2'!AO16+'Tabell 5.2'!AO28+'Tabell 5.2'!AO40+'Tabell 5.2'!AO52+'Tabell 5.2'!AO88+'Tabell 5.2'!AO100+'Tabell 5.2'!AO126+'Tabell 5.2'!AO138+AO16+AO28+'Tabell 5.2'!AO64+'Tabell 5.2'!AO76+'Tabell 5.2'!AO112</f>
        <v>1614.5136069333334</v>
      </c>
      <c r="AP42" s="605">
        <f>'Tabell 5.1'!AP16+'Tabell 5.1'!AP28+'Tabell 5.1'!AP40+'Tabell 5.1'!AP52+'Tabell 5.1'!AP66+'Tabell 5.1'!AP78+'Tabell 5.1'!AP90+'Tabell 5.1'!AP102+'Tabell 5.2'!AP16+'Tabell 5.2'!AP28+'Tabell 5.2'!AP40+'Tabell 5.2'!AP52+'Tabell 5.2'!AP88+'Tabell 5.2'!AP100+'Tabell 5.2'!AP126+'Tabell 5.2'!AP138+AP16+AP28+'Tabell 5.2'!AP64+'Tabell 5.2'!AP76+'Tabell 5.2'!AP112</f>
        <v>868.36511508333331</v>
      </c>
      <c r="AQ42" s="606">
        <f t="shared" si="25"/>
        <v>-46.2</v>
      </c>
      <c r="AR42" s="636"/>
      <c r="AS42" s="589"/>
      <c r="AT42" s="584"/>
      <c r="AU42" s="584"/>
    </row>
    <row r="43" spans="1:47" s="607" customFormat="1" ht="18.75" customHeight="1" x14ac:dyDescent="0.3">
      <c r="A43" s="556" t="s">
        <v>378</v>
      </c>
      <c r="B43" s="808">
        <v>76.209999999999994</v>
      </c>
      <c r="C43" s="809">
        <v>130.00700000000001</v>
      </c>
      <c r="D43" s="605">
        <f t="shared" si="13"/>
        <v>70.599999999999994</v>
      </c>
      <c r="E43" s="808">
        <v>394</v>
      </c>
      <c r="F43" s="809">
        <v>433</v>
      </c>
      <c r="G43" s="605">
        <f t="shared" si="14"/>
        <v>9.9</v>
      </c>
      <c r="H43" s="605">
        <f>'[2]Tabell 5.1'!H17+'[2]Tabell 5.1'!H29+'[2]Tabell 5.1'!H41+'[2]Tabell 5.1'!H53+'[2]Tabell 5.1'!H67+'[2]Tabell 5.1'!H79+'[2]Tabell 5.1'!H91+'[2]Tabell 5.1'!H103+'[2]Tabell 5.2'!H17+'[2]Tabell 5.2'!H29+'[2]Tabell 5.2'!H41+'[2]Tabell 5.2'!H53+'[2]Tabell 5.2'!H89+'[2]Tabell 5.2'!H101+'[2]Tabell 5.2'!H127+'[2]Tabell 5.2'!H139+H17+H29+'[2]Tabell 5.2'!H65+'[2]Tabell 5.2'!H77+'[2]Tabell 5.2'!H113</f>
        <v>122.78999999999999</v>
      </c>
      <c r="I43" s="605">
        <f>'[2]Tabell 5.1'!I17+'[2]Tabell 5.1'!I29+'[2]Tabell 5.1'!I41+'[2]Tabell 5.1'!I53+'[2]Tabell 5.1'!I67+'[2]Tabell 5.1'!I79+'[2]Tabell 5.1'!I91+'[2]Tabell 5.1'!I103+'[2]Tabell 5.2'!I17+'[2]Tabell 5.2'!I29+'[2]Tabell 5.2'!I41+'[2]Tabell 5.2'!I53+'[2]Tabell 5.2'!I89+'[2]Tabell 5.2'!I101+'[2]Tabell 5.2'!I127+'[2]Tabell 5.2'!I139+I17+I29+'[2]Tabell 5.2'!I65+'[2]Tabell 5.2'!I77+'[2]Tabell 5.2'!I113</f>
        <v>138.012</v>
      </c>
      <c r="J43" s="605">
        <f t="shared" si="15"/>
        <v>12.4</v>
      </c>
      <c r="K43" s="808">
        <v>18.600000000000001</v>
      </c>
      <c r="L43" s="809">
        <v>54.6</v>
      </c>
      <c r="M43" s="605">
        <f t="shared" si="16"/>
        <v>193.5</v>
      </c>
      <c r="N43" s="808">
        <v>14.0133458</v>
      </c>
      <c r="O43" s="809">
        <v>-0.66912433000000104</v>
      </c>
      <c r="P43" s="605">
        <f t="shared" si="17"/>
        <v>-104.8</v>
      </c>
      <c r="Q43" s="808">
        <v>957.75800602723746</v>
      </c>
      <c r="R43" s="605">
        <f>'Tabell 5.1'!R17+'Tabell 5.1'!R29+'Tabell 5.1'!R41+'Tabell 5.1'!R53+'Tabell 5.1'!R67+'Tabell 5.1'!R79+'Tabell 5.1'!R91+'Tabell 5.1'!R103+'Tabell 5.2'!R17+'Tabell 5.2'!R29+'Tabell 5.2'!R41+'Tabell 5.2'!R53+'Tabell 5.2'!R89+'Tabell 5.2'!R101+'Tabell 5.2'!R127+'Tabell 5.2'!R139+R17+R29+'Tabell 5.2'!R65+'Tabell 5.2'!R77+'Tabell 5.2'!R113</f>
        <v>0</v>
      </c>
      <c r="S43" s="605">
        <f t="shared" si="18"/>
        <v>-100</v>
      </c>
      <c r="T43" s="808">
        <v>3</v>
      </c>
      <c r="U43" s="809">
        <v>8</v>
      </c>
      <c r="V43" s="605">
        <f t="shared" si="19"/>
        <v>166.7</v>
      </c>
      <c r="W43" s="808">
        <v>194.87119369650983</v>
      </c>
      <c r="X43" s="809">
        <v>287.29351942545674</v>
      </c>
      <c r="Y43" s="605">
        <f t="shared" si="20"/>
        <v>47.4</v>
      </c>
      <c r="Z43" s="808">
        <v>402</v>
      </c>
      <c r="AA43" s="809">
        <v>309</v>
      </c>
      <c r="AB43" s="605">
        <f t="shared" si="21"/>
        <v>-23.1</v>
      </c>
      <c r="AC43" s="808"/>
      <c r="AD43" s="809"/>
      <c r="AE43" s="605"/>
      <c r="AF43" s="808">
        <v>223.66200000000003</v>
      </c>
      <c r="AG43" s="605">
        <v>507</v>
      </c>
      <c r="AH43" s="605">
        <f t="shared" si="22"/>
        <v>126.7</v>
      </c>
      <c r="AI43" s="808">
        <v>1080.7</v>
      </c>
      <c r="AJ43" s="605">
        <v>724</v>
      </c>
      <c r="AK43" s="605">
        <f t="shared" si="23"/>
        <v>-33</v>
      </c>
      <c r="AL43" s="605">
        <f>'Tabell 5.1'!AL17+'Tabell 5.1'!AL29+'Tabell 5.1'!AL41+'Tabell 5.1'!AL53+'Tabell 5.1'!AL67+'Tabell 5.1'!AL79+'Tabell 5.1'!AL91+'Tabell 5.1'!AL103+'Tabell 5.2'!AL17+'Tabell 5.2'!AL29+'Tabell 5.2'!AL41+'Tabell 5.2'!AL53+'Tabell 5.2'!AL89+'Tabell 5.2'!AL101+'Tabell 5.2'!AL127+'Tabell 5.2'!AL139+AL17+AL29+'Tabell 5.2'!AL65+'Tabell 5.2'!AL77+'Tabell 5.2'!AL113</f>
        <v>3472.6311997237472</v>
      </c>
      <c r="AM43" s="605">
        <f>'Tabell 5.1'!AM17+'Tabell 5.1'!AM29+'Tabell 5.1'!AM41+'Tabell 5.1'!AM53+'Tabell 5.1'!AM67+'Tabell 5.1'!AM79+'Tabell 5.1'!AM91+'Tabell 5.1'!AM103+'Tabell 5.2'!AM17+'Tabell 5.2'!AM29+'Tabell 5.2'!AM41+'Tabell 5.2'!AM53+'Tabell 5.2'!AM89+'Tabell 5.2'!AM101+'Tabell 5.2'!AM127+'Tabell 5.2'!AM139+AM17+AM29+'Tabell 5.2'!AM65+'Tabell 5.2'!AM77+'Tabell 5.2'!AM113</f>
        <v>2592.568519425457</v>
      </c>
      <c r="AN43" s="605">
        <f t="shared" si="24"/>
        <v>-25.3</v>
      </c>
      <c r="AO43" s="605">
        <f>'Tabell 5.1'!AO17+'Tabell 5.1'!AO29+'Tabell 5.1'!AO41+'Tabell 5.1'!AO53+'Tabell 5.1'!AO67+'Tabell 5.1'!AO79+'Tabell 5.1'!AO91+'Tabell 5.1'!AO103+'Tabell 5.2'!AO17+'Tabell 5.2'!AO29+'Tabell 5.2'!AO41+'Tabell 5.2'!AO53+'Tabell 5.2'!AO89+'Tabell 5.2'!AO101+'Tabell 5.2'!AO127+'Tabell 5.2'!AO139+AO17+AO29+'Tabell 5.2'!AO65+'Tabell 5.2'!AO77+'Tabell 5.2'!AO113</f>
        <v>3486.6445455237472</v>
      </c>
      <c r="AP43" s="605">
        <f>'Tabell 5.1'!AP17+'Tabell 5.1'!AP29+'Tabell 5.1'!AP41+'Tabell 5.1'!AP53+'Tabell 5.1'!AP67+'Tabell 5.1'!AP79+'Tabell 5.1'!AP91+'Tabell 5.1'!AP103+'Tabell 5.2'!AP17+'Tabell 5.2'!AP29+'Tabell 5.2'!AP41+'Tabell 5.2'!AP53+'Tabell 5.2'!AP89+'Tabell 5.2'!AP101+'Tabell 5.2'!AP127+'Tabell 5.2'!AP139+AP17+AP29+'Tabell 5.2'!AP65+'Tabell 5.2'!AP77+'Tabell 5.2'!AP113</f>
        <v>2591.7759298254568</v>
      </c>
      <c r="AQ43" s="606">
        <f t="shared" si="25"/>
        <v>-25.7</v>
      </c>
      <c r="AR43" s="636"/>
      <c r="AS43" s="589"/>
      <c r="AT43" s="584"/>
      <c r="AU43" s="584"/>
    </row>
    <row r="44" spans="1:47" s="607" customFormat="1" ht="18.75" customHeight="1" x14ac:dyDescent="0.3">
      <c r="A44" s="556" t="s">
        <v>379</v>
      </c>
      <c r="B44" s="808">
        <v>0</v>
      </c>
      <c r="C44" s="809">
        <v>0</v>
      </c>
      <c r="D44" s="605" t="str">
        <f t="shared" si="13"/>
        <v xml:space="preserve">    ---- </v>
      </c>
      <c r="E44" s="808">
        <v>0</v>
      </c>
      <c r="F44" s="809">
        <v>0</v>
      </c>
      <c r="G44" s="605" t="str">
        <f t="shared" si="14"/>
        <v xml:space="preserve">    ---- </v>
      </c>
      <c r="H44" s="605"/>
      <c r="I44" s="605"/>
      <c r="J44" s="605"/>
      <c r="K44" s="808">
        <v>15.3</v>
      </c>
      <c r="L44" s="809">
        <v>22.7</v>
      </c>
      <c r="M44" s="605">
        <f t="shared" si="16"/>
        <v>48.4</v>
      </c>
      <c r="N44" s="808">
        <v>0</v>
      </c>
      <c r="O44" s="809"/>
      <c r="P44" s="605" t="str">
        <f t="shared" si="17"/>
        <v xml:space="preserve">    ---- </v>
      </c>
      <c r="Q44" s="808">
        <v>479.90902800000003</v>
      </c>
      <c r="R44" s="605">
        <f>'Tabell 5.1'!R18+'Tabell 5.1'!R30+'Tabell 5.1'!R42+'Tabell 5.1'!R54+'Tabell 5.1'!R68+'Tabell 5.1'!R80+'Tabell 5.1'!R92+'Tabell 5.1'!R104+'Tabell 5.2'!R18+'Tabell 5.2'!R30+'Tabell 5.2'!R42+'Tabell 5.2'!R54+'Tabell 5.2'!R90+'Tabell 5.2'!R102+'Tabell 5.2'!R128+'Tabell 5.2'!R140+R18+R30+'Tabell 5.2'!R66+'Tabell 5.2'!R78+'Tabell 5.2'!R114</f>
        <v>0</v>
      </c>
      <c r="S44" s="605">
        <f t="shared" si="18"/>
        <v>-100</v>
      </c>
      <c r="T44" s="808">
        <v>2</v>
      </c>
      <c r="U44" s="809">
        <v>4</v>
      </c>
      <c r="V44" s="605">
        <f t="shared" si="19"/>
        <v>100</v>
      </c>
      <c r="W44" s="808">
        <v>66.139687563091258</v>
      </c>
      <c r="X44" s="809">
        <v>30.340871860586962</v>
      </c>
      <c r="Y44" s="605">
        <f t="shared" si="20"/>
        <v>-54.1</v>
      </c>
      <c r="Z44" s="808">
        <v>-201</v>
      </c>
      <c r="AA44" s="809">
        <v>0</v>
      </c>
      <c r="AB44" s="605">
        <f t="shared" si="21"/>
        <v>-100</v>
      </c>
      <c r="AC44" s="808"/>
      <c r="AD44" s="809"/>
      <c r="AE44" s="605"/>
      <c r="AF44" s="808">
        <v>0</v>
      </c>
      <c r="AG44" s="605">
        <v>0</v>
      </c>
      <c r="AH44" s="605" t="str">
        <f t="shared" si="22"/>
        <v xml:space="preserve">    ---- </v>
      </c>
      <c r="AI44" s="808">
        <v>219.6</v>
      </c>
      <c r="AJ44" s="605">
        <v>232</v>
      </c>
      <c r="AK44" s="605">
        <f t="shared" si="23"/>
        <v>5.6</v>
      </c>
      <c r="AL44" s="605">
        <f>'Tabell 5.1'!AL18+'Tabell 5.1'!AL30+'Tabell 5.1'!AL42+'Tabell 5.1'!AL54+'Tabell 5.1'!AL68+'Tabell 5.1'!AL80+'Tabell 5.1'!AL92+'Tabell 5.1'!AL104+'Tabell 5.2'!AL18+'Tabell 5.2'!AL30+'Tabell 5.2'!AL42+'Tabell 5.2'!AL54+'Tabell 5.2'!AL90+'Tabell 5.2'!AL102+'Tabell 5.2'!AL128+'Tabell 5.2'!AL140+AL18+AL30+'Tabell 5.2'!AL66+'Tabell 5.2'!AL78+'Tabell 5.2'!AL114</f>
        <v>581.94871556309124</v>
      </c>
      <c r="AM44" s="605">
        <f>'Tabell 5.1'!AM18+'Tabell 5.1'!AM30+'Tabell 5.1'!AM42+'Tabell 5.1'!AM54+'Tabell 5.1'!AM68+'Tabell 5.1'!AM80+'Tabell 5.1'!AM92+'Tabell 5.1'!AM104+'Tabell 5.2'!AM18+'Tabell 5.2'!AM30+'Tabell 5.2'!AM42+'Tabell 5.2'!AM54+'Tabell 5.2'!AM90+'Tabell 5.2'!AM102+'Tabell 5.2'!AM128+'Tabell 5.2'!AM140+AM18+AM30+'Tabell 5.2'!AM66+'Tabell 5.2'!AM78+'Tabell 5.2'!AM114</f>
        <v>282.91087186058701</v>
      </c>
      <c r="AN44" s="605">
        <f t="shared" si="24"/>
        <v>-51.4</v>
      </c>
      <c r="AO44" s="605">
        <f>'Tabell 5.1'!AO18+'Tabell 5.1'!AO30+'Tabell 5.1'!AO42+'Tabell 5.1'!AO54+'Tabell 5.1'!AO68+'Tabell 5.1'!AO80+'Tabell 5.1'!AO92+'Tabell 5.1'!AO104+'Tabell 5.2'!AO18+'Tabell 5.2'!AO30+'Tabell 5.2'!AO42+'Tabell 5.2'!AO54+'Tabell 5.2'!AO90+'Tabell 5.2'!AO102+'Tabell 5.2'!AO128+'Tabell 5.2'!AO140+AO18+AO30+'Tabell 5.2'!AO66+'Tabell 5.2'!AO78+'Tabell 5.2'!AO114</f>
        <v>581.94871556309124</v>
      </c>
      <c r="AP44" s="605">
        <f>'Tabell 5.1'!AP18+'Tabell 5.1'!AP30+'Tabell 5.1'!AP42+'Tabell 5.1'!AP54+'Tabell 5.1'!AP68+'Tabell 5.1'!AP80+'Tabell 5.1'!AP92+'Tabell 5.1'!AP104+'Tabell 5.2'!AP18+'Tabell 5.2'!AP30+'Tabell 5.2'!AP42+'Tabell 5.2'!AP54+'Tabell 5.2'!AP90+'Tabell 5.2'!AP102+'Tabell 5.2'!AP128+'Tabell 5.2'!AP140+AP18+AP30+'Tabell 5.2'!AP66+'Tabell 5.2'!AP78+'Tabell 5.2'!AP114</f>
        <v>282.91087186058701</v>
      </c>
      <c r="AQ44" s="606">
        <f t="shared" si="25"/>
        <v>-51.4</v>
      </c>
      <c r="AR44" s="636"/>
      <c r="AS44" s="589"/>
      <c r="AT44" s="584"/>
      <c r="AU44" s="584"/>
    </row>
    <row r="45" spans="1:47" s="607" customFormat="1" ht="18.75" customHeight="1" x14ac:dyDescent="0.3">
      <c r="A45" s="556" t="s">
        <v>380</v>
      </c>
      <c r="B45" s="808">
        <v>0</v>
      </c>
      <c r="C45" s="809">
        <v>0</v>
      </c>
      <c r="D45" s="605" t="str">
        <f t="shared" si="13"/>
        <v xml:space="preserve">    ---- </v>
      </c>
      <c r="E45" s="808">
        <v>0</v>
      </c>
      <c r="F45" s="809">
        <v>0</v>
      </c>
      <c r="G45" s="605" t="str">
        <f t="shared" si="14"/>
        <v xml:space="preserve">    ---- </v>
      </c>
      <c r="H45" s="605"/>
      <c r="I45" s="605"/>
      <c r="J45" s="605"/>
      <c r="K45" s="808">
        <v>0</v>
      </c>
      <c r="L45" s="809"/>
      <c r="M45" s="605" t="str">
        <f t="shared" si="16"/>
        <v xml:space="preserve">    ---- </v>
      </c>
      <c r="N45" s="808">
        <v>0</v>
      </c>
      <c r="O45" s="809"/>
      <c r="P45" s="605" t="str">
        <f t="shared" si="17"/>
        <v xml:space="preserve">    ---- </v>
      </c>
      <c r="Q45" s="808">
        <v>0</v>
      </c>
      <c r="R45" s="605">
        <f>'Tabell 5.1'!R19+'Tabell 5.1'!R31+'Tabell 5.1'!R43+'Tabell 5.1'!R55+'Tabell 5.1'!R69+'Tabell 5.1'!R81+'Tabell 5.1'!R93+'Tabell 5.1'!R105+'Tabell 5.2'!R19+'Tabell 5.2'!R31+'Tabell 5.2'!R43+'Tabell 5.2'!R55+'Tabell 5.2'!R91+'Tabell 5.2'!R103+'Tabell 5.2'!R129+'Tabell 5.2'!R141+R19+R31+'Tabell 5.2'!R67+'Tabell 5.2'!R79+'Tabell 5.2'!R115</f>
        <v>0</v>
      </c>
      <c r="S45" s="605" t="str">
        <f t="shared" si="18"/>
        <v xml:space="preserve">    ---- </v>
      </c>
      <c r="T45" s="808">
        <v>8</v>
      </c>
      <c r="U45" s="809">
        <v>-1</v>
      </c>
      <c r="V45" s="605">
        <f t="shared" si="19"/>
        <v>-112.5</v>
      </c>
      <c r="W45" s="808">
        <v>-306.55223000000001</v>
      </c>
      <c r="X45" s="809">
        <v>-333.0729245</v>
      </c>
      <c r="Y45" s="605">
        <f t="shared" si="20"/>
        <v>8.6999999999999993</v>
      </c>
      <c r="Z45" s="808">
        <v>0</v>
      </c>
      <c r="AA45" s="809"/>
      <c r="AB45" s="605" t="str">
        <f t="shared" si="21"/>
        <v xml:space="preserve">    ---- </v>
      </c>
      <c r="AC45" s="808"/>
      <c r="AD45" s="809"/>
      <c r="AE45" s="605"/>
      <c r="AF45" s="808">
        <v>0</v>
      </c>
      <c r="AG45" s="605">
        <v>0</v>
      </c>
      <c r="AH45" s="605" t="str">
        <f t="shared" si="22"/>
        <v xml:space="preserve">    ---- </v>
      </c>
      <c r="AI45" s="808">
        <v>141.19999999999999</v>
      </c>
      <c r="AJ45" s="809"/>
      <c r="AK45" s="605">
        <f t="shared" si="23"/>
        <v>-100</v>
      </c>
      <c r="AL45" s="605">
        <f>'Tabell 5.1'!AL19+'Tabell 5.1'!AL31+'Tabell 5.1'!AL43+'Tabell 5.1'!AL55+'Tabell 5.1'!AL69+'Tabell 5.1'!AL81+'Tabell 5.1'!AL93+'Tabell 5.1'!AL105+'Tabell 5.2'!AL19+'Tabell 5.2'!AL31+'Tabell 5.2'!AL43+'Tabell 5.2'!AL55+'Tabell 5.2'!AL91+'Tabell 5.2'!AL103+'Tabell 5.2'!AL129+'Tabell 5.2'!AL141+AL19+AL31+'Tabell 5.2'!AL67+'Tabell 5.2'!AL79+'Tabell 5.2'!AL115</f>
        <v>-157.35223000000002</v>
      </c>
      <c r="AM45" s="605">
        <f>'Tabell 5.1'!AM19+'Tabell 5.1'!AM31+'Tabell 5.1'!AM43+'Tabell 5.1'!AM55+'Tabell 5.1'!AM69+'Tabell 5.1'!AM81+'Tabell 5.1'!AM93+'Tabell 5.1'!AM105+'Tabell 5.2'!AM19+'Tabell 5.2'!AM31+'Tabell 5.2'!AM43+'Tabell 5.2'!AM55+'Tabell 5.2'!AM91+'Tabell 5.2'!AM103+'Tabell 5.2'!AM129+'Tabell 5.2'!AM141+AM19+AM31+'Tabell 5.2'!AM67+'Tabell 5.2'!AM79+'Tabell 5.2'!AM115</f>
        <v>-334.02192450000001</v>
      </c>
      <c r="AN45" s="605">
        <f t="shared" si="24"/>
        <v>112.3</v>
      </c>
      <c r="AO45" s="605">
        <f>'Tabell 5.1'!AO19+'Tabell 5.1'!AO31+'Tabell 5.1'!AO43+'Tabell 5.1'!AO55+'Tabell 5.1'!AO69+'Tabell 5.1'!AO81+'Tabell 5.1'!AO93+'Tabell 5.1'!AO105+'Tabell 5.2'!AO19+'Tabell 5.2'!AO31+'Tabell 5.2'!AO43+'Tabell 5.2'!AO55+'Tabell 5.2'!AO91+'Tabell 5.2'!AO103+'Tabell 5.2'!AO129+'Tabell 5.2'!AO141+AO19+AO31+'Tabell 5.2'!AO67+'Tabell 5.2'!AO79+'Tabell 5.2'!AO115</f>
        <v>-157.35223000000002</v>
      </c>
      <c r="AP45" s="605">
        <f>'Tabell 5.1'!AP19+'Tabell 5.1'!AP31+'Tabell 5.1'!AP43+'Tabell 5.1'!AP55+'Tabell 5.1'!AP69+'Tabell 5.1'!AP81+'Tabell 5.1'!AP93+'Tabell 5.1'!AP105+'Tabell 5.2'!AP19+'Tabell 5.2'!AP31+'Tabell 5.2'!AP43+'Tabell 5.2'!AP55+'Tabell 5.2'!AP91+'Tabell 5.2'!AP103+'Tabell 5.2'!AP129+'Tabell 5.2'!AP141+AP19+AP31+'Tabell 5.2'!AP67+'Tabell 5.2'!AP79+'Tabell 5.2'!AP115</f>
        <v>-334.02192450000001</v>
      </c>
      <c r="AQ45" s="606">
        <f t="shared" si="25"/>
        <v>112.3</v>
      </c>
      <c r="AR45" s="636"/>
      <c r="AS45" s="589"/>
      <c r="AT45" s="584"/>
      <c r="AU45" s="584"/>
    </row>
    <row r="46" spans="1:47" s="610" customFormat="1" ht="18.75" customHeight="1" x14ac:dyDescent="0.3">
      <c r="A46" s="550" t="s">
        <v>381</v>
      </c>
      <c r="B46" s="801">
        <v>69.167999999999992</v>
      </c>
      <c r="C46" s="811">
        <f>'Tabell 5.1'!C20+'Tabell 5.1'!C32+'Tabell 5.1'!C44+'Tabell 5.1'!C56+'Tabell 5.1'!C70+'Tabell 5.1'!C82+'Tabell 5.1'!C94+'Tabell 5.1'!C106+'Tabell 5.2'!C20+'Tabell 5.2'!C32+'Tabell 5.2'!C44+'Tabell 5.2'!C56+'Tabell 5.2'!C92+'Tabell 5.2'!C104+'Tabell 5.2'!C130+'Tabell 5.2'!C142+C20+C32+'Tabell 5.2'!C68+'Tabell 5.2'!C80+'Tabell 5.2'!C116</f>
        <v>162.43899999999999</v>
      </c>
      <c r="D46" s="603">
        <f t="shared" si="13"/>
        <v>134.80000000000001</v>
      </c>
      <c r="E46" s="810">
        <v>-1777</v>
      </c>
      <c r="F46" s="811">
        <f>'Tabell 5.1'!F20+'Tabell 5.1'!F32+'Tabell 5.1'!F44+'Tabell 5.1'!F56+'Tabell 5.1'!F70+'Tabell 5.1'!F82+'Tabell 5.1'!F94+'Tabell 5.1'!F106+'Tabell 5.2'!F20+'Tabell 5.2'!F32+'Tabell 5.2'!F44+'Tabell 5.2'!F56+'Tabell 5.2'!F92+'Tabell 5.2'!F104+'Tabell 5.2'!F130+'Tabell 5.2'!F142+F20+F32+'Tabell 5.2'!F68+'Tabell 5.2'!F80+'Tabell 5.2'!F116</f>
        <v>17309.722000000002</v>
      </c>
      <c r="G46" s="603">
        <f t="shared" si="14"/>
        <v>-999</v>
      </c>
      <c r="H46" s="603">
        <v>40.5</v>
      </c>
      <c r="I46" s="811">
        <f>'Tabell 5.1'!I20+'Tabell 5.1'!I32+'Tabell 5.1'!I44+'Tabell 5.1'!I56+'Tabell 5.1'!I70+'Tabell 5.1'!I82+'Tabell 5.1'!I94+'Tabell 5.1'!I106+'Tabell 5.2'!I20+'Tabell 5.2'!I32+'Tabell 5.2'!I44+'Tabell 5.2'!I56+'Tabell 5.2'!I92+'Tabell 5.2'!I104+'Tabell 5.2'!I130+'Tabell 5.2'!I142+I20+I32+'Tabell 5.2'!I68+'Tabell 5.2'!I80+'Tabell 5.2'!I116</f>
        <v>158.03599999999997</v>
      </c>
      <c r="J46" s="603">
        <f t="shared" si="15"/>
        <v>290.2</v>
      </c>
      <c r="K46" s="810">
        <v>267.5</v>
      </c>
      <c r="L46" s="811">
        <f>'Tabell 5.1'!L20+'Tabell 5.1'!L32+'Tabell 5.1'!L44+'Tabell 5.1'!L56+'Tabell 5.1'!L70+'Tabell 5.1'!L82+'Tabell 5.1'!L94+'Tabell 5.1'!L106+'Tabell 5.2'!L20+'Tabell 5.2'!L32+'Tabell 5.2'!L44+'Tabell 5.2'!L56+'Tabell 5.2'!L92+'Tabell 5.2'!L104+'Tabell 5.2'!L130+'Tabell 5.2'!L142+L20+L32+'Tabell 5.2'!L68+'Tabell 5.2'!L80+'Tabell 5.2'!L116</f>
        <v>268.39999999999998</v>
      </c>
      <c r="M46" s="603">
        <f t="shared" si="16"/>
        <v>0.3</v>
      </c>
      <c r="N46" s="810">
        <v>20.052604803644044</v>
      </c>
      <c r="O46" s="811">
        <f>'Tabell 5.1'!O20+'Tabell 5.1'!O32+'Tabell 5.1'!O44+'Tabell 5.1'!O56+'Tabell 5.1'!O70+'Tabell 5.1'!O82+'Tabell 5.1'!O94+'Tabell 5.1'!O106+'Tabell 5.2'!O20+'Tabell 5.2'!O32+'Tabell 5.2'!O44+'Tabell 5.2'!O56+'Tabell 5.2'!O92+'Tabell 5.2'!O104+'Tabell 5.2'!O130+'Tabell 5.2'!O142+O20+O32+'Tabell 5.2'!O68+'Tabell 5.2'!O80+'Tabell 5.2'!O116</f>
        <v>5.7720120700606206</v>
      </c>
      <c r="P46" s="603">
        <f t="shared" si="17"/>
        <v>-71.2</v>
      </c>
      <c r="Q46" s="810">
        <v>7058.7671053986924</v>
      </c>
      <c r="R46" s="811">
        <f>'Tabell 5.1'!R20+'Tabell 5.1'!R32+'Tabell 5.1'!R44+'Tabell 5.1'!R56+'Tabell 5.1'!R70+'Tabell 5.1'!R82+'Tabell 5.1'!R94+'Tabell 5.1'!R106+'Tabell 5.2'!R20+'Tabell 5.2'!R32+'Tabell 5.2'!R44+'Tabell 5.2'!R56+'Tabell 5.2'!R92+'Tabell 5.2'!R104+'Tabell 5.2'!R130+'Tabell 5.2'!R142+R20+R32+'Tabell 5.2'!R68+'Tabell 5.2'!R80+'Tabell 5.2'!R116</f>
        <v>0</v>
      </c>
      <c r="S46" s="603">
        <f t="shared" si="18"/>
        <v>-100</v>
      </c>
      <c r="T46" s="810">
        <v>-1</v>
      </c>
      <c r="U46" s="811">
        <f>'[3]Tabell 5.1'!U20+'[3]Tabell 5.1'!U32+'[3]Tabell 5.1'!U44+'[3]Tabell 5.1'!U56+'[3]Tabell 5.1'!U70+'[3]Tabell 5.1'!U82+'[3]Tabell 5.1'!U94+'[3]Tabell 5.1'!U106+'[3]Tabell 5.2'!U20+'[3]Tabell 5.2'!U32+'[3]Tabell 5.2'!U44+'[3]Tabell 5.2'!U56+'[3]Tabell 5.2'!U92+'[3]Tabell 5.2'!U104+'[3]Tabell 5.2'!U130+'[3]Tabell 5.2'!U142+U20+U32+'[3]Tabell 5.2'!U68+'[3]Tabell 5.2'!U80+'[3]Tabell 5.2'!U116</f>
        <v>-11</v>
      </c>
      <c r="V46" s="603">
        <f t="shared" si="19"/>
        <v>999</v>
      </c>
      <c r="W46" s="810">
        <v>695.77318467645512</v>
      </c>
      <c r="X46" s="811">
        <f>'Tabell 5.1'!X20+'Tabell 5.1'!X32+'Tabell 5.1'!X44+'Tabell 5.1'!X56+'Tabell 5.1'!X70+'Tabell 5.1'!X82+'Tabell 5.1'!X94+'Tabell 5.1'!X106+'Tabell 5.2'!X20+'Tabell 5.2'!X32+'Tabell 5.2'!X44+'Tabell 5.2'!X56+'Tabell 5.2'!X92+'Tabell 5.2'!X104+'Tabell 5.2'!X130+'Tabell 5.2'!X142+X20+X32+'Tabell 5.2'!X68+'Tabell 5.2'!X80+'Tabell 5.2'!X116</f>
        <v>720.80858110336749</v>
      </c>
      <c r="Y46" s="603">
        <f t="shared" si="20"/>
        <v>3.6</v>
      </c>
      <c r="Z46" s="810">
        <v>2056</v>
      </c>
      <c r="AA46" s="811">
        <f>'Tabell 5.1'!AA20+'Tabell 5.1'!AA32+'Tabell 5.1'!AA44+'Tabell 5.1'!AA56+'Tabell 5.1'!AA70+'Tabell 5.1'!AA82+'Tabell 5.1'!AA94+'Tabell 5.1'!AA106+'Tabell 5.2'!AA20+'Tabell 5.2'!AA32+'Tabell 5.2'!AA44+'Tabell 5.2'!AA56+'Tabell 5.2'!AA92+'Tabell 5.2'!AA104+'Tabell 5.2'!AA130+'Tabell 5.2'!AA142+AA20+AA32+'Tabell 5.2'!AA68+'Tabell 5.2'!AA80+'Tabell 5.2'!AA116</f>
        <v>1328</v>
      </c>
      <c r="AB46" s="603">
        <f t="shared" si="21"/>
        <v>-35.4</v>
      </c>
      <c r="AC46" s="810">
        <v>13.34519899</v>
      </c>
      <c r="AD46" s="811">
        <f>'Tabell 5.1'!AD20+'Tabell 5.1'!AD32+'Tabell 5.1'!AD44+'Tabell 5.1'!AD56+'Tabell 5.1'!AD70+'Tabell 5.1'!AD82+'Tabell 5.1'!AD94+'Tabell 5.1'!AD106+'Tabell 5.2'!AD20+'Tabell 5.2'!AD32+'Tabell 5.2'!AD44+'Tabell 5.2'!AD56+'Tabell 5.2'!AD92+'Tabell 5.2'!AD104+'Tabell 5.2'!AD130+'Tabell 5.2'!AD142+AD20+AD32+'Tabell 5.2'!AD68+'Tabell 5.2'!AD80+'Tabell 5.2'!AD116</f>
        <v>12.386465282550729</v>
      </c>
      <c r="AE46" s="603">
        <f t="shared" si="26"/>
        <v>-7.2</v>
      </c>
      <c r="AF46" s="810">
        <v>739.96100000000013</v>
      </c>
      <c r="AG46" s="603">
        <v>1016</v>
      </c>
      <c r="AH46" s="603">
        <f t="shared" si="22"/>
        <v>37.299999999999997</v>
      </c>
      <c r="AI46" s="810">
        <v>1990.73</v>
      </c>
      <c r="AJ46" s="811">
        <f>'Tabell 5.1'!AJ20+'Tabell 5.1'!AJ32+'Tabell 5.1'!AJ44+'Tabell 5.1'!AJ56+'Tabell 5.1'!AJ70+'Tabell 5.1'!AJ82+'Tabell 5.1'!AJ94+'Tabell 5.1'!AJ106+'Tabell 5.2'!AJ20+'Tabell 5.2'!AJ32+'Tabell 5.2'!AJ44+'Tabell 5.2'!AJ56+'Tabell 5.2'!AJ92+'Tabell 5.2'!AJ104+'Tabell 5.2'!AJ130+'Tabell 5.2'!AJ142+AJ20+AJ32+'Tabell 5.2'!AJ68+'Tabell 5.2'!AJ80+'Tabell 5.2'!AJ116</f>
        <v>1615.9</v>
      </c>
      <c r="AK46" s="603">
        <f t="shared" si="23"/>
        <v>-18.8</v>
      </c>
      <c r="AL46" s="603">
        <f>'Tabell 5.1'!AL20+'Tabell 5.1'!AL32+'Tabell 5.1'!AL44+'Tabell 5.1'!AL56+'Tabell 5.1'!AL70+'Tabell 5.1'!AL82+'Tabell 5.1'!AL94+'Tabell 5.1'!AL106+'Tabell 5.2'!AL20+'Tabell 5.2'!AL32+'Tabell 5.2'!AL44+'Tabell 5.2'!AL56+'Tabell 5.2'!AL92+'Tabell 5.2'!AL104+'Tabell 5.2'!AL130+'Tabell 5.2'!AL142+AL20+AL32+'Tabell 5.2'!AL68+'Tabell 5.2'!AL80+'Tabell 5.2'!AL116</f>
        <v>11140.349290075146</v>
      </c>
      <c r="AM46" s="603">
        <f>'Tabell 5.1'!AM20+'Tabell 5.1'!AM32+'Tabell 5.1'!AM44+'Tabell 5.1'!AM56+'Tabell 5.1'!AM70+'Tabell 5.1'!AM82+'Tabell 5.1'!AM94+'Tabell 5.1'!AM106+'Tabell 5.2'!AM20+'Tabell 5.2'!AM32+'Tabell 5.2'!AM44+'Tabell 5.2'!AM56+'Tabell 5.2'!AM92+'Tabell 5.2'!AM104+'Tabell 5.2'!AM130+'Tabell 5.2'!AM142+AM20+AM32+'Tabell 5.2'!AM68+'Tabell 5.2'!AM80+'Tabell 5.2'!AM116</f>
        <v>22568.30558110337</v>
      </c>
      <c r="AN46" s="603">
        <f t="shared" si="24"/>
        <v>102.6</v>
      </c>
      <c r="AO46" s="603">
        <f>'Tabell 5.1'!AO20+'Tabell 5.1'!AO32+'Tabell 5.1'!AO44+'Tabell 5.1'!AO56+'Tabell 5.1'!AO70+'Tabell 5.1'!AO82+'Tabell 5.1'!AO94+'Tabell 5.1'!AO106+'Tabell 5.2'!AO20+'Tabell 5.2'!AO32+'Tabell 5.2'!AO44+'Tabell 5.2'!AO56+'Tabell 5.2'!AO92+'Tabell 5.2'!AO104+'Tabell 5.2'!AO130+'Tabell 5.2'!AO142+AO20+AO32+'Tabell 5.2'!AO68+'Tabell 5.2'!AO80+'Tabell 5.2'!AO116</f>
        <v>11173.747093868791</v>
      </c>
      <c r="AP46" s="603">
        <f>'Tabell 5.1'!AP20+'Tabell 5.1'!AP32+'Tabell 5.1'!AP44+'Tabell 5.1'!AP56+'Tabell 5.1'!AP70+'Tabell 5.1'!AP82+'Tabell 5.1'!AP94+'Tabell 5.1'!AP106+'Tabell 5.2'!AP20+'Tabell 5.2'!AP32+'Tabell 5.2'!AP44+'Tabell 5.2'!AP56+'Tabell 5.2'!AP92+'Tabell 5.2'!AP104+'Tabell 5.2'!AP130+'Tabell 5.2'!AP142+AP20+AP32+'Tabell 5.2'!AP68+'Tabell 5.2'!AP80+'Tabell 5.2'!AP116</f>
        <v>22586.464058455982</v>
      </c>
      <c r="AQ46" s="604">
        <f t="shared" si="25"/>
        <v>102.1</v>
      </c>
      <c r="AR46" s="637"/>
      <c r="AS46" s="587"/>
      <c r="AT46" s="609"/>
      <c r="AU46" s="609"/>
    </row>
    <row r="47" spans="1:47" s="607" customFormat="1" ht="18.75" customHeight="1" x14ac:dyDescent="0.3">
      <c r="A47" s="556" t="s">
        <v>382</v>
      </c>
      <c r="B47" s="808">
        <v>6.71</v>
      </c>
      <c r="C47" s="809">
        <v>0.309</v>
      </c>
      <c r="D47" s="605">
        <f t="shared" si="13"/>
        <v>-95.4</v>
      </c>
      <c r="E47" s="808">
        <v>-2858</v>
      </c>
      <c r="F47" s="809">
        <v>16091</v>
      </c>
      <c r="G47" s="605">
        <f t="shared" si="14"/>
        <v>-663</v>
      </c>
      <c r="H47" s="605"/>
      <c r="I47" s="605"/>
      <c r="J47" s="605"/>
      <c r="K47" s="808">
        <v>107.10000000000001</v>
      </c>
      <c r="L47" s="809">
        <f>75.9-0.4</f>
        <v>75.5</v>
      </c>
      <c r="M47" s="605">
        <f t="shared" si="16"/>
        <v>-29.5</v>
      </c>
      <c r="N47" s="808">
        <v>0</v>
      </c>
      <c r="O47" s="809"/>
      <c r="P47" s="605" t="str">
        <f t="shared" si="17"/>
        <v xml:space="preserve">    ---- </v>
      </c>
      <c r="Q47" s="808">
        <v>5743.3265343232815</v>
      </c>
      <c r="R47" s="605">
        <f>'Tabell 5.1'!R21+'Tabell 5.1'!R33+'Tabell 5.1'!R45+'Tabell 5.1'!R57+'Tabell 5.1'!R71+'Tabell 5.1'!R83+'Tabell 5.1'!R95+'Tabell 5.1'!R107+'Tabell 5.2'!R21+'Tabell 5.2'!R33+'Tabell 5.2'!R45+'Tabell 5.2'!R57+'Tabell 5.2'!R93+'Tabell 5.2'!R105+'Tabell 5.2'!R131+'Tabell 5.2'!R143+R21+R33+'Tabell 5.2'!R69+'Tabell 5.2'!R81+'Tabell 5.2'!R117</f>
        <v>0</v>
      </c>
      <c r="S47" s="605">
        <f t="shared" si="18"/>
        <v>-100</v>
      </c>
      <c r="T47" s="808">
        <v>20</v>
      </c>
      <c r="U47" s="809">
        <v>16</v>
      </c>
      <c r="V47" s="605">
        <f t="shared" si="19"/>
        <v>-20</v>
      </c>
      <c r="W47" s="808">
        <v>115.4245625255509</v>
      </c>
      <c r="X47" s="809">
        <v>102.64578813317972</v>
      </c>
      <c r="Y47" s="605">
        <f t="shared" si="20"/>
        <v>-11.1</v>
      </c>
      <c r="Z47" s="808">
        <v>1265</v>
      </c>
      <c r="AA47" s="809">
        <v>309</v>
      </c>
      <c r="AB47" s="605">
        <f t="shared" si="21"/>
        <v>-75.599999999999994</v>
      </c>
      <c r="AC47" s="808">
        <v>0</v>
      </c>
      <c r="AD47" s="809"/>
      <c r="AE47" s="605" t="str">
        <f t="shared" si="26"/>
        <v xml:space="preserve">    ---- </v>
      </c>
      <c r="AF47" s="808">
        <v>195.655</v>
      </c>
      <c r="AG47" s="605">
        <v>641</v>
      </c>
      <c r="AH47" s="605">
        <f t="shared" si="22"/>
        <v>227.6</v>
      </c>
      <c r="AI47" s="808">
        <v>415</v>
      </c>
      <c r="AJ47" s="809">
        <f>199+196+43</f>
        <v>438</v>
      </c>
      <c r="AK47" s="605">
        <f t="shared" si="23"/>
        <v>5.5</v>
      </c>
      <c r="AL47" s="605">
        <f>'Tabell 5.1'!AL21+'Tabell 5.1'!AL33+'Tabell 5.1'!AL45+'Tabell 5.1'!AL57+'Tabell 5.1'!AL71+'Tabell 5.1'!AL83+'Tabell 5.1'!AL95+'Tabell 5.1'!AL107+'Tabell 5.2'!AL21+'Tabell 5.2'!AL33+'Tabell 5.2'!AL45+'Tabell 5.2'!AL57+'Tabell 5.2'!AL93+'Tabell 5.2'!AL105+'Tabell 5.2'!AL131+'Tabell 5.2'!AL143+AL21+AL33+'Tabell 5.2'!AL69+'Tabell 5.2'!AL81+'Tabell 5.2'!AL117</f>
        <v>4967.5560968488317</v>
      </c>
      <c r="AM47" s="605">
        <f>'Tabell 5.1'!AM21+'Tabell 5.1'!AM33+'Tabell 5.1'!AM45+'Tabell 5.1'!AM57+'Tabell 5.1'!AM71+'Tabell 5.1'!AM83+'Tabell 5.1'!AM95+'Tabell 5.1'!AM107+'Tabell 5.2'!AM21+'Tabell 5.2'!AM33+'Tabell 5.2'!AM45+'Tabell 5.2'!AM57+'Tabell 5.2'!AM93+'Tabell 5.2'!AM105+'Tabell 5.2'!AM131+'Tabell 5.2'!AM143+AM21+AM33+'Tabell 5.2'!AM69+'Tabell 5.2'!AM81+'Tabell 5.2'!AM117</f>
        <v>17649.467258450102</v>
      </c>
      <c r="AN47" s="605">
        <f t="shared" si="24"/>
        <v>255.3</v>
      </c>
      <c r="AO47" s="605">
        <f>'Tabell 5.1'!AO21+'Tabell 5.1'!AO33+'Tabell 5.1'!AO45+'Tabell 5.1'!AO57+'Tabell 5.1'!AO71+'Tabell 5.1'!AO83+'Tabell 5.1'!AO95+'Tabell 5.1'!AO107+'Tabell 5.2'!AO21+'Tabell 5.2'!AO33+'Tabell 5.2'!AO45+'Tabell 5.2'!AO57+'Tabell 5.2'!AO93+'Tabell 5.2'!AO105+'Tabell 5.2'!AO131+'Tabell 5.2'!AO143+AO21+AO33+'Tabell 5.2'!AO69+'Tabell 5.2'!AO81+'Tabell 5.2'!AO117</f>
        <v>4967.5560968488317</v>
      </c>
      <c r="AP47" s="605">
        <f>'Tabell 5.1'!AP21+'Tabell 5.1'!AP33+'Tabell 5.1'!AP45+'Tabell 5.1'!AP57+'Tabell 5.1'!AP71+'Tabell 5.1'!AP83+'Tabell 5.1'!AP95+'Tabell 5.1'!AP107+'Tabell 5.2'!AP21+'Tabell 5.2'!AP33+'Tabell 5.2'!AP45+'Tabell 5.2'!AP57+'Tabell 5.2'!AP93+'Tabell 5.2'!AP105+'Tabell 5.2'!AP131+'Tabell 5.2'!AP143+AP21+AP33+'Tabell 5.2'!AP69+'Tabell 5.2'!AP81+'Tabell 5.2'!AP117</f>
        <v>17649.467258450102</v>
      </c>
      <c r="AQ47" s="606">
        <f t="shared" si="25"/>
        <v>255.3</v>
      </c>
      <c r="AR47" s="636"/>
      <c r="AS47" s="589"/>
      <c r="AT47" s="584"/>
      <c r="AU47" s="584"/>
    </row>
    <row r="48" spans="1:47" s="607" customFormat="1" ht="18.75" customHeight="1" x14ac:dyDescent="0.3">
      <c r="A48" s="568" t="s">
        <v>383</v>
      </c>
      <c r="B48" s="832">
        <v>62.459000000000003</v>
      </c>
      <c r="C48" s="816">
        <v>162.179</v>
      </c>
      <c r="D48" s="619">
        <f t="shared" si="13"/>
        <v>159.69999999999999</v>
      </c>
      <c r="E48" s="832">
        <v>1081</v>
      </c>
      <c r="F48" s="816">
        <v>1219</v>
      </c>
      <c r="G48" s="619">
        <f t="shared" si="14"/>
        <v>12.8</v>
      </c>
      <c r="H48" s="620">
        <v>40.5</v>
      </c>
      <c r="I48" s="620">
        <f>'[2]Tabell 5.1'!I22+'[2]Tabell 5.1'!I34+'[2]Tabell 5.1'!I46+'[2]Tabell 5.1'!I58+'[2]Tabell 5.1'!I72+'[2]Tabell 5.1'!I84+'[2]Tabell 5.1'!I96+'[2]Tabell 5.1'!I108+'[2]Tabell 5.2'!I22+'[2]Tabell 5.2'!I34+'[2]Tabell 5.2'!I46+'[2]Tabell 5.2'!I58+'[2]Tabell 5.2'!I94+'[2]Tabell 5.2'!I106+'[2]Tabell 5.2'!I132+'[2]Tabell 5.2'!I144+I22+I34+'[2]Tabell 5.2'!I70+'[2]Tabell 5.2'!I82+'[2]Tabell 5.2'!I118</f>
        <v>158.03700000000001</v>
      </c>
      <c r="J48" s="619">
        <f t="shared" si="15"/>
        <v>290.2</v>
      </c>
      <c r="K48" s="812">
        <v>160.5</v>
      </c>
      <c r="L48" s="816">
        <v>192.6</v>
      </c>
      <c r="M48" s="619">
        <f t="shared" si="16"/>
        <v>20</v>
      </c>
      <c r="N48" s="812">
        <v>20.05260480364403</v>
      </c>
      <c r="O48" s="816">
        <v>5.7720120700606206</v>
      </c>
      <c r="P48" s="619">
        <f t="shared" si="17"/>
        <v>-71.2</v>
      </c>
      <c r="Q48" s="812">
        <v>1315.698046240763</v>
      </c>
      <c r="R48" s="620">
        <f>'Tabell 5.1'!R22+'Tabell 5.1'!R34+'Tabell 5.1'!R46+'Tabell 5.1'!R58+'Tabell 5.1'!R72+'Tabell 5.1'!R84+'Tabell 5.1'!R96+'Tabell 5.1'!R108+'Tabell 5.2'!R22+'Tabell 5.2'!R34+'Tabell 5.2'!R46+'Tabell 5.2'!R58+'Tabell 5.2'!R94+'Tabell 5.2'!R106+'Tabell 5.2'!R132+'Tabell 5.2'!R144+R22+R34+'Tabell 5.2'!R70+'Tabell 5.2'!R82+'Tabell 5.2'!R118</f>
        <v>0</v>
      </c>
      <c r="S48" s="619">
        <f t="shared" si="18"/>
        <v>-100</v>
      </c>
      <c r="T48" s="812">
        <v>-21</v>
      </c>
      <c r="U48" s="816">
        <v>-27</v>
      </c>
      <c r="V48" s="619">
        <f t="shared" si="19"/>
        <v>28.6</v>
      </c>
      <c r="W48" s="812">
        <v>580.34862215090436</v>
      </c>
      <c r="X48" s="816">
        <v>618.16279297018752</v>
      </c>
      <c r="Y48" s="619">
        <f t="shared" si="20"/>
        <v>6.5</v>
      </c>
      <c r="Z48" s="812">
        <v>791</v>
      </c>
      <c r="AA48" s="816">
        <v>1019</v>
      </c>
      <c r="AB48" s="619">
        <f t="shared" si="21"/>
        <v>28.8</v>
      </c>
      <c r="AC48" s="812">
        <v>13.8171559488258</v>
      </c>
      <c r="AD48" s="816">
        <v>12.386465282550729</v>
      </c>
      <c r="AE48" s="619">
        <f t="shared" si="26"/>
        <v>-10.4</v>
      </c>
      <c r="AF48" s="812">
        <v>544.20400000000018</v>
      </c>
      <c r="AG48" s="620">
        <v>375</v>
      </c>
      <c r="AH48" s="619">
        <f t="shared" si="22"/>
        <v>-31.1</v>
      </c>
      <c r="AI48" s="812">
        <v>1575.7</v>
      </c>
      <c r="AJ48" s="816">
        <v>1180</v>
      </c>
      <c r="AK48" s="619">
        <f t="shared" si="23"/>
        <v>-25.1</v>
      </c>
      <c r="AL48" s="620">
        <f>'Tabell 5.1'!AL22+'Tabell 5.1'!AL34+'Tabell 5.1'!AL46+'Tabell 5.1'!AL58+'Tabell 5.1'!AL72+'Tabell 5.1'!AL84+'Tabell 5.1'!AL96+'Tabell 5.1'!AL108+'Tabell 5.2'!AL22+'Tabell 5.2'!AL34+'Tabell 5.2'!AL46+'Tabell 5.2'!AL58+'Tabell 5.2'!AL94+'Tabell 5.2'!AL106+'Tabell 5.2'!AL132+'Tabell 5.2'!AL144+AL22+AL34+'Tabell 5.2'!AL70+'Tabell 5.2'!AL82+'Tabell 5.2'!AL118</f>
        <v>6235.2896683916661</v>
      </c>
      <c r="AM48" s="620">
        <f>'Tabell 5.1'!AM22+'Tabell 5.1'!AM34+'Tabell 5.1'!AM46+'Tabell 5.1'!AM58+'Tabell 5.1'!AM72+'Tabell 5.1'!AM84+'Tabell 5.1'!AM96+'Tabell 5.1'!AM108+'Tabell 5.2'!AM22+'Tabell 5.2'!AM34+'Tabell 5.2'!AM46+'Tabell 5.2'!AM58+'Tabell 5.2'!AM94+'Tabell 5.2'!AM106+'Tabell 5.2'!AM132+'Tabell 5.2'!AM144+AM22+AM34+'Tabell 5.2'!AM70+'Tabell 5.2'!AM82+'Tabell 5.2'!AM118</f>
        <v>4919.1523226532627</v>
      </c>
      <c r="AN48" s="619">
        <f t="shared" si="24"/>
        <v>-21.1</v>
      </c>
      <c r="AO48" s="620">
        <f>'Tabell 5.1'!AO22+'Tabell 5.1'!AO34+'Tabell 5.1'!AO46+'Tabell 5.1'!AO58+'Tabell 5.1'!AO72+'Tabell 5.1'!AO84+'Tabell 5.1'!AO96+'Tabell 5.1'!AO108+'Tabell 5.2'!AO22+'Tabell 5.2'!AO34+'Tabell 5.2'!AO46+'Tabell 5.2'!AO58+'Tabell 5.2'!AO94+'Tabell 5.2'!AO106+'Tabell 5.2'!AO132+'Tabell 5.2'!AO144+AO22+AO34+'Tabell 5.2'!AO70+'Tabell 5.2'!AO82+'Tabell 5.2'!AO118</f>
        <v>6269.1594291441361</v>
      </c>
      <c r="AP48" s="620">
        <f>'Tabell 5.1'!AP22+'Tabell 5.1'!AP34+'Tabell 5.1'!AP46+'Tabell 5.1'!AP58+'Tabell 5.1'!AP72+'Tabell 5.1'!AP84+'Tabell 5.1'!AP96+'Tabell 5.1'!AP108+'Tabell 5.2'!AP22+'Tabell 5.2'!AP34+'Tabell 5.2'!AP46+'Tabell 5.2'!AP58+'Tabell 5.2'!AP94+'Tabell 5.2'!AP106+'Tabell 5.2'!AP132+'Tabell 5.2'!AP144+AP22+AP34+'Tabell 5.2'!AP70+'Tabell 5.2'!AP82+'Tabell 5.2'!AP118</f>
        <v>4937.3186547243422</v>
      </c>
      <c r="AQ48" s="620">
        <f t="shared" si="25"/>
        <v>-21.2</v>
      </c>
      <c r="AR48" s="636"/>
      <c r="AS48" s="589"/>
      <c r="AT48" s="584"/>
      <c r="AU48" s="584"/>
    </row>
    <row r="49" spans="1:47" s="622" customFormat="1" ht="18.75" customHeight="1" x14ac:dyDescent="0.3">
      <c r="A49" s="584" t="s">
        <v>257</v>
      </c>
      <c r="B49" s="529"/>
      <c r="C49" s="621"/>
      <c r="D49" s="621"/>
      <c r="E49" s="621"/>
      <c r="F49" s="621"/>
      <c r="G49" s="621"/>
      <c r="H49" s="589"/>
      <c r="I49" s="584"/>
      <c r="J49" s="584"/>
      <c r="L49" s="584"/>
      <c r="M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4"/>
      <c r="AL49" s="584"/>
      <c r="AM49" s="584"/>
      <c r="AN49" s="584"/>
      <c r="AO49" s="589"/>
      <c r="AP49" s="589"/>
      <c r="AQ49" s="589"/>
      <c r="AR49" s="623"/>
      <c r="AS49" s="624"/>
      <c r="AT49" s="623"/>
      <c r="AU49" s="623"/>
    </row>
    <row r="50" spans="1:47" s="622" customFormat="1" ht="18.75" x14ac:dyDescent="0.3">
      <c r="A50" s="623"/>
      <c r="B50" s="621"/>
      <c r="C50" s="621"/>
      <c r="D50" s="621"/>
      <c r="E50" s="621"/>
      <c r="F50" s="621"/>
      <c r="G50" s="621"/>
      <c r="H50" s="624"/>
      <c r="I50" s="623"/>
      <c r="J50" s="623"/>
      <c r="K50" s="623"/>
      <c r="L50" s="623"/>
      <c r="M50" s="623"/>
      <c r="N50" s="623"/>
      <c r="O50" s="623"/>
      <c r="P50" s="623"/>
      <c r="Q50" s="623"/>
      <c r="R50" s="623"/>
      <c r="S50" s="623"/>
      <c r="T50" s="623"/>
      <c r="U50" s="623"/>
      <c r="V50" s="623"/>
      <c r="W50" s="623"/>
      <c r="X50" s="623"/>
      <c r="Y50" s="623"/>
      <c r="Z50" s="623"/>
      <c r="AA50" s="623"/>
      <c r="AB50" s="623"/>
      <c r="AC50" s="623"/>
      <c r="AD50" s="623"/>
      <c r="AE50" s="623"/>
      <c r="AF50" s="623"/>
      <c r="AG50" s="623"/>
      <c r="AH50" s="623"/>
      <c r="AI50" s="623"/>
      <c r="AJ50" s="623"/>
      <c r="AK50" s="623"/>
      <c r="AL50" s="623"/>
      <c r="AM50" s="623"/>
      <c r="AN50" s="623"/>
      <c r="AO50" s="623"/>
      <c r="AP50" s="623"/>
      <c r="AQ50" s="623"/>
      <c r="AR50" s="623"/>
      <c r="AS50" s="624"/>
      <c r="AT50" s="623"/>
      <c r="AU50" s="623"/>
    </row>
    <row r="51" spans="1:47" s="622" customFormat="1" ht="18.75" x14ac:dyDescent="0.3">
      <c r="A51" s="623"/>
      <c r="B51" s="638"/>
      <c r="C51" s="621"/>
      <c r="D51" s="621"/>
      <c r="E51" s="621"/>
      <c r="F51" s="621"/>
      <c r="G51" s="621"/>
      <c r="H51" s="624"/>
      <c r="I51" s="623"/>
      <c r="J51" s="623"/>
      <c r="K51" s="623"/>
      <c r="L51" s="623"/>
      <c r="M51" s="623"/>
      <c r="N51" s="623"/>
      <c r="O51" s="623"/>
      <c r="P51" s="623"/>
      <c r="Q51" s="623"/>
      <c r="R51" s="623"/>
      <c r="S51" s="623"/>
      <c r="T51" s="623"/>
      <c r="U51" s="623"/>
      <c r="V51" s="623"/>
      <c r="W51" s="623"/>
      <c r="X51" s="623"/>
      <c r="Y51" s="623"/>
      <c r="Z51" s="623"/>
      <c r="AA51" s="623"/>
      <c r="AB51" s="623"/>
      <c r="AC51" s="623"/>
      <c r="AD51" s="623"/>
      <c r="AE51" s="623"/>
      <c r="AF51" s="623"/>
      <c r="AG51" s="623"/>
      <c r="AH51" s="623"/>
      <c r="AI51" s="623"/>
      <c r="AJ51" s="623"/>
      <c r="AK51" s="623"/>
      <c r="AL51" s="623"/>
      <c r="AM51" s="623"/>
      <c r="AN51" s="623"/>
      <c r="AO51" s="623"/>
      <c r="AP51" s="623"/>
      <c r="AQ51" s="623"/>
      <c r="AR51" s="623"/>
      <c r="AS51" s="624"/>
      <c r="AT51" s="623"/>
      <c r="AU51" s="623"/>
    </row>
    <row r="52" spans="1:47" s="622" customFormat="1" ht="18.75" x14ac:dyDescent="0.3">
      <c r="A52" s="623"/>
      <c r="B52" s="621"/>
      <c r="C52" s="621"/>
      <c r="D52" s="621"/>
      <c r="E52" s="621"/>
      <c r="F52" s="621"/>
      <c r="G52" s="621"/>
      <c r="H52" s="627"/>
      <c r="AS52" s="627"/>
    </row>
    <row r="53" spans="1:47" s="622" customFormat="1" ht="18.75" x14ac:dyDescent="0.3">
      <c r="A53" s="623"/>
      <c r="Q53" s="639"/>
      <c r="R53" s="639"/>
      <c r="AS53" s="627"/>
    </row>
    <row r="54" spans="1:47" s="622" customFormat="1" ht="18.75" x14ac:dyDescent="0.3">
      <c r="A54" s="623"/>
      <c r="Q54" s="639"/>
      <c r="R54" s="639"/>
      <c r="AS54" s="627"/>
    </row>
    <row r="55" spans="1:47" s="622" customFormat="1" ht="18.75" x14ac:dyDescent="0.3">
      <c r="A55" s="623"/>
      <c r="Q55" s="639"/>
      <c r="R55" s="639"/>
      <c r="AS55" s="627"/>
    </row>
    <row r="56" spans="1:47" ht="18.75" x14ac:dyDescent="0.3">
      <c r="A56" s="584"/>
      <c r="Q56" s="607"/>
      <c r="R56" s="607"/>
      <c r="AS56" s="629"/>
    </row>
    <row r="57" spans="1:47" ht="18.75" x14ac:dyDescent="0.3">
      <c r="A57" s="584"/>
      <c r="Q57" s="607"/>
      <c r="R57" s="607"/>
      <c r="AS57" s="629"/>
    </row>
    <row r="58" spans="1:47" ht="18.75" x14ac:dyDescent="0.3">
      <c r="A58" s="584"/>
      <c r="Q58" s="607"/>
      <c r="R58" s="607"/>
      <c r="AS58" s="629"/>
    </row>
    <row r="59" spans="1:47" ht="18.75" x14ac:dyDescent="0.3">
      <c r="A59" s="584"/>
      <c r="Q59" s="607"/>
      <c r="R59" s="607"/>
      <c r="AS59" s="629"/>
    </row>
    <row r="60" spans="1:47" ht="18.75" x14ac:dyDescent="0.3">
      <c r="A60" s="584"/>
      <c r="Q60" s="607"/>
      <c r="R60" s="607"/>
      <c r="AS60" s="629"/>
    </row>
    <row r="61" spans="1:47" ht="18.75" x14ac:dyDescent="0.3">
      <c r="A61" s="584"/>
      <c r="Q61" s="607"/>
      <c r="R61" s="607"/>
      <c r="AS61" s="629"/>
    </row>
    <row r="62" spans="1:47" ht="18.75" x14ac:dyDescent="0.3">
      <c r="A62" s="584"/>
      <c r="Q62" s="607"/>
      <c r="R62" s="607"/>
      <c r="AS62" s="629"/>
    </row>
    <row r="63" spans="1:47" ht="18.75" x14ac:dyDescent="0.3">
      <c r="A63" s="584"/>
      <c r="Q63" s="607"/>
      <c r="R63" s="607"/>
      <c r="AS63" s="629"/>
    </row>
    <row r="64" spans="1:47" ht="18.75" x14ac:dyDescent="0.3">
      <c r="A64" s="584"/>
      <c r="Q64" s="607"/>
      <c r="R64" s="607"/>
      <c r="AS64" s="629"/>
    </row>
    <row r="65" spans="1:45" ht="18.75" x14ac:dyDescent="0.3">
      <c r="A65" s="584"/>
      <c r="Q65" s="607"/>
      <c r="R65" s="607"/>
      <c r="AS65" s="629"/>
    </row>
    <row r="66" spans="1:45" ht="18.75" x14ac:dyDescent="0.3">
      <c r="A66" s="584"/>
      <c r="Q66" s="607"/>
      <c r="R66" s="607"/>
      <c r="AS66" s="629"/>
    </row>
    <row r="67" spans="1:45" ht="18.75" x14ac:dyDescent="0.3">
      <c r="A67" s="584"/>
      <c r="Q67" s="607"/>
      <c r="R67" s="607"/>
      <c r="AS67" s="629"/>
    </row>
    <row r="68" spans="1:45" ht="18.75" x14ac:dyDescent="0.3">
      <c r="A68" s="584"/>
      <c r="Q68" s="607"/>
      <c r="R68" s="607"/>
      <c r="AS68" s="629"/>
    </row>
    <row r="69" spans="1:45" ht="18.75" x14ac:dyDescent="0.3">
      <c r="A69" s="584"/>
      <c r="Q69" s="607"/>
      <c r="R69" s="607"/>
      <c r="AS69" s="629"/>
    </row>
    <row r="70" spans="1:45" ht="18.75" x14ac:dyDescent="0.3">
      <c r="A70" s="584"/>
      <c r="Q70" s="607"/>
      <c r="R70" s="607"/>
      <c r="AS70" s="629"/>
    </row>
    <row r="71" spans="1:45" ht="18.75" x14ac:dyDescent="0.3">
      <c r="A71" s="584"/>
      <c r="Q71" s="607"/>
      <c r="R71" s="607"/>
      <c r="AS71" s="629"/>
    </row>
    <row r="72" spans="1:45" ht="18.75" x14ac:dyDescent="0.3">
      <c r="A72" s="584"/>
      <c r="Q72" s="607"/>
      <c r="R72" s="607"/>
      <c r="AS72" s="629"/>
    </row>
    <row r="73" spans="1:45" ht="18.75" x14ac:dyDescent="0.3">
      <c r="A73" s="584"/>
      <c r="Q73" s="607"/>
      <c r="R73" s="607"/>
      <c r="AS73" s="629"/>
    </row>
    <row r="74" spans="1:45" ht="18.75" x14ac:dyDescent="0.3">
      <c r="A74" s="584"/>
      <c r="Q74" s="607"/>
      <c r="R74" s="607"/>
      <c r="AS74" s="629"/>
    </row>
    <row r="75" spans="1:45" ht="18.75" x14ac:dyDescent="0.3">
      <c r="A75" s="584"/>
      <c r="Q75" s="607"/>
      <c r="R75" s="607"/>
      <c r="AS75" s="629"/>
    </row>
    <row r="76" spans="1:45" ht="18.75" x14ac:dyDescent="0.3">
      <c r="A76" s="584"/>
      <c r="Q76" s="607"/>
      <c r="R76" s="607"/>
      <c r="AS76" s="629"/>
    </row>
    <row r="77" spans="1:45" ht="18.75" x14ac:dyDescent="0.3">
      <c r="A77" s="584"/>
      <c r="Q77" s="607"/>
      <c r="R77" s="607"/>
      <c r="AS77" s="629"/>
    </row>
    <row r="78" spans="1:45" ht="18.75" x14ac:dyDescent="0.3">
      <c r="A78" s="584"/>
      <c r="Q78" s="607"/>
      <c r="R78" s="607"/>
      <c r="AS78" s="629"/>
    </row>
    <row r="79" spans="1:45" ht="18.75" x14ac:dyDescent="0.3">
      <c r="A79" s="584"/>
      <c r="Q79" s="607"/>
      <c r="R79" s="607"/>
      <c r="AS79" s="629"/>
    </row>
    <row r="80" spans="1:45" ht="18.75" x14ac:dyDescent="0.3">
      <c r="A80" s="584"/>
      <c r="Q80" s="607"/>
      <c r="R80" s="607"/>
      <c r="AS80" s="629"/>
    </row>
    <row r="81" spans="1:45" ht="18.75" x14ac:dyDescent="0.3">
      <c r="A81" s="584"/>
      <c r="Q81" s="607"/>
      <c r="R81" s="607"/>
      <c r="AS81" s="629"/>
    </row>
    <row r="82" spans="1:45" ht="18.75" x14ac:dyDescent="0.3">
      <c r="A82" s="584"/>
      <c r="Q82" s="607"/>
      <c r="R82" s="607"/>
      <c r="AS82" s="629"/>
    </row>
    <row r="83" spans="1:45" ht="18.75" x14ac:dyDescent="0.3">
      <c r="A83" s="584"/>
      <c r="Q83" s="607"/>
      <c r="R83" s="607"/>
      <c r="AS83" s="629"/>
    </row>
    <row r="84" spans="1:45" ht="18.75" x14ac:dyDescent="0.3">
      <c r="A84" s="584"/>
      <c r="Q84" s="607"/>
      <c r="R84" s="607"/>
      <c r="AS84" s="629"/>
    </row>
    <row r="85" spans="1:45" ht="18.75" x14ac:dyDescent="0.3">
      <c r="A85" s="584"/>
      <c r="Q85" s="607"/>
      <c r="R85" s="607"/>
      <c r="AS85" s="629"/>
    </row>
    <row r="86" spans="1:45" ht="18.75" x14ac:dyDescent="0.3">
      <c r="A86" s="584"/>
      <c r="Q86" s="607"/>
      <c r="R86" s="607"/>
      <c r="AS86" s="629"/>
    </row>
    <row r="87" spans="1:45" ht="18.75" x14ac:dyDescent="0.3">
      <c r="A87" s="584"/>
      <c r="Q87" s="607"/>
      <c r="R87" s="607"/>
      <c r="AS87" s="629"/>
    </row>
    <row r="88" spans="1:45" ht="18.75" x14ac:dyDescent="0.3">
      <c r="A88" s="584"/>
      <c r="Q88" s="607"/>
      <c r="R88" s="607"/>
      <c r="AS88" s="629"/>
    </row>
    <row r="89" spans="1:45" ht="18.75" x14ac:dyDescent="0.3">
      <c r="A89" s="584"/>
      <c r="Q89" s="607"/>
      <c r="R89" s="607"/>
      <c r="AS89" s="629"/>
    </row>
    <row r="90" spans="1:45" ht="18.75" x14ac:dyDescent="0.3">
      <c r="A90" s="584"/>
      <c r="Q90" s="607"/>
      <c r="R90" s="607"/>
      <c r="AS90" s="629"/>
    </row>
    <row r="91" spans="1:45" ht="18.75" x14ac:dyDescent="0.3">
      <c r="A91" s="584"/>
      <c r="Q91" s="607"/>
      <c r="R91" s="607"/>
      <c r="AS91" s="629"/>
    </row>
    <row r="92" spans="1:45" ht="18.75" x14ac:dyDescent="0.3">
      <c r="A92" s="584"/>
      <c r="Q92" s="607"/>
      <c r="R92" s="607"/>
      <c r="AS92" s="629"/>
    </row>
    <row r="93" spans="1:45" ht="18.75" x14ac:dyDescent="0.3">
      <c r="A93" s="584"/>
      <c r="Q93" s="607"/>
      <c r="R93" s="607"/>
      <c r="AS93" s="629"/>
    </row>
    <row r="94" spans="1:45" ht="18.75" x14ac:dyDescent="0.3">
      <c r="A94" s="584"/>
      <c r="Q94" s="607"/>
      <c r="R94" s="607"/>
      <c r="AS94" s="629"/>
    </row>
    <row r="95" spans="1:45" ht="18.75" x14ac:dyDescent="0.3">
      <c r="A95" s="584"/>
      <c r="Q95" s="607"/>
      <c r="R95" s="607"/>
      <c r="AS95" s="629"/>
    </row>
    <row r="96" spans="1:45" ht="18.75" x14ac:dyDescent="0.3">
      <c r="A96" s="584"/>
      <c r="Q96" s="607"/>
      <c r="R96" s="607"/>
      <c r="AS96" s="629"/>
    </row>
    <row r="97" spans="1:45" ht="18.75" x14ac:dyDescent="0.3">
      <c r="A97" s="584"/>
      <c r="Q97" s="607"/>
      <c r="R97" s="607"/>
      <c r="AS97" s="629"/>
    </row>
    <row r="98" spans="1:45" ht="18.75" x14ac:dyDescent="0.3">
      <c r="A98" s="584"/>
      <c r="Q98" s="607"/>
      <c r="R98" s="607"/>
      <c r="AS98" s="629"/>
    </row>
    <row r="99" spans="1:45" ht="18.75" x14ac:dyDescent="0.3">
      <c r="A99" s="584"/>
      <c r="Q99" s="607"/>
      <c r="R99" s="607"/>
      <c r="AS99" s="629"/>
    </row>
    <row r="100" spans="1:45" ht="18.75" x14ac:dyDescent="0.3">
      <c r="A100" s="584"/>
      <c r="E100" s="585">
        <v>0</v>
      </c>
      <c r="Q100" s="607">
        <v>8021.1680385597992</v>
      </c>
      <c r="R100" s="607"/>
      <c r="AS100" s="629"/>
    </row>
    <row r="101" spans="1:45" ht="18.75" x14ac:dyDescent="0.3">
      <c r="A101" s="584"/>
      <c r="E101" s="585">
        <v>0</v>
      </c>
      <c r="Q101" s="607">
        <v>4.3610605525112156</v>
      </c>
      <c r="R101" s="607"/>
      <c r="AS101" s="629"/>
    </row>
    <row r="102" spans="1:45" ht="18.75" x14ac:dyDescent="0.3">
      <c r="A102" s="584"/>
      <c r="E102" s="585">
        <v>-10.638999999999999</v>
      </c>
      <c r="Q102" s="607">
        <v>-49.179410697877408</v>
      </c>
      <c r="R102" s="607"/>
      <c r="AS102" s="629"/>
    </row>
    <row r="103" spans="1:45" ht="18.75" x14ac:dyDescent="0.3">
      <c r="A103" s="584"/>
      <c r="E103" s="585">
        <v>0.87009999999999998</v>
      </c>
      <c r="Q103" s="607"/>
      <c r="R103" s="607"/>
      <c r="AS103" s="629"/>
    </row>
    <row r="104" spans="1:45" ht="18.75" x14ac:dyDescent="0.3">
      <c r="A104" s="584"/>
      <c r="E104" s="585">
        <v>4.2350000000000003</v>
      </c>
      <c r="Q104" s="607">
        <v>683.36542899999995</v>
      </c>
      <c r="R104" s="607"/>
      <c r="AS104" s="629"/>
    </row>
    <row r="105" spans="1:45" ht="18.75" x14ac:dyDescent="0.3">
      <c r="A105" s="584"/>
      <c r="E105" s="585">
        <v>27.494</v>
      </c>
      <c r="Q105" s="607">
        <v>784.80863243128704</v>
      </c>
      <c r="R105" s="607"/>
      <c r="AS105" s="629"/>
    </row>
    <row r="106" spans="1:45" ht="18.75" x14ac:dyDescent="0.3">
      <c r="A106" s="584"/>
      <c r="Q106" s="607">
        <v>392.40431699999999</v>
      </c>
      <c r="R106" s="607"/>
      <c r="AS106" s="629"/>
    </row>
    <row r="107" spans="1:45" ht="18.75" x14ac:dyDescent="0.3">
      <c r="A107" s="584"/>
      <c r="Q107" s="607"/>
      <c r="R107" s="607"/>
      <c r="AS107" s="629"/>
    </row>
    <row r="108" spans="1:45" ht="18.75" x14ac:dyDescent="0.3">
      <c r="A108" s="584"/>
      <c r="E108" s="585">
        <v>21.960100000000001</v>
      </c>
      <c r="Q108" s="607">
        <v>9444.5237498457191</v>
      </c>
      <c r="R108" s="607"/>
      <c r="AS108" s="629"/>
    </row>
    <row r="109" spans="1:45" ht="18.75" x14ac:dyDescent="0.3">
      <c r="A109" s="584"/>
      <c r="E109" s="585">
        <v>13.747</v>
      </c>
      <c r="Q109" s="607">
        <v>8266.1340353077503</v>
      </c>
      <c r="R109" s="607"/>
      <c r="AS109" s="629"/>
    </row>
    <row r="110" spans="1:45" ht="18.75" x14ac:dyDescent="0.3">
      <c r="A110" s="584"/>
      <c r="E110" s="585">
        <v>8.2140000000000004</v>
      </c>
      <c r="Q110" s="607">
        <v>1178.3897145379706</v>
      </c>
      <c r="R110" s="607"/>
      <c r="AS110" s="629"/>
    </row>
    <row r="111" spans="1:45" ht="18.75" x14ac:dyDescent="0.3">
      <c r="A111" s="584"/>
      <c r="Q111" s="607"/>
      <c r="R111" s="607"/>
      <c r="AS111" s="629"/>
    </row>
    <row r="112" spans="1:45" ht="18.75" x14ac:dyDescent="0.3">
      <c r="A112" s="584"/>
      <c r="Q112" s="607">
        <v>75.069982449999998</v>
      </c>
      <c r="R112" s="607"/>
      <c r="AS112" s="629"/>
    </row>
    <row r="113" spans="1:45" ht="18.75" x14ac:dyDescent="0.3">
      <c r="A113" s="584"/>
      <c r="Q113" s="607">
        <v>-5.1040498539805413E-7</v>
      </c>
      <c r="R113" s="607"/>
      <c r="AS113" s="629"/>
    </row>
    <row r="114" spans="1:45" ht="18.75" x14ac:dyDescent="0.3">
      <c r="A114" s="584"/>
      <c r="Q114" s="607">
        <v>0.52398130088905714</v>
      </c>
      <c r="R114" s="607"/>
      <c r="AS114" s="629"/>
    </row>
    <row r="115" spans="1:45" ht="18.75" x14ac:dyDescent="0.3">
      <c r="A115" s="584"/>
      <c r="Q115" s="607"/>
      <c r="R115" s="607"/>
      <c r="AS115" s="629"/>
    </row>
    <row r="116" spans="1:45" ht="18.75" x14ac:dyDescent="0.3">
      <c r="A116" s="584"/>
      <c r="Q116" s="607">
        <v>6.8000999999999996</v>
      </c>
      <c r="R116" s="607"/>
      <c r="AS116" s="629"/>
    </row>
    <row r="117" spans="1:45" ht="18.75" x14ac:dyDescent="0.3">
      <c r="A117" s="584"/>
      <c r="Q117" s="607">
        <v>3.4650685687130585</v>
      </c>
      <c r="R117" s="607"/>
      <c r="AS117" s="629"/>
    </row>
    <row r="118" spans="1:45" ht="18.75" x14ac:dyDescent="0.3">
      <c r="A118" s="584"/>
      <c r="Q118" s="607">
        <v>1.732534</v>
      </c>
      <c r="R118" s="607"/>
      <c r="AS118" s="629"/>
    </row>
    <row r="119" spans="1:45" ht="18.75" x14ac:dyDescent="0.3">
      <c r="A119" s="584"/>
      <c r="Q119" s="607"/>
      <c r="R119" s="607"/>
      <c r="AS119" s="629"/>
    </row>
    <row r="120" spans="1:45" ht="18.75" x14ac:dyDescent="0.3">
      <c r="A120" s="584"/>
      <c r="Q120" s="607">
        <v>85.859131809197137</v>
      </c>
      <c r="R120" s="607"/>
      <c r="AS120" s="629"/>
    </row>
    <row r="121" spans="1:45" ht="18.75" x14ac:dyDescent="0.3">
      <c r="A121" s="584"/>
      <c r="Q121" s="607">
        <v>76.802516734356502</v>
      </c>
      <c r="R121" s="607"/>
    </row>
    <row r="122" spans="1:45" ht="18.75" x14ac:dyDescent="0.3">
      <c r="A122" s="584"/>
      <c r="Q122" s="607">
        <v>9.0566150748406198</v>
      </c>
      <c r="R122" s="607"/>
    </row>
    <row r="123" spans="1:45" ht="18.75" x14ac:dyDescent="0.3">
      <c r="A123" s="584"/>
    </row>
    <row r="124" spans="1:45" ht="18.75" x14ac:dyDescent="0.3">
      <c r="A124" s="584"/>
    </row>
    <row r="125" spans="1:45" ht="18.75" x14ac:dyDescent="0.3">
      <c r="A125" s="584"/>
    </row>
    <row r="126" spans="1:45" ht="18.75" x14ac:dyDescent="0.3">
      <c r="A126" s="584"/>
    </row>
    <row r="127" spans="1:45" ht="18.75" x14ac:dyDescent="0.3">
      <c r="A127" s="584"/>
    </row>
    <row r="128" spans="1:45" ht="18.75" x14ac:dyDescent="0.3">
      <c r="A128" s="584"/>
    </row>
    <row r="129" spans="1:1" ht="18.75" x14ac:dyDescent="0.3">
      <c r="A129" s="584"/>
    </row>
    <row r="130" spans="1:1" ht="18.75" x14ac:dyDescent="0.3">
      <c r="A130" s="584"/>
    </row>
  </sheetData>
  <mergeCells count="25">
    <mergeCell ref="AL7:AN7"/>
    <mergeCell ref="AO7:AQ7"/>
    <mergeCell ref="T7:V7"/>
    <mergeCell ref="W7:Y7"/>
    <mergeCell ref="Z7:AB7"/>
    <mergeCell ref="AC7:AE7"/>
    <mergeCell ref="AF7:AH7"/>
    <mergeCell ref="B7:D7"/>
    <mergeCell ref="E7:G7"/>
    <mergeCell ref="H7:J7"/>
    <mergeCell ref="K7:M7"/>
    <mergeCell ref="N7:P7"/>
    <mergeCell ref="Q7:S7"/>
    <mergeCell ref="Z6:AB6"/>
    <mergeCell ref="AF6:AH6"/>
    <mergeCell ref="AI6:AK6"/>
    <mergeCell ref="AI7:AK7"/>
    <mergeCell ref="AL6:AN6"/>
    <mergeCell ref="AO6:AQ6"/>
    <mergeCell ref="B6:D6"/>
    <mergeCell ref="E6:G6"/>
    <mergeCell ref="H6:J6"/>
    <mergeCell ref="K6:M6"/>
    <mergeCell ref="N6:P6"/>
    <mergeCell ref="T6:V6"/>
  </mergeCells>
  <conditionalFormatting sqref="AI20:AJ20 AF20:AG20 K20:L20 B20:C20 Z20:AA20 W20:X20 E20:F20 H20:I20 N20:O20 AC20:AD20 T20:U20 Q20:R20">
    <cfRule type="expression" dxfId="52" priority="1518">
      <formula>#REF!="20≠12+13+14+15+16+17+19"</formula>
    </cfRule>
    <cfRule type="expression" dxfId="51" priority="1519">
      <formula>#REF!="20≠21+22"</formula>
    </cfRule>
  </conditionalFormatting>
  <conditionalFormatting sqref="K32:L32 B32:C32 Z32:AA32 AI32:AJ32 W32:X32 E32:F32 H32:I32 N32:O32 AC32:AD32 T32:U32 AF32:AG32 Q32:R32">
    <cfRule type="expression" dxfId="50" priority="1524">
      <formula>#REF!="32≠24+25+26+27+28+29+31"</formula>
    </cfRule>
  </conditionalFormatting>
  <conditionalFormatting sqref="K32:L32 B32:C32 Z32:AA32 AI32:AJ32 W32:X32 E32:F32 H32:I32 N32:O32 AC32:AD32 T32:U32 AF32:AG32 Q32:R32">
    <cfRule type="expression" dxfId="49" priority="1525">
      <formula>#REF!="32≠33+34"</formula>
    </cfRule>
  </conditionalFormatting>
  <conditionalFormatting sqref="B46:C46 E46:F46 H46:I46 K46:L46 N46:O46 W46:X46 Z46:AA46 AI46:AJ46 AC46:AD46 T46:U46 AF46 Q46:R46">
    <cfRule type="expression" dxfId="48" priority="1530">
      <formula>#REF!="46≠47+48"</formula>
    </cfRule>
  </conditionalFormatting>
  <conditionalFormatting sqref="B46:C46 E46:F46 H46:I46 K46:L46 N46:O46 W46:X46 Z46:AA46 AI46:AJ46 AC46:AD46 T46:U46 AF46 Q46:R46">
    <cfRule type="expression" dxfId="47" priority="1531">
      <formula>#REF!="46≠38+39+40+41+42+43+45"</formula>
    </cfRule>
  </conditionalFormatting>
  <hyperlinks>
    <hyperlink ref="B1" location="Innhold!A1" display="Tilbake" xr:uid="{00000000-0004-0000-2100-000000000000}"/>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4"/>
  <dimension ref="A1:BH131"/>
  <sheetViews>
    <sheetView showGridLines="0" zoomScale="70" zoomScaleNormal="70" workbookViewId="0">
      <pane xSplit="1" ySplit="8" topLeftCell="B9" activePane="bottomRight" state="frozen"/>
      <selection activeCell="AU39" sqref="AU39"/>
      <selection pane="topRight" activeCell="AU39" sqref="AU39"/>
      <selection pane="bottomLeft" activeCell="AU39" sqref="AU39"/>
      <selection pane="bottomRight" activeCell="Q20" sqref="Q20"/>
    </sheetView>
  </sheetViews>
  <sheetFormatPr baseColWidth="10" defaultColWidth="11.42578125" defaultRowHeight="12.75" x14ac:dyDescent="0.2"/>
  <cols>
    <col min="1" max="1" width="106.7109375" style="414" customWidth="1"/>
    <col min="2" max="37" width="11.7109375" style="414" customWidth="1"/>
    <col min="38" max="38" width="15.140625" style="414" customWidth="1"/>
    <col min="39" max="39" width="13" style="414" customWidth="1"/>
    <col min="40" max="40" width="11.7109375" style="414" customWidth="1"/>
    <col min="41" max="42" width="13" style="414" customWidth="1"/>
    <col min="43" max="43" width="11.7109375" style="414" customWidth="1"/>
    <col min="44" max="16384" width="11.42578125" style="414"/>
  </cols>
  <sheetData>
    <row r="1" spans="1:60" ht="20.25" customHeight="1" x14ac:dyDescent="0.3">
      <c r="A1" s="419" t="s">
        <v>176</v>
      </c>
      <c r="B1" s="420" t="s">
        <v>52</v>
      </c>
      <c r="C1" s="421"/>
      <c r="D1" s="421"/>
      <c r="E1" s="421"/>
      <c r="F1" s="421"/>
      <c r="G1" s="421"/>
      <c r="H1" s="421"/>
      <c r="I1" s="421"/>
      <c r="J1" s="421"/>
      <c r="AR1" s="422"/>
    </row>
    <row r="2" spans="1:60" ht="20.100000000000001" customHeight="1" x14ac:dyDescent="0.3">
      <c r="A2" s="419" t="s">
        <v>177</v>
      </c>
      <c r="AR2" s="422"/>
    </row>
    <row r="3" spans="1:60" ht="20.100000000000001" customHeight="1" x14ac:dyDescent="0.3">
      <c r="A3" s="423" t="s">
        <v>178</v>
      </c>
      <c r="B3" s="424"/>
      <c r="C3" s="424"/>
      <c r="D3" s="424"/>
      <c r="E3" s="424"/>
      <c r="F3" s="424"/>
      <c r="G3" s="424"/>
      <c r="H3" s="424"/>
      <c r="I3" s="424"/>
      <c r="J3" s="424"/>
      <c r="AR3" s="425"/>
    </row>
    <row r="4" spans="1:60" ht="18.75" customHeight="1" x14ac:dyDescent="0.25">
      <c r="A4" s="426" t="s">
        <v>367</v>
      </c>
      <c r="B4" s="427"/>
      <c r="C4" s="427"/>
      <c r="D4" s="428"/>
      <c r="E4" s="427"/>
      <c r="F4" s="427"/>
      <c r="G4" s="428"/>
      <c r="H4" s="429"/>
      <c r="I4" s="427"/>
      <c r="J4" s="428"/>
      <c r="K4" s="430"/>
      <c r="L4" s="430"/>
      <c r="M4" s="430"/>
      <c r="N4" s="431"/>
      <c r="O4" s="430"/>
      <c r="P4" s="432"/>
      <c r="Q4" s="431"/>
      <c r="R4" s="430"/>
      <c r="S4" s="432"/>
      <c r="T4" s="431"/>
      <c r="U4" s="430"/>
      <c r="V4" s="432"/>
      <c r="W4" s="431"/>
      <c r="X4" s="430"/>
      <c r="Y4" s="432"/>
      <c r="Z4" s="431"/>
      <c r="AA4" s="430"/>
      <c r="AB4" s="432"/>
      <c r="AC4" s="431"/>
      <c r="AD4" s="430"/>
      <c r="AE4" s="432"/>
      <c r="AF4" s="431"/>
      <c r="AG4" s="430"/>
      <c r="AH4" s="432"/>
      <c r="AI4" s="431"/>
      <c r="AJ4" s="430"/>
      <c r="AK4" s="432"/>
      <c r="AL4" s="431"/>
      <c r="AM4" s="430"/>
      <c r="AN4" s="432"/>
      <c r="AO4" s="431"/>
      <c r="AP4" s="430"/>
      <c r="AQ4" s="432"/>
      <c r="AR4" s="433"/>
      <c r="AS4" s="434"/>
      <c r="AT4" s="434"/>
      <c r="AU4" s="434"/>
      <c r="AV4" s="434"/>
      <c r="AW4" s="434"/>
      <c r="AX4" s="434"/>
      <c r="AY4" s="434"/>
      <c r="AZ4" s="434"/>
      <c r="BA4" s="434"/>
      <c r="BB4" s="434"/>
      <c r="BC4" s="434"/>
      <c r="BD4" s="434"/>
      <c r="BE4" s="434"/>
      <c r="BF4" s="434"/>
      <c r="BG4" s="434"/>
      <c r="BH4" s="434"/>
    </row>
    <row r="5" spans="1:60" ht="18.75" customHeight="1" x14ac:dyDescent="0.3">
      <c r="A5" s="435" t="s">
        <v>104</v>
      </c>
      <c r="B5" s="1010" t="s">
        <v>179</v>
      </c>
      <c r="C5" s="1011"/>
      <c r="D5" s="1012"/>
      <c r="E5" s="1010" t="s">
        <v>180</v>
      </c>
      <c r="F5" s="1011"/>
      <c r="G5" s="1012"/>
      <c r="H5" s="1010" t="s">
        <v>181</v>
      </c>
      <c r="I5" s="1011"/>
      <c r="J5" s="1012"/>
      <c r="K5" s="1010" t="s">
        <v>182</v>
      </c>
      <c r="L5" s="1011"/>
      <c r="M5" s="1012"/>
      <c r="N5" s="1010" t="s">
        <v>183</v>
      </c>
      <c r="O5" s="1011"/>
      <c r="P5" s="1012"/>
      <c r="Q5" s="928" t="s">
        <v>183</v>
      </c>
      <c r="R5" s="929"/>
      <c r="S5" s="930"/>
      <c r="T5" s="1010" t="s">
        <v>63</v>
      </c>
      <c r="U5" s="1011"/>
      <c r="V5" s="1012"/>
      <c r="W5" s="858"/>
      <c r="X5" s="859"/>
      <c r="Y5" s="860"/>
      <c r="Z5" s="1010" t="s">
        <v>184</v>
      </c>
      <c r="AA5" s="1011"/>
      <c r="AB5" s="1012"/>
      <c r="AC5" s="886"/>
      <c r="AD5" s="887"/>
      <c r="AE5" s="888"/>
      <c r="AF5" s="1010"/>
      <c r="AG5" s="1011"/>
      <c r="AH5" s="1012"/>
      <c r="AI5" s="1010" t="s">
        <v>75</v>
      </c>
      <c r="AJ5" s="1011"/>
      <c r="AK5" s="1012"/>
      <c r="AL5" s="1010" t="s">
        <v>2</v>
      </c>
      <c r="AM5" s="1011"/>
      <c r="AN5" s="1012"/>
      <c r="AO5" s="1010" t="s">
        <v>2</v>
      </c>
      <c r="AP5" s="1011"/>
      <c r="AQ5" s="1012"/>
      <c r="AR5" s="436"/>
      <c r="AS5" s="437"/>
      <c r="AT5" s="1006"/>
      <c r="AU5" s="1006"/>
      <c r="AV5" s="1006"/>
      <c r="AW5" s="1006"/>
      <c r="AX5" s="1006"/>
      <c r="AY5" s="1006"/>
      <c r="AZ5" s="1006"/>
      <c r="BA5" s="1006"/>
      <c r="BB5" s="1006"/>
      <c r="BC5" s="1006"/>
      <c r="BD5" s="1006"/>
      <c r="BE5" s="1006"/>
      <c r="BF5" s="1006"/>
      <c r="BG5" s="1006"/>
      <c r="BH5" s="1006"/>
    </row>
    <row r="6" spans="1:60" ht="21" customHeight="1" x14ac:dyDescent="0.3">
      <c r="A6" s="438"/>
      <c r="B6" s="1007" t="s">
        <v>185</v>
      </c>
      <c r="C6" s="1008"/>
      <c r="D6" s="1009"/>
      <c r="E6" s="1007" t="s">
        <v>186</v>
      </c>
      <c r="F6" s="1008"/>
      <c r="G6" s="1009"/>
      <c r="H6" s="1007" t="s">
        <v>186</v>
      </c>
      <c r="I6" s="1008"/>
      <c r="J6" s="1009"/>
      <c r="K6" s="1007" t="s">
        <v>187</v>
      </c>
      <c r="L6" s="1008"/>
      <c r="M6" s="1009"/>
      <c r="N6" s="1007" t="s">
        <v>93</v>
      </c>
      <c r="O6" s="1008"/>
      <c r="P6" s="1009"/>
      <c r="Q6" s="1007" t="s">
        <v>63</v>
      </c>
      <c r="R6" s="1008"/>
      <c r="S6" s="1009"/>
      <c r="T6" s="1007" t="s">
        <v>188</v>
      </c>
      <c r="U6" s="1008"/>
      <c r="V6" s="1009"/>
      <c r="W6" s="1007" t="s">
        <v>68</v>
      </c>
      <c r="X6" s="1008"/>
      <c r="Y6" s="1009"/>
      <c r="Z6" s="1007" t="s">
        <v>185</v>
      </c>
      <c r="AA6" s="1008"/>
      <c r="AB6" s="1009"/>
      <c r="AC6" s="1007" t="s">
        <v>74</v>
      </c>
      <c r="AD6" s="1008"/>
      <c r="AE6" s="1009"/>
      <c r="AF6" s="1007" t="s">
        <v>70</v>
      </c>
      <c r="AG6" s="1008"/>
      <c r="AH6" s="1009"/>
      <c r="AI6" s="1007" t="s">
        <v>186</v>
      </c>
      <c r="AJ6" s="1008"/>
      <c r="AK6" s="1009"/>
      <c r="AL6" s="1007" t="s">
        <v>189</v>
      </c>
      <c r="AM6" s="1008"/>
      <c r="AN6" s="1009"/>
      <c r="AO6" s="1007" t="s">
        <v>190</v>
      </c>
      <c r="AP6" s="1008"/>
      <c r="AQ6" s="1009"/>
      <c r="AR6" s="436"/>
      <c r="AS6" s="437"/>
      <c r="AT6" s="1006"/>
      <c r="AU6" s="1006"/>
      <c r="AV6" s="1006"/>
      <c r="AW6" s="1006"/>
      <c r="AX6" s="1006"/>
      <c r="AY6" s="1006"/>
      <c r="AZ6" s="1006"/>
      <c r="BA6" s="1006"/>
      <c r="BB6" s="1006"/>
      <c r="BC6" s="1006"/>
      <c r="BD6" s="1006"/>
      <c r="BE6" s="1006"/>
      <c r="BF6" s="1006"/>
      <c r="BG6" s="1006"/>
      <c r="BH6" s="1006"/>
    </row>
    <row r="7" spans="1:60" ht="18.75" customHeight="1" x14ac:dyDescent="0.3">
      <c r="A7" s="438"/>
      <c r="B7" s="471"/>
      <c r="C7" s="471"/>
      <c r="D7" s="439" t="s">
        <v>83</v>
      </c>
      <c r="E7" s="471"/>
      <c r="F7" s="471"/>
      <c r="G7" s="439" t="s">
        <v>83</v>
      </c>
      <c r="H7" s="471"/>
      <c r="I7" s="471"/>
      <c r="J7" s="439" t="s">
        <v>83</v>
      </c>
      <c r="K7" s="471"/>
      <c r="L7" s="471"/>
      <c r="M7" s="439" t="s">
        <v>83</v>
      </c>
      <c r="N7" s="471"/>
      <c r="O7" s="471"/>
      <c r="P7" s="439" t="s">
        <v>83</v>
      </c>
      <c r="Q7" s="471"/>
      <c r="R7" s="471"/>
      <c r="S7" s="439" t="s">
        <v>83</v>
      </c>
      <c r="T7" s="471"/>
      <c r="U7" s="471"/>
      <c r="V7" s="439" t="s">
        <v>83</v>
      </c>
      <c r="W7" s="471"/>
      <c r="X7" s="471"/>
      <c r="Y7" s="439" t="s">
        <v>83</v>
      </c>
      <c r="Z7" s="471"/>
      <c r="AA7" s="471"/>
      <c r="AB7" s="439" t="s">
        <v>83</v>
      </c>
      <c r="AC7" s="471"/>
      <c r="AD7" s="471"/>
      <c r="AE7" s="439" t="s">
        <v>83</v>
      </c>
      <c r="AF7" s="471"/>
      <c r="AG7" s="471"/>
      <c r="AH7" s="439" t="s">
        <v>83</v>
      </c>
      <c r="AI7" s="471"/>
      <c r="AJ7" s="471"/>
      <c r="AK7" s="439" t="s">
        <v>83</v>
      </c>
      <c r="AL7" s="471"/>
      <c r="AM7" s="471"/>
      <c r="AN7" s="439" t="s">
        <v>83</v>
      </c>
      <c r="AO7" s="471"/>
      <c r="AP7" s="471"/>
      <c r="AQ7" s="439" t="s">
        <v>83</v>
      </c>
      <c r="AR7" s="436"/>
      <c r="AS7" s="437"/>
      <c r="AT7" s="437"/>
      <c r="AU7" s="437"/>
      <c r="AV7" s="437"/>
      <c r="AW7" s="437"/>
      <c r="AX7" s="437"/>
      <c r="AY7" s="437"/>
      <c r="AZ7" s="437"/>
      <c r="BA7" s="437"/>
      <c r="BB7" s="437"/>
      <c r="BC7" s="437"/>
      <c r="BD7" s="437"/>
      <c r="BE7" s="437"/>
      <c r="BF7" s="437"/>
      <c r="BG7" s="437"/>
      <c r="BH7" s="437"/>
    </row>
    <row r="8" spans="1:60" ht="18.75" customHeight="1" x14ac:dyDescent="0.25">
      <c r="A8" s="404" t="s">
        <v>191</v>
      </c>
      <c r="B8" s="843">
        <v>2018</v>
      </c>
      <c r="C8" s="843">
        <v>2019</v>
      </c>
      <c r="D8" s="405" t="s">
        <v>85</v>
      </c>
      <c r="E8" s="843">
        <v>2018</v>
      </c>
      <c r="F8" s="843">
        <v>2019</v>
      </c>
      <c r="G8" s="405" t="s">
        <v>85</v>
      </c>
      <c r="H8" s="911">
        <v>2018</v>
      </c>
      <c r="I8" s="911">
        <v>2019</v>
      </c>
      <c r="J8" s="405" t="s">
        <v>85</v>
      </c>
      <c r="K8" s="780">
        <v>2018</v>
      </c>
      <c r="L8" s="780">
        <v>2019</v>
      </c>
      <c r="M8" s="405" t="s">
        <v>85</v>
      </c>
      <c r="N8" s="843">
        <v>2018</v>
      </c>
      <c r="O8" s="843">
        <v>2019</v>
      </c>
      <c r="P8" s="405" t="s">
        <v>85</v>
      </c>
      <c r="Q8" s="843">
        <v>2018</v>
      </c>
      <c r="R8" s="843">
        <v>2019</v>
      </c>
      <c r="S8" s="405" t="s">
        <v>85</v>
      </c>
      <c r="T8" s="843">
        <v>2018</v>
      </c>
      <c r="U8" s="843">
        <v>2019</v>
      </c>
      <c r="V8" s="405" t="s">
        <v>85</v>
      </c>
      <c r="W8" s="843">
        <v>2018</v>
      </c>
      <c r="X8" s="843">
        <v>2019</v>
      </c>
      <c r="Y8" s="405" t="s">
        <v>85</v>
      </c>
      <c r="Z8" s="843">
        <v>2018</v>
      </c>
      <c r="AA8" s="843">
        <v>2019</v>
      </c>
      <c r="AB8" s="405" t="s">
        <v>85</v>
      </c>
      <c r="AC8" s="843">
        <v>2018</v>
      </c>
      <c r="AD8" s="843">
        <v>2019</v>
      </c>
      <c r="AE8" s="405" t="s">
        <v>85</v>
      </c>
      <c r="AF8" s="843">
        <v>2018</v>
      </c>
      <c r="AG8" s="843">
        <v>2019</v>
      </c>
      <c r="AH8" s="405" t="s">
        <v>85</v>
      </c>
      <c r="AI8" s="843">
        <v>2018</v>
      </c>
      <c r="AJ8" s="843">
        <v>2019</v>
      </c>
      <c r="AK8" s="405" t="s">
        <v>85</v>
      </c>
      <c r="AL8" s="843">
        <v>2018</v>
      </c>
      <c r="AM8" s="843">
        <v>2019</v>
      </c>
      <c r="AN8" s="405" t="s">
        <v>85</v>
      </c>
      <c r="AO8" s="843">
        <v>2018</v>
      </c>
      <c r="AP8" s="843">
        <v>2019</v>
      </c>
      <c r="AQ8" s="405" t="s">
        <v>85</v>
      </c>
      <c r="AR8" s="436"/>
      <c r="AS8" s="440"/>
      <c r="AT8" s="441"/>
      <c r="AU8" s="441"/>
      <c r="AV8" s="440"/>
      <c r="AW8" s="441"/>
      <c r="AX8" s="441"/>
      <c r="AY8" s="440"/>
      <c r="AZ8" s="441"/>
      <c r="BA8" s="441"/>
      <c r="BB8" s="440"/>
      <c r="BC8" s="441"/>
      <c r="BD8" s="441"/>
      <c r="BE8" s="440"/>
      <c r="BF8" s="441"/>
      <c r="BG8" s="441"/>
      <c r="BH8" s="440"/>
    </row>
    <row r="9" spans="1:60" ht="18.75" customHeight="1" x14ac:dyDescent="0.3">
      <c r="A9" s="406"/>
      <c r="B9" s="844"/>
      <c r="C9" s="381"/>
      <c r="D9" s="381"/>
      <c r="E9" s="844"/>
      <c r="F9" s="381"/>
      <c r="G9" s="381"/>
      <c r="H9" s="912"/>
      <c r="I9" s="913"/>
      <c r="J9" s="381"/>
      <c r="K9" s="785"/>
      <c r="L9" s="382"/>
      <c r="M9" s="382"/>
      <c r="N9" s="918"/>
      <c r="O9" s="383"/>
      <c r="P9" s="338"/>
      <c r="Q9" s="785"/>
      <c r="R9" s="382"/>
      <c r="S9" s="338"/>
      <c r="T9" s="785"/>
      <c r="U9" s="382"/>
      <c r="V9" s="338"/>
      <c r="W9" s="785"/>
      <c r="X9" s="382"/>
      <c r="Y9" s="338"/>
      <c r="Z9" s="785"/>
      <c r="AA9" s="382"/>
      <c r="AB9" s="338"/>
      <c r="AC9" s="785"/>
      <c r="AD9" s="382"/>
      <c r="AE9" s="338"/>
      <c r="AF9" s="785"/>
      <c r="AG9" s="382"/>
      <c r="AH9" s="338"/>
      <c r="AI9" s="785"/>
      <c r="AJ9" s="382"/>
      <c r="AK9" s="338"/>
      <c r="AL9" s="384"/>
      <c r="AM9" s="384"/>
      <c r="AN9" s="338"/>
      <c r="AO9" s="384"/>
      <c r="AP9" s="384"/>
      <c r="AQ9" s="338"/>
      <c r="AR9" s="436"/>
      <c r="AS9" s="436"/>
    </row>
    <row r="10" spans="1:60" s="415" customFormat="1" ht="18.75" customHeight="1" x14ac:dyDescent="0.3">
      <c r="A10" s="407" t="s">
        <v>192</v>
      </c>
      <c r="B10" s="845"/>
      <c r="C10" s="385"/>
      <c r="D10" s="385"/>
      <c r="E10" s="845"/>
      <c r="F10" s="385"/>
      <c r="G10" s="385"/>
      <c r="H10" s="272"/>
      <c r="I10" s="387"/>
      <c r="J10" s="385"/>
      <c r="K10" s="785"/>
      <c r="L10" s="382"/>
      <c r="M10" s="382"/>
      <c r="N10" s="918"/>
      <c r="O10" s="383"/>
      <c r="P10" s="338"/>
      <c r="Q10" s="785"/>
      <c r="R10" s="382"/>
      <c r="S10" s="338"/>
      <c r="T10" s="785"/>
      <c r="U10" s="382"/>
      <c r="V10" s="338"/>
      <c r="W10" s="785"/>
      <c r="X10" s="382"/>
      <c r="Y10" s="338"/>
      <c r="Z10" s="785"/>
      <c r="AA10" s="382"/>
      <c r="AB10" s="338"/>
      <c r="AC10" s="785"/>
      <c r="AD10" s="382"/>
      <c r="AE10" s="338"/>
      <c r="AF10" s="785"/>
      <c r="AG10" s="382"/>
      <c r="AH10" s="338"/>
      <c r="AI10" s="785"/>
      <c r="AJ10" s="382"/>
      <c r="AK10" s="338"/>
      <c r="AL10" s="384"/>
      <c r="AM10" s="384"/>
      <c r="AN10" s="338"/>
      <c r="AO10" s="384"/>
      <c r="AP10" s="384"/>
      <c r="AQ10" s="338"/>
      <c r="AR10" s="442"/>
      <c r="AS10" s="442"/>
    </row>
    <row r="11" spans="1:60" s="415" customFormat="1" ht="18.75" customHeight="1" x14ac:dyDescent="0.3">
      <c r="A11" s="408"/>
      <c r="B11" s="845"/>
      <c r="C11" s="385"/>
      <c r="D11" s="385"/>
      <c r="E11" s="845"/>
      <c r="F11" s="385"/>
      <c r="G11" s="385"/>
      <c r="H11" s="272"/>
      <c r="I11" s="387"/>
      <c r="J11" s="385"/>
      <c r="K11" s="785"/>
      <c r="L11" s="382"/>
      <c r="M11" s="382"/>
      <c r="N11" s="918"/>
      <c r="O11" s="383"/>
      <c r="P11" s="338"/>
      <c r="Q11" s="785"/>
      <c r="R11" s="382"/>
      <c r="S11" s="338"/>
      <c r="T11" s="785"/>
      <c r="U11" s="382"/>
      <c r="V11" s="338"/>
      <c r="W11" s="785"/>
      <c r="X11" s="382"/>
      <c r="Y11" s="338"/>
      <c r="Z11" s="785"/>
      <c r="AA11" s="382"/>
      <c r="AB11" s="338"/>
      <c r="AC11" s="785"/>
      <c r="AD11" s="382"/>
      <c r="AE11" s="338"/>
      <c r="AF11" s="785"/>
      <c r="AG11" s="382"/>
      <c r="AH11" s="338"/>
      <c r="AI11" s="785"/>
      <c r="AJ11" s="382"/>
      <c r="AK11" s="338"/>
      <c r="AL11" s="384"/>
      <c r="AM11" s="384"/>
      <c r="AN11" s="338"/>
      <c r="AO11" s="384"/>
      <c r="AP11" s="384"/>
      <c r="AQ11" s="338"/>
      <c r="AR11" s="442"/>
      <c r="AS11" s="442"/>
    </row>
    <row r="12" spans="1:60" s="415" customFormat="1" ht="20.100000000000001" customHeight="1" x14ac:dyDescent="0.3">
      <c r="A12" s="407" t="s">
        <v>193</v>
      </c>
      <c r="B12" s="198"/>
      <c r="C12" s="386"/>
      <c r="D12" s="386"/>
      <c r="E12" s="198"/>
      <c r="F12" s="386"/>
      <c r="G12" s="386"/>
      <c r="H12" s="272"/>
      <c r="I12" s="387"/>
      <c r="J12" s="386"/>
      <c r="K12" s="785"/>
      <c r="L12" s="382"/>
      <c r="M12" s="382"/>
      <c r="N12" s="918"/>
      <c r="O12" s="383"/>
      <c r="P12" s="338"/>
      <c r="Q12" s="785"/>
      <c r="R12" s="382"/>
      <c r="S12" s="338"/>
      <c r="T12" s="785"/>
      <c r="U12" s="382"/>
      <c r="V12" s="338"/>
      <c r="W12" s="785"/>
      <c r="X12" s="382"/>
      <c r="Y12" s="338"/>
      <c r="Z12" s="785"/>
      <c r="AA12" s="382"/>
      <c r="AB12" s="338"/>
      <c r="AC12" s="785"/>
      <c r="AD12" s="382"/>
      <c r="AE12" s="338"/>
      <c r="AF12" s="785"/>
      <c r="AG12" s="382"/>
      <c r="AH12" s="338"/>
      <c r="AI12" s="785"/>
      <c r="AJ12" s="382"/>
      <c r="AK12" s="338"/>
      <c r="AL12" s="384"/>
      <c r="AM12" s="384"/>
      <c r="AN12" s="338"/>
      <c r="AO12" s="384"/>
      <c r="AP12" s="384"/>
      <c r="AQ12" s="338"/>
      <c r="AR12" s="442"/>
      <c r="AS12" s="442"/>
    </row>
    <row r="13" spans="1:60" s="444" customFormat="1" ht="20.100000000000001" customHeight="1" x14ac:dyDescent="0.3">
      <c r="A13" s="407" t="s">
        <v>194</v>
      </c>
      <c r="B13" s="198"/>
      <c r="C13" s="386"/>
      <c r="D13" s="387"/>
      <c r="E13" s="198"/>
      <c r="F13" s="386"/>
      <c r="G13" s="387"/>
      <c r="H13" s="272"/>
      <c r="I13" s="387"/>
      <c r="J13" s="387"/>
      <c r="K13" s="104"/>
      <c r="L13" s="817"/>
      <c r="M13" s="389"/>
      <c r="N13" s="919"/>
      <c r="O13" s="920"/>
      <c r="P13" s="390"/>
      <c r="Q13" s="104"/>
      <c r="R13" s="817"/>
      <c r="S13" s="390"/>
      <c r="T13" s="104"/>
      <c r="U13" s="817"/>
      <c r="V13" s="390"/>
      <c r="W13" s="104"/>
      <c r="X13" s="817"/>
      <c r="Y13" s="390"/>
      <c r="Z13" s="104"/>
      <c r="AA13" s="817"/>
      <c r="AB13" s="390"/>
      <c r="AC13" s="104"/>
      <c r="AD13" s="817"/>
      <c r="AE13" s="390"/>
      <c r="AF13" s="104"/>
      <c r="AG13" s="817"/>
      <c r="AH13" s="390"/>
      <c r="AI13" s="104"/>
      <c r="AJ13" s="817"/>
      <c r="AK13" s="390"/>
      <c r="AL13" s="391"/>
      <c r="AM13" s="391"/>
      <c r="AN13" s="390"/>
      <c r="AO13" s="391"/>
      <c r="AP13" s="391"/>
      <c r="AQ13" s="390"/>
      <c r="AR13" s="443"/>
      <c r="AS13" s="443"/>
    </row>
    <row r="14" spans="1:60" s="444" customFormat="1" ht="20.100000000000001" customHeight="1" x14ac:dyDescent="0.3">
      <c r="A14" s="409" t="s">
        <v>195</v>
      </c>
      <c r="B14" s="196"/>
      <c r="C14" s="393"/>
      <c r="D14" s="390"/>
      <c r="E14" s="196"/>
      <c r="F14" s="393"/>
      <c r="G14" s="390"/>
      <c r="H14" s="890"/>
      <c r="I14" s="390"/>
      <c r="J14" s="390"/>
      <c r="K14" s="104"/>
      <c r="L14" s="817">
        <v>10.3</v>
      </c>
      <c r="M14" s="389" t="str">
        <f t="shared" ref="M14" si="0">IF(K14=0, "    ---- ", IF(ABS(ROUND(100/K14*L14-100,1))&lt;999,ROUND(100/K14*L14-100,1),IF(ROUND(100/K14*L14-100,1)&gt;999,999,-999)))</f>
        <v xml:space="preserve">    ---- </v>
      </c>
      <c r="N14" s="919"/>
      <c r="O14" s="920"/>
      <c r="P14" s="390"/>
      <c r="Q14" s="104">
        <v>924.26844574999996</v>
      </c>
      <c r="R14" s="817">
        <v>954.94898775000001</v>
      </c>
      <c r="S14" s="390">
        <f t="shared" ref="S14:S28" si="1">IF(Q14=0, "    ---- ", IF(ABS(ROUND(100/Q14*R14-100,1))&lt;999,ROUND(100/Q14*R14-100,1),IF(ROUND(100/Q14*R14-100,1)&gt;999,999,-999)))</f>
        <v>3.3</v>
      </c>
      <c r="T14" s="104"/>
      <c r="U14" s="817"/>
      <c r="V14" s="390"/>
      <c r="W14" s="104"/>
      <c r="X14" s="817"/>
      <c r="Y14" s="390"/>
      <c r="Z14" s="104"/>
      <c r="AA14" s="817"/>
      <c r="AB14" s="390"/>
      <c r="AC14" s="104"/>
      <c r="AD14" s="817"/>
      <c r="AE14" s="390"/>
      <c r="AF14" s="104"/>
      <c r="AG14" s="817"/>
      <c r="AH14" s="390"/>
      <c r="AI14" s="104"/>
      <c r="AJ14" s="817"/>
      <c r="AK14" s="390"/>
      <c r="AL14" s="391">
        <f>B14+E14+H14+K14+Q14+T14+W14+Z14+AF14+AI14</f>
        <v>924.26844574999996</v>
      </c>
      <c r="AM14" s="391">
        <f>C14+F14+I14+L14+R14+U14+X14+AA14+AG14+AJ14</f>
        <v>965.24898774999997</v>
      </c>
      <c r="AN14" s="390">
        <f t="shared" ref="AN14:AN28" si="2">IF(AL14=0, "    ---- ", IF(ABS(ROUND(100/AL14*AM14-100,1))&lt;999,ROUND(100/AL14*AM14-100,1),IF(ROUND(100/AL14*AM14-100,1)&gt;999,999,-999)))</f>
        <v>4.4000000000000004</v>
      </c>
      <c r="AO14" s="391">
        <f>B14+E14+H14+K14+N14+Q14+T14+W14+Z14+AC14+AF14+AI14</f>
        <v>924.26844574999996</v>
      </c>
      <c r="AP14" s="391">
        <f>C14+F14+I14+L14+O14+R14+U14+X14+AA14+AD14+AG14+AJ14</f>
        <v>965.24898774999997</v>
      </c>
      <c r="AQ14" s="390">
        <f t="shared" ref="AQ14:AQ29" si="3">IF(AO14=0, "    ---- ", IF(ABS(ROUND(100/AO14*AP14-100,1))&lt;999,ROUND(100/AO14*AP14-100,1),IF(ROUND(100/AO14*AP14-100,1)&gt;999,999,-999)))</f>
        <v>4.4000000000000004</v>
      </c>
      <c r="AR14" s="443"/>
      <c r="AS14" s="443"/>
    </row>
    <row r="15" spans="1:60" s="444" customFormat="1" ht="20.100000000000001" customHeight="1" x14ac:dyDescent="0.3">
      <c r="A15" s="409" t="s">
        <v>196</v>
      </c>
      <c r="B15" s="196"/>
      <c r="C15" s="393"/>
      <c r="D15" s="390"/>
      <c r="E15" s="196">
        <v>69.704999999999998</v>
      </c>
      <c r="F15" s="393">
        <v>806.34799999999996</v>
      </c>
      <c r="G15" s="390">
        <f t="shared" ref="G15:G28" si="4">IF(E15=0, "    ---- ", IF(ABS(ROUND(100/E15*F15-100,1))&lt;999,ROUND(100/E15*F15-100,1),IF(ROUND(100/E15*F15-100,1)&gt;999,999,-999)))</f>
        <v>999</v>
      </c>
      <c r="H15" s="890"/>
      <c r="I15" s="390"/>
      <c r="J15" s="390"/>
      <c r="K15" s="104"/>
      <c r="L15" s="817"/>
      <c r="M15" s="389"/>
      <c r="N15" s="919"/>
      <c r="O15" s="920"/>
      <c r="P15" s="390"/>
      <c r="Q15" s="104">
        <v>6678.6921849600003</v>
      </c>
      <c r="R15" s="817">
        <v>8088.8689763399998</v>
      </c>
      <c r="S15" s="390">
        <f t="shared" si="1"/>
        <v>21.1</v>
      </c>
      <c r="T15" s="104"/>
      <c r="U15" s="817"/>
      <c r="V15" s="390"/>
      <c r="W15" s="104"/>
      <c r="X15" s="817"/>
      <c r="Y15" s="390"/>
      <c r="Z15" s="104">
        <v>1109</v>
      </c>
      <c r="AA15" s="817">
        <v>918</v>
      </c>
      <c r="AB15" s="390">
        <f t="shared" ref="AB15:AB28" si="5">IF(Z15=0, "    ---- ", IF(ABS(ROUND(100/Z15*AA15-100,1))&lt;999,ROUND(100/Z15*AA15-100,1),IF(ROUND(100/Z15*AA15-100,1)&gt;999,999,-999)))</f>
        <v>-17.2</v>
      </c>
      <c r="AC15" s="104"/>
      <c r="AD15" s="817"/>
      <c r="AE15" s="390"/>
      <c r="AF15" s="104">
        <v>2171.8789999999999</v>
      </c>
      <c r="AG15" s="817">
        <v>1720.4549999999999</v>
      </c>
      <c r="AH15" s="390">
        <f t="shared" ref="AH15:AH28" si="6">IF(AF15=0, "    ---- ", IF(ABS(ROUND(100/AF15*AG15-100,1))&lt;999,ROUND(100/AF15*AG15-100,1),IF(ROUND(100/AF15*AG15-100,1)&gt;999,999,-999)))</f>
        <v>-20.8</v>
      </c>
      <c r="AI15" s="104">
        <v>13136</v>
      </c>
      <c r="AJ15" s="817">
        <v>12814</v>
      </c>
      <c r="AK15" s="390">
        <f t="shared" ref="AK15:AK28" si="7">IF(AI15=0, "    ---- ", IF(ABS(ROUND(100/AI15*AJ15-100,1))&lt;999,ROUND(100/AI15*AJ15-100,1),IF(ROUND(100/AI15*AJ15-100,1)&gt;999,999,-999)))</f>
        <v>-2.5</v>
      </c>
      <c r="AL15" s="391">
        <f t="shared" ref="AL15:AM29" si="8">B15+E15+H15+K15+Q15+T15+W15+Z15+AF15+AI15</f>
        <v>23165.276184959999</v>
      </c>
      <c r="AM15" s="391">
        <f t="shared" si="8"/>
        <v>24347.67197634</v>
      </c>
      <c r="AN15" s="390">
        <f t="shared" si="2"/>
        <v>5.0999999999999996</v>
      </c>
      <c r="AO15" s="391">
        <f t="shared" ref="AO15:AP29" si="9">B15+E15+H15+K15+N15+Q15+T15+W15+Z15+AC15+AF15+AI15</f>
        <v>23165.276184959999</v>
      </c>
      <c r="AP15" s="391">
        <f t="shared" si="9"/>
        <v>24347.67197634</v>
      </c>
      <c r="AQ15" s="390">
        <f t="shared" si="3"/>
        <v>5.0999999999999996</v>
      </c>
      <c r="AR15" s="443"/>
      <c r="AS15" s="443"/>
    </row>
    <row r="16" spans="1:60" s="444" customFormat="1" ht="20.100000000000001" customHeight="1" x14ac:dyDescent="0.3">
      <c r="A16" s="409" t="s">
        <v>197</v>
      </c>
      <c r="B16" s="196"/>
      <c r="C16" s="393"/>
      <c r="D16" s="390"/>
      <c r="E16" s="196">
        <v>3991.0159999999996</v>
      </c>
      <c r="F16" s="393">
        <f>SUM(F17+F19)</f>
        <v>6429.2560000000003</v>
      </c>
      <c r="G16" s="390">
        <f t="shared" si="4"/>
        <v>61.1</v>
      </c>
      <c r="H16" s="890">
        <v>32.6</v>
      </c>
      <c r="I16" s="390">
        <f>SUM(I17+I19)</f>
        <v>53.81</v>
      </c>
      <c r="J16" s="393">
        <f t="shared" ref="J16:J18" si="10">IF(H16=0, "    ---- ", IF(ABS(ROUND(100/H16*I16-100,1))&lt;999,ROUND(100/H16*I16-100,1),IF(ROUND(100/H16*I16-100,1)&gt;999,999,-999)))</f>
        <v>65.099999999999994</v>
      </c>
      <c r="K16" s="104"/>
      <c r="L16" s="817">
        <f>SUM(L17+L19)</f>
        <v>225.9</v>
      </c>
      <c r="M16" s="389" t="str">
        <f t="shared" ref="M16" si="11">IF(K16=0, "    ---- ", IF(ABS(ROUND(100/K16*L16-100,1))&lt;999,ROUND(100/K16*L16-100,1),IF(ROUND(100/K16*L16-100,1)&gt;999,999,-999)))</f>
        <v xml:space="preserve">    ---- </v>
      </c>
      <c r="N16" s="919"/>
      <c r="O16" s="920"/>
      <c r="P16" s="390"/>
      <c r="Q16" s="104">
        <v>18175.25045268</v>
      </c>
      <c r="R16" s="817">
        <v>18497.058498170001</v>
      </c>
      <c r="S16" s="390">
        <f t="shared" si="1"/>
        <v>1.8</v>
      </c>
      <c r="T16" s="104">
        <v>247.9</v>
      </c>
      <c r="U16" s="817">
        <f>SUM(U17+U19)</f>
        <v>303.8</v>
      </c>
      <c r="V16" s="390">
        <f t="shared" ref="V16" si="12">IF(T16=0, "    ---- ", IF(ABS(ROUND(100/T16*U16-100,1))&lt;999,ROUND(100/T16*U16-100,1),IF(ROUND(100/T16*U16-100,1)&gt;999,999,-999)))</f>
        <v>22.5</v>
      </c>
      <c r="W16" s="104"/>
      <c r="X16" s="817"/>
      <c r="Y16" s="390"/>
      <c r="Z16" s="104">
        <v>4609</v>
      </c>
      <c r="AA16" s="817">
        <f>SUM(AA17+AA19)</f>
        <v>4439</v>
      </c>
      <c r="AB16" s="390">
        <f t="shared" si="5"/>
        <v>-3.7</v>
      </c>
      <c r="AC16" s="104"/>
      <c r="AD16" s="817"/>
      <c r="AE16" s="390"/>
      <c r="AF16" s="104">
        <v>1242.7809999999999</v>
      </c>
      <c r="AG16" s="817">
        <f>SUM(AG17+AG19)</f>
        <v>1154.4069999999999</v>
      </c>
      <c r="AH16" s="390">
        <f t="shared" si="6"/>
        <v>-7.1</v>
      </c>
      <c r="AI16" s="104">
        <v>8142</v>
      </c>
      <c r="AJ16" s="817">
        <f>SUM(AJ17+AJ19)</f>
        <v>7628</v>
      </c>
      <c r="AK16" s="390">
        <f t="shared" si="7"/>
        <v>-6.3</v>
      </c>
      <c r="AL16" s="391">
        <f t="shared" si="8"/>
        <v>36440.547452679995</v>
      </c>
      <c r="AM16" s="391">
        <f t="shared" si="8"/>
        <v>38731.231498170004</v>
      </c>
      <c r="AN16" s="390">
        <f t="shared" si="2"/>
        <v>6.3</v>
      </c>
      <c r="AO16" s="391">
        <f t="shared" si="9"/>
        <v>36440.547452679995</v>
      </c>
      <c r="AP16" s="391">
        <f t="shared" si="9"/>
        <v>38731.231498170004</v>
      </c>
      <c r="AQ16" s="390">
        <f t="shared" si="3"/>
        <v>6.3</v>
      </c>
      <c r="AR16" s="443"/>
      <c r="AS16" s="443"/>
    </row>
    <row r="17" spans="1:46" s="444" customFormat="1" ht="20.100000000000001" customHeight="1" x14ac:dyDescent="0.3">
      <c r="A17" s="409" t="s">
        <v>198</v>
      </c>
      <c r="B17" s="196"/>
      <c r="C17" s="393"/>
      <c r="D17" s="390"/>
      <c r="E17" s="196">
        <v>2166.5569999999998</v>
      </c>
      <c r="F17" s="393">
        <v>3990.7240000000002</v>
      </c>
      <c r="G17" s="390">
        <f t="shared" si="4"/>
        <v>84.2</v>
      </c>
      <c r="H17" s="890">
        <v>32.6</v>
      </c>
      <c r="I17" s="390">
        <v>53.81</v>
      </c>
      <c r="J17" s="393">
        <f t="shared" si="10"/>
        <v>65.099999999999994</v>
      </c>
      <c r="K17" s="104"/>
      <c r="L17" s="817"/>
      <c r="M17" s="389"/>
      <c r="N17" s="919"/>
      <c r="O17" s="920"/>
      <c r="P17" s="390"/>
      <c r="Q17" s="104">
        <v>7078.3049667299993</v>
      </c>
      <c r="R17" s="817">
        <v>6880.3432095100006</v>
      </c>
      <c r="S17" s="390">
        <f t="shared" si="1"/>
        <v>-2.8</v>
      </c>
      <c r="T17" s="104"/>
      <c r="U17" s="817"/>
      <c r="V17" s="390"/>
      <c r="W17" s="104"/>
      <c r="X17" s="817"/>
      <c r="Y17" s="390"/>
      <c r="Z17" s="104">
        <v>172</v>
      </c>
      <c r="AA17" s="817">
        <v>69</v>
      </c>
      <c r="AB17" s="390">
        <f t="shared" si="5"/>
        <v>-59.9</v>
      </c>
      <c r="AC17" s="104"/>
      <c r="AD17" s="817"/>
      <c r="AE17" s="390"/>
      <c r="AF17" s="104">
        <v>129.476</v>
      </c>
      <c r="AG17" s="817">
        <v>84.873999999999995</v>
      </c>
      <c r="AH17" s="390">
        <f t="shared" si="6"/>
        <v>-34.4</v>
      </c>
      <c r="AI17" s="104"/>
      <c r="AJ17" s="817"/>
      <c r="AK17" s="390"/>
      <c r="AL17" s="391">
        <f t="shared" si="8"/>
        <v>9578.93796673</v>
      </c>
      <c r="AM17" s="391">
        <f t="shared" si="8"/>
        <v>11078.751209510001</v>
      </c>
      <c r="AN17" s="390">
        <f t="shared" si="2"/>
        <v>15.7</v>
      </c>
      <c r="AO17" s="391">
        <f t="shared" si="9"/>
        <v>9578.93796673</v>
      </c>
      <c r="AP17" s="391">
        <f t="shared" si="9"/>
        <v>11078.751209510001</v>
      </c>
      <c r="AQ17" s="390">
        <f t="shared" si="3"/>
        <v>15.7</v>
      </c>
      <c r="AR17" s="443"/>
      <c r="AS17" s="443"/>
    </row>
    <row r="18" spans="1:46" s="444" customFormat="1" ht="20.100000000000001" customHeight="1" x14ac:dyDescent="0.3">
      <c r="A18" s="409" t="s">
        <v>199</v>
      </c>
      <c r="B18" s="196"/>
      <c r="C18" s="393"/>
      <c r="D18" s="390"/>
      <c r="E18" s="196">
        <v>2166.5569999999998</v>
      </c>
      <c r="F18" s="393">
        <v>3990.7240000000002</v>
      </c>
      <c r="G18" s="390">
        <f t="shared" si="4"/>
        <v>84.2</v>
      </c>
      <c r="H18" s="890">
        <v>32.6</v>
      </c>
      <c r="I18" s="390">
        <v>53.81</v>
      </c>
      <c r="J18" s="393">
        <f t="shared" si="10"/>
        <v>65.099999999999994</v>
      </c>
      <c r="K18" s="104"/>
      <c r="L18" s="817"/>
      <c r="M18" s="389"/>
      <c r="N18" s="919"/>
      <c r="O18" s="920"/>
      <c r="P18" s="390"/>
      <c r="Q18" s="104">
        <v>7078.3049667299993</v>
      </c>
      <c r="R18" s="817">
        <v>6880.3432095100006</v>
      </c>
      <c r="S18" s="390">
        <f t="shared" si="1"/>
        <v>-2.8</v>
      </c>
      <c r="T18" s="104"/>
      <c r="U18" s="817"/>
      <c r="V18" s="390"/>
      <c r="W18" s="104"/>
      <c r="X18" s="817"/>
      <c r="Y18" s="390"/>
      <c r="Z18" s="104"/>
      <c r="AA18" s="817"/>
      <c r="AB18" s="390"/>
      <c r="AC18" s="104"/>
      <c r="AD18" s="817"/>
      <c r="AE18" s="390"/>
      <c r="AF18" s="104">
        <v>27.986308660000113</v>
      </c>
      <c r="AG18" s="817">
        <v>16.494647719999669</v>
      </c>
      <c r="AH18" s="390">
        <f t="shared" si="6"/>
        <v>-41.1</v>
      </c>
      <c r="AI18" s="104"/>
      <c r="AJ18" s="817"/>
      <c r="AK18" s="390"/>
      <c r="AL18" s="391">
        <f t="shared" si="8"/>
        <v>9305.4482753899993</v>
      </c>
      <c r="AM18" s="391">
        <f t="shared" si="8"/>
        <v>10941.37185723</v>
      </c>
      <c r="AN18" s="390">
        <f t="shared" si="2"/>
        <v>17.600000000000001</v>
      </c>
      <c r="AO18" s="391">
        <f t="shared" si="9"/>
        <v>9305.4482753899993</v>
      </c>
      <c r="AP18" s="391">
        <f t="shared" si="9"/>
        <v>10941.37185723</v>
      </c>
      <c r="AQ18" s="390">
        <f t="shared" si="3"/>
        <v>17.600000000000001</v>
      </c>
      <c r="AR18" s="443"/>
      <c r="AS18" s="443"/>
    </row>
    <row r="19" spans="1:46" s="444" customFormat="1" ht="20.100000000000001" customHeight="1" x14ac:dyDescent="0.3">
      <c r="A19" s="409" t="s">
        <v>200</v>
      </c>
      <c r="B19" s="196"/>
      <c r="C19" s="393"/>
      <c r="D19" s="390"/>
      <c r="E19" s="196">
        <v>1824.4590000000001</v>
      </c>
      <c r="F19" s="393">
        <v>2438.5320000000002</v>
      </c>
      <c r="G19" s="390">
        <f t="shared" si="4"/>
        <v>33.700000000000003</v>
      </c>
      <c r="H19" s="890"/>
      <c r="I19" s="390"/>
      <c r="J19" s="390"/>
      <c r="K19" s="104"/>
      <c r="L19" s="817">
        <v>225.9</v>
      </c>
      <c r="M19" s="389" t="str">
        <f t="shared" ref="M19:M28" si="13">IF(K19=0, "    ---- ", IF(ABS(ROUND(100/K19*L19-100,1))&lt;999,ROUND(100/K19*L19-100,1),IF(ROUND(100/K19*L19-100,1)&gt;999,999,-999)))</f>
        <v xml:space="preserve">    ---- </v>
      </c>
      <c r="N19" s="919"/>
      <c r="O19" s="920"/>
      <c r="P19" s="390"/>
      <c r="Q19" s="104">
        <v>11096.94548595</v>
      </c>
      <c r="R19" s="817">
        <v>11616.71528866</v>
      </c>
      <c r="S19" s="390">
        <f t="shared" si="1"/>
        <v>4.7</v>
      </c>
      <c r="T19" s="104">
        <v>247.9</v>
      </c>
      <c r="U19" s="817">
        <v>303.8</v>
      </c>
      <c r="V19" s="390">
        <f t="shared" ref="V19:V28" si="14">IF(T19=0, "    ---- ", IF(ABS(ROUND(100/T19*U19-100,1))&lt;999,ROUND(100/T19*U19-100,1),IF(ROUND(100/T19*U19-100,1)&gt;999,999,-999)))</f>
        <v>22.5</v>
      </c>
      <c r="W19" s="104"/>
      <c r="X19" s="817"/>
      <c r="Y19" s="390"/>
      <c r="Z19" s="104">
        <v>4437</v>
      </c>
      <c r="AA19" s="817">
        <v>4370</v>
      </c>
      <c r="AB19" s="390">
        <f t="shared" si="5"/>
        <v>-1.5</v>
      </c>
      <c r="AC19" s="104"/>
      <c r="AD19" s="817"/>
      <c r="AE19" s="390"/>
      <c r="AF19" s="104">
        <v>1113.3050000000001</v>
      </c>
      <c r="AG19" s="817">
        <v>1069.5329999999999</v>
      </c>
      <c r="AH19" s="390">
        <f t="shared" si="6"/>
        <v>-3.9</v>
      </c>
      <c r="AI19" s="104">
        <v>8142</v>
      </c>
      <c r="AJ19" s="817">
        <f>1+7119+508</f>
        <v>7628</v>
      </c>
      <c r="AK19" s="390">
        <f t="shared" si="7"/>
        <v>-6.3</v>
      </c>
      <c r="AL19" s="391">
        <f t="shared" si="8"/>
        <v>26861.609485950001</v>
      </c>
      <c r="AM19" s="391">
        <f t="shared" si="8"/>
        <v>27652.480288659997</v>
      </c>
      <c r="AN19" s="390">
        <f t="shared" si="2"/>
        <v>2.9</v>
      </c>
      <c r="AO19" s="391">
        <f t="shared" si="9"/>
        <v>26861.609485950001</v>
      </c>
      <c r="AP19" s="391">
        <f t="shared" si="9"/>
        <v>27652.480288659997</v>
      </c>
      <c r="AQ19" s="390">
        <f t="shared" si="3"/>
        <v>2.9</v>
      </c>
      <c r="AR19" s="443"/>
      <c r="AS19" s="443"/>
    </row>
    <row r="20" spans="1:46" s="444" customFormat="1" ht="20.100000000000001" customHeight="1" x14ac:dyDescent="0.3">
      <c r="A20" s="409" t="s">
        <v>201</v>
      </c>
      <c r="B20" s="196">
        <v>233.376</v>
      </c>
      <c r="C20" s="393">
        <f>SUM(C21:C25)</f>
        <v>341.512</v>
      </c>
      <c r="D20" s="390">
        <f>IF(B20=0, "    ---- ", IF(ABS(ROUND(100/B20*C20-100,1))&lt;999,ROUND(100/B20*C20-100,1),IF(ROUND(100/B20*C20-100,1)&gt;999,999,-999)))</f>
        <v>46.3</v>
      </c>
      <c r="E20" s="196">
        <v>27359.170999999995</v>
      </c>
      <c r="F20" s="393">
        <f>SUM(F21:F25)</f>
        <v>24402.255999999998</v>
      </c>
      <c r="G20" s="390">
        <f t="shared" si="4"/>
        <v>-10.8</v>
      </c>
      <c r="H20" s="890">
        <v>129.1</v>
      </c>
      <c r="I20" s="390">
        <f>SUM(I21:I25)</f>
        <v>244.524</v>
      </c>
      <c r="J20" s="390">
        <f t="shared" ref="J20:J28" si="15">IF(H20=0, "    ---- ", IF(ABS(ROUND(100/H20*I20-100,1))&lt;999,ROUND(100/H20*I20-100,1),IF(ROUND(100/H20*I20-100,1)&gt;999,999,-999)))</f>
        <v>89.4</v>
      </c>
      <c r="K20" s="104">
        <v>1018.3929999999999</v>
      </c>
      <c r="L20" s="817">
        <f>SUM(L21:L25)</f>
        <v>757.8</v>
      </c>
      <c r="M20" s="389">
        <f t="shared" si="13"/>
        <v>-25.6</v>
      </c>
      <c r="N20" s="919"/>
      <c r="O20" s="920"/>
      <c r="P20" s="390"/>
      <c r="Q20" s="104">
        <v>12705.276104479999</v>
      </c>
      <c r="R20" s="817">
        <v>14197.52222033</v>
      </c>
      <c r="S20" s="390">
        <f t="shared" si="1"/>
        <v>11.7</v>
      </c>
      <c r="T20" s="104">
        <v>244.4</v>
      </c>
      <c r="U20" s="817">
        <f>SUM(U21:U25)</f>
        <v>270.60000000000002</v>
      </c>
      <c r="V20" s="390">
        <f t="shared" si="14"/>
        <v>10.7</v>
      </c>
      <c r="W20" s="104">
        <v>10096.57</v>
      </c>
      <c r="X20" s="817">
        <f>SUM(X21:X25)</f>
        <v>10814.49</v>
      </c>
      <c r="Y20" s="390">
        <f t="shared" ref="Y20:Y28" si="16">IF(W20=0, "    ---- ", IF(ABS(ROUND(100/W20*X20-100,1))&lt;999,ROUND(100/W20*X20-100,1),IF(ROUND(100/W20*X20-100,1)&gt;999,999,-999)))</f>
        <v>7.1</v>
      </c>
      <c r="Z20" s="104">
        <v>3596</v>
      </c>
      <c r="AA20" s="817">
        <f>SUM(AA21:AA25)</f>
        <v>4190</v>
      </c>
      <c r="AB20" s="390">
        <f t="shared" si="5"/>
        <v>16.5</v>
      </c>
      <c r="AC20" s="104"/>
      <c r="AD20" s="817"/>
      <c r="AE20" s="338"/>
      <c r="AF20" s="104">
        <v>2673.2759999999998</v>
      </c>
      <c r="AG20" s="817">
        <f>SUM(AG21:AG25)</f>
        <v>4011.2869999999998</v>
      </c>
      <c r="AH20" s="390">
        <f t="shared" si="6"/>
        <v>50.1</v>
      </c>
      <c r="AI20" s="104">
        <v>12163</v>
      </c>
      <c r="AJ20" s="817">
        <f>SUM(AJ21:AJ25)</f>
        <v>12821</v>
      </c>
      <c r="AK20" s="390">
        <f t="shared" si="7"/>
        <v>5.4</v>
      </c>
      <c r="AL20" s="391">
        <f t="shared" si="8"/>
        <v>70218.562104479992</v>
      </c>
      <c r="AM20" s="391">
        <f t="shared" si="8"/>
        <v>72050.99122032999</v>
      </c>
      <c r="AN20" s="390">
        <f t="shared" si="2"/>
        <v>2.6</v>
      </c>
      <c r="AO20" s="391">
        <f t="shared" si="9"/>
        <v>70218.562104479992</v>
      </c>
      <c r="AP20" s="391">
        <f t="shared" si="9"/>
        <v>72050.99122032999</v>
      </c>
      <c r="AQ20" s="390">
        <f t="shared" si="3"/>
        <v>2.6</v>
      </c>
      <c r="AR20" s="443"/>
      <c r="AS20" s="443"/>
    </row>
    <row r="21" spans="1:46" s="444" customFormat="1" ht="20.100000000000001" customHeight="1" x14ac:dyDescent="0.3">
      <c r="A21" s="409" t="s">
        <v>202</v>
      </c>
      <c r="B21" s="196">
        <v>5.3979999999999997</v>
      </c>
      <c r="C21" s="393">
        <v>6.0380000000000003</v>
      </c>
      <c r="D21" s="390">
        <f>IF(B21=0, "    ---- ", IF(ABS(ROUND(100/B21*C21-100,1))&lt;999,ROUND(100/B21*C21-100,1),IF(ROUND(100/B21*C21-100,1)&gt;999,999,-999)))</f>
        <v>11.9</v>
      </c>
      <c r="E21" s="196">
        <v>1326.4559999999999</v>
      </c>
      <c r="F21" s="393">
        <v>352.245</v>
      </c>
      <c r="G21" s="390">
        <f t="shared" si="4"/>
        <v>-73.400000000000006</v>
      </c>
      <c r="H21" s="890">
        <v>17.100000000000001</v>
      </c>
      <c r="I21" s="390">
        <v>28.404</v>
      </c>
      <c r="J21" s="390">
        <f t="shared" si="15"/>
        <v>66.099999999999994</v>
      </c>
      <c r="K21" s="104">
        <v>67.19</v>
      </c>
      <c r="L21" s="817">
        <v>6.3</v>
      </c>
      <c r="M21" s="389">
        <f t="shared" si="13"/>
        <v>-90.6</v>
      </c>
      <c r="N21" s="919"/>
      <c r="O21" s="920"/>
      <c r="P21" s="390"/>
      <c r="Q21" s="104">
        <v>601.26160845000004</v>
      </c>
      <c r="R21" s="817">
        <v>5.2555584500000005</v>
      </c>
      <c r="S21" s="390">
        <f t="shared" si="1"/>
        <v>-99.1</v>
      </c>
      <c r="T21" s="104">
        <v>6.8</v>
      </c>
      <c r="U21" s="817">
        <v>8.4</v>
      </c>
      <c r="V21" s="390">
        <f t="shared" si="14"/>
        <v>23.5</v>
      </c>
      <c r="W21" s="104">
        <v>0</v>
      </c>
      <c r="X21" s="817">
        <v>0</v>
      </c>
      <c r="Y21" s="390" t="str">
        <f t="shared" si="16"/>
        <v xml:space="preserve">    ---- </v>
      </c>
      <c r="Z21" s="104">
        <v>1730</v>
      </c>
      <c r="AA21" s="817">
        <v>2060</v>
      </c>
      <c r="AB21" s="390"/>
      <c r="AC21" s="104"/>
      <c r="AD21" s="817"/>
      <c r="AE21" s="390"/>
      <c r="AF21" s="104">
        <v>0.48899999999999999</v>
      </c>
      <c r="AG21" s="817">
        <v>0.48899999999999999</v>
      </c>
      <c r="AH21" s="390">
        <f t="shared" si="6"/>
        <v>0</v>
      </c>
      <c r="AI21" s="104">
        <v>16</v>
      </c>
      <c r="AJ21" s="817">
        <v>24</v>
      </c>
      <c r="AK21" s="390">
        <f t="shared" si="7"/>
        <v>50</v>
      </c>
      <c r="AL21" s="391">
        <f t="shared" si="8"/>
        <v>3770.69460845</v>
      </c>
      <c r="AM21" s="391">
        <f t="shared" si="8"/>
        <v>2491.1315584500003</v>
      </c>
      <c r="AN21" s="390">
        <f t="shared" si="2"/>
        <v>-33.9</v>
      </c>
      <c r="AO21" s="391">
        <f t="shared" si="9"/>
        <v>3770.69460845</v>
      </c>
      <c r="AP21" s="391">
        <f t="shared" si="9"/>
        <v>2491.1315584500003</v>
      </c>
      <c r="AQ21" s="390">
        <f t="shared" si="3"/>
        <v>-33.9</v>
      </c>
      <c r="AR21" s="443"/>
      <c r="AS21" s="443"/>
    </row>
    <row r="22" spans="1:46" s="444" customFormat="1" ht="20.100000000000001" customHeight="1" x14ac:dyDescent="0.3">
      <c r="A22" s="409" t="s">
        <v>203</v>
      </c>
      <c r="B22" s="196">
        <v>227.97800000000001</v>
      </c>
      <c r="C22" s="393">
        <v>335.47399999999999</v>
      </c>
      <c r="D22" s="390">
        <f>IF(B22=0, "    ---- ", IF(ABS(ROUND(100/B22*C22-100,1))&lt;999,ROUND(100/B22*C22-100,1),IF(ROUND(100/B22*C22-100,1)&gt;999,999,-999)))</f>
        <v>47.2</v>
      </c>
      <c r="E22" s="196">
        <v>26010.010999999999</v>
      </c>
      <c r="F22" s="393">
        <v>24020.473000000002</v>
      </c>
      <c r="G22" s="390">
        <f t="shared" si="4"/>
        <v>-7.6</v>
      </c>
      <c r="H22" s="890">
        <v>94</v>
      </c>
      <c r="I22" s="390">
        <v>183.63800000000001</v>
      </c>
      <c r="J22" s="390">
        <f t="shared" si="15"/>
        <v>95.4</v>
      </c>
      <c r="K22" s="104">
        <v>852.60299999999995</v>
      </c>
      <c r="L22" s="817">
        <v>751.5</v>
      </c>
      <c r="M22" s="389">
        <f t="shared" si="13"/>
        <v>-11.9</v>
      </c>
      <c r="N22" s="919"/>
      <c r="O22" s="920"/>
      <c r="P22" s="390"/>
      <c r="Q22" s="104">
        <v>9938.8467140499997</v>
      </c>
      <c r="R22" s="817">
        <v>11743.937411520001</v>
      </c>
      <c r="S22" s="390">
        <f t="shared" si="1"/>
        <v>18.2</v>
      </c>
      <c r="T22" s="104">
        <v>235.4</v>
      </c>
      <c r="U22" s="817">
        <v>255.9</v>
      </c>
      <c r="V22" s="390">
        <f t="shared" si="14"/>
        <v>8.6999999999999993</v>
      </c>
      <c r="W22" s="104">
        <v>9559.25</v>
      </c>
      <c r="X22" s="817">
        <v>10814.22</v>
      </c>
      <c r="Y22" s="390">
        <f t="shared" si="16"/>
        <v>13.1</v>
      </c>
      <c r="Z22" s="104">
        <v>1866</v>
      </c>
      <c r="AA22" s="817">
        <v>2091</v>
      </c>
      <c r="AB22" s="390">
        <f t="shared" si="5"/>
        <v>12.1</v>
      </c>
      <c r="AC22" s="104"/>
      <c r="AD22" s="817"/>
      <c r="AE22" s="390"/>
      <c r="AF22" s="104">
        <v>2040.9059999999999</v>
      </c>
      <c r="AG22" s="817">
        <v>4023.7939999999999</v>
      </c>
      <c r="AH22" s="390">
        <f t="shared" si="6"/>
        <v>97.2</v>
      </c>
      <c r="AI22" s="104">
        <v>11026</v>
      </c>
      <c r="AJ22" s="817">
        <v>11675</v>
      </c>
      <c r="AK22" s="390">
        <f t="shared" si="7"/>
        <v>5.9</v>
      </c>
      <c r="AL22" s="391">
        <f t="shared" si="8"/>
        <v>61850.994714050001</v>
      </c>
      <c r="AM22" s="391">
        <f t="shared" si="8"/>
        <v>65894.936411520001</v>
      </c>
      <c r="AN22" s="390">
        <f t="shared" si="2"/>
        <v>6.5</v>
      </c>
      <c r="AO22" s="391">
        <f t="shared" si="9"/>
        <v>61850.994714050001</v>
      </c>
      <c r="AP22" s="391">
        <f t="shared" si="9"/>
        <v>65894.936411520001</v>
      </c>
      <c r="AQ22" s="390">
        <f t="shared" si="3"/>
        <v>6.5</v>
      </c>
      <c r="AR22" s="443"/>
      <c r="AS22" s="443"/>
    </row>
    <row r="23" spans="1:46" s="444" customFormat="1" ht="20.100000000000001" customHeight="1" x14ac:dyDescent="0.3">
      <c r="A23" s="409" t="s">
        <v>204</v>
      </c>
      <c r="B23" s="196"/>
      <c r="C23" s="393"/>
      <c r="D23" s="390"/>
      <c r="E23" s="196">
        <v>1.3520000000000001</v>
      </c>
      <c r="F23" s="393">
        <v>2.746</v>
      </c>
      <c r="G23" s="390">
        <f t="shared" si="4"/>
        <v>103.1</v>
      </c>
      <c r="H23" s="890"/>
      <c r="I23" s="390"/>
      <c r="J23" s="390"/>
      <c r="K23" s="104"/>
      <c r="L23" s="817"/>
      <c r="M23" s="389"/>
      <c r="N23" s="919"/>
      <c r="O23" s="920"/>
      <c r="P23" s="390"/>
      <c r="Q23" s="104">
        <v>1514.3077356199999</v>
      </c>
      <c r="R23" s="817">
        <v>1701.2320926099999</v>
      </c>
      <c r="S23" s="390">
        <f t="shared" si="1"/>
        <v>12.3</v>
      </c>
      <c r="T23" s="104">
        <v>2.2000000000000002</v>
      </c>
      <c r="U23" s="817">
        <v>6.3</v>
      </c>
      <c r="V23" s="390">
        <f t="shared" si="14"/>
        <v>186.4</v>
      </c>
      <c r="W23" s="104">
        <v>97.32</v>
      </c>
      <c r="X23" s="817">
        <v>0.27</v>
      </c>
      <c r="Y23" s="390">
        <f t="shared" si="16"/>
        <v>-99.7</v>
      </c>
      <c r="Z23" s="104"/>
      <c r="AA23" s="817"/>
      <c r="AB23" s="390"/>
      <c r="AC23" s="104"/>
      <c r="AD23" s="817"/>
      <c r="AE23" s="390"/>
      <c r="AF23" s="104">
        <v>0</v>
      </c>
      <c r="AG23" s="817">
        <v>0</v>
      </c>
      <c r="AH23" s="390" t="str">
        <f t="shared" si="6"/>
        <v xml:space="preserve">    ---- </v>
      </c>
      <c r="AI23" s="104"/>
      <c r="AJ23" s="817"/>
      <c r="AK23" s="390"/>
      <c r="AL23" s="391">
        <f t="shared" si="8"/>
        <v>1615.17973562</v>
      </c>
      <c r="AM23" s="391">
        <f t="shared" si="8"/>
        <v>1710.5480926099999</v>
      </c>
      <c r="AN23" s="390">
        <f t="shared" si="2"/>
        <v>5.9</v>
      </c>
      <c r="AO23" s="391">
        <f t="shared" si="9"/>
        <v>1615.17973562</v>
      </c>
      <c r="AP23" s="391">
        <f t="shared" si="9"/>
        <v>1710.5480926099999</v>
      </c>
      <c r="AQ23" s="390">
        <f t="shared" si="3"/>
        <v>5.9</v>
      </c>
      <c r="AR23" s="443"/>
      <c r="AS23" s="443"/>
    </row>
    <row r="24" spans="1:46" s="444" customFormat="1" ht="20.100000000000001" customHeight="1" x14ac:dyDescent="0.3">
      <c r="A24" s="409" t="s">
        <v>205</v>
      </c>
      <c r="B24" s="196"/>
      <c r="C24" s="393"/>
      <c r="D24" s="390"/>
      <c r="E24" s="196">
        <v>0</v>
      </c>
      <c r="F24" s="393">
        <v>7.9939999999999998</v>
      </c>
      <c r="G24" s="390" t="str">
        <f t="shared" si="4"/>
        <v xml:space="preserve">    ---- </v>
      </c>
      <c r="H24" s="890"/>
      <c r="I24" s="390"/>
      <c r="J24" s="390"/>
      <c r="K24" s="104"/>
      <c r="L24" s="817"/>
      <c r="M24" s="389"/>
      <c r="N24" s="919"/>
      <c r="O24" s="920"/>
      <c r="P24" s="390"/>
      <c r="Q24" s="104">
        <v>650.86004636999996</v>
      </c>
      <c r="R24" s="817">
        <v>747.09715775999996</v>
      </c>
      <c r="S24" s="390">
        <f t="shared" si="1"/>
        <v>14.8</v>
      </c>
      <c r="T24" s="104"/>
      <c r="U24" s="817"/>
      <c r="V24" s="390"/>
      <c r="W24" s="104">
        <v>0</v>
      </c>
      <c r="X24" s="817">
        <v>0</v>
      </c>
      <c r="Y24" s="390" t="str">
        <f t="shared" si="16"/>
        <v xml:space="preserve">    ---- </v>
      </c>
      <c r="Z24" s="104"/>
      <c r="AA24" s="817">
        <v>39</v>
      </c>
      <c r="AB24" s="390" t="str">
        <f t="shared" si="5"/>
        <v xml:space="preserve">    ---- </v>
      </c>
      <c r="AC24" s="104"/>
      <c r="AD24" s="817"/>
      <c r="AE24" s="390"/>
      <c r="AF24" s="104">
        <v>0</v>
      </c>
      <c r="AG24" s="817">
        <v>0</v>
      </c>
      <c r="AH24" s="390" t="str">
        <f t="shared" si="6"/>
        <v xml:space="preserve">    ---- </v>
      </c>
      <c r="AI24" s="104">
        <v>1121</v>
      </c>
      <c r="AJ24" s="817">
        <v>1122</v>
      </c>
      <c r="AK24" s="390">
        <f t="shared" si="7"/>
        <v>0.1</v>
      </c>
      <c r="AL24" s="391">
        <f t="shared" si="8"/>
        <v>1771.86004637</v>
      </c>
      <c r="AM24" s="391">
        <f t="shared" si="8"/>
        <v>1916.09115776</v>
      </c>
      <c r="AN24" s="390">
        <f t="shared" si="2"/>
        <v>8.1</v>
      </c>
      <c r="AO24" s="391">
        <f t="shared" si="9"/>
        <v>1771.86004637</v>
      </c>
      <c r="AP24" s="391">
        <f t="shared" si="9"/>
        <v>1916.09115776</v>
      </c>
      <c r="AQ24" s="390">
        <f t="shared" si="3"/>
        <v>8.1</v>
      </c>
      <c r="AR24" s="443"/>
      <c r="AS24" s="443"/>
    </row>
    <row r="25" spans="1:46" s="444" customFormat="1" ht="20.100000000000001" customHeight="1" x14ac:dyDescent="0.3">
      <c r="A25" s="409" t="s">
        <v>206</v>
      </c>
      <c r="B25" s="196"/>
      <c r="C25" s="393"/>
      <c r="D25" s="390"/>
      <c r="E25" s="196">
        <v>21.352</v>
      </c>
      <c r="F25" s="393">
        <v>18.797999999999998</v>
      </c>
      <c r="G25" s="390">
        <f t="shared" si="4"/>
        <v>-12</v>
      </c>
      <c r="H25" s="890">
        <v>18</v>
      </c>
      <c r="I25" s="390">
        <v>32.481999999999999</v>
      </c>
      <c r="J25" s="390">
        <f t="shared" si="15"/>
        <v>80.5</v>
      </c>
      <c r="K25" s="104">
        <v>98.6</v>
      </c>
      <c r="L25" s="817"/>
      <c r="M25" s="389"/>
      <c r="N25" s="919"/>
      <c r="O25" s="920"/>
      <c r="P25" s="390"/>
      <c r="Q25" s="104">
        <v>-1E-8</v>
      </c>
      <c r="R25" s="817">
        <v>-1E-8</v>
      </c>
      <c r="S25" s="390">
        <f t="shared" si="1"/>
        <v>0</v>
      </c>
      <c r="T25" s="104"/>
      <c r="U25" s="817"/>
      <c r="V25" s="390"/>
      <c r="W25" s="104">
        <v>440</v>
      </c>
      <c r="X25" s="817">
        <v>0</v>
      </c>
      <c r="Y25" s="390">
        <f t="shared" si="16"/>
        <v>-100</v>
      </c>
      <c r="Z25" s="104"/>
      <c r="AA25" s="817"/>
      <c r="AB25" s="390"/>
      <c r="AC25" s="104"/>
      <c r="AD25" s="817"/>
      <c r="AE25" s="338"/>
      <c r="AF25" s="104">
        <v>631.88099999999997</v>
      </c>
      <c r="AG25" s="817">
        <v>-12.996</v>
      </c>
      <c r="AH25" s="390">
        <f t="shared" si="6"/>
        <v>-102.1</v>
      </c>
      <c r="AI25" s="104"/>
      <c r="AJ25" s="817"/>
      <c r="AK25" s="390"/>
      <c r="AL25" s="391">
        <f t="shared" si="8"/>
        <v>1209.83299999</v>
      </c>
      <c r="AM25" s="391">
        <f t="shared" si="8"/>
        <v>38.283999989999998</v>
      </c>
      <c r="AN25" s="390">
        <f t="shared" si="2"/>
        <v>-96.8</v>
      </c>
      <c r="AO25" s="391">
        <f t="shared" si="9"/>
        <v>1209.83299999</v>
      </c>
      <c r="AP25" s="391">
        <f t="shared" si="9"/>
        <v>38.283999989999998</v>
      </c>
      <c r="AQ25" s="390">
        <f t="shared" si="3"/>
        <v>-96.8</v>
      </c>
      <c r="AR25" s="443"/>
      <c r="AS25" s="443"/>
    </row>
    <row r="26" spans="1:46" s="444" customFormat="1" ht="20.100000000000001" customHeight="1" x14ac:dyDescent="0.3">
      <c r="A26" s="409" t="s">
        <v>207</v>
      </c>
      <c r="B26" s="196"/>
      <c r="C26" s="393"/>
      <c r="D26" s="390"/>
      <c r="E26" s="196"/>
      <c r="F26" s="393"/>
      <c r="G26" s="390"/>
      <c r="H26" s="890"/>
      <c r="I26" s="390"/>
      <c r="J26" s="390"/>
      <c r="K26" s="104"/>
      <c r="L26" s="817"/>
      <c r="M26" s="389"/>
      <c r="N26" s="919"/>
      <c r="O26" s="920"/>
      <c r="P26" s="390"/>
      <c r="Q26" s="104"/>
      <c r="R26" s="817"/>
      <c r="S26" s="390"/>
      <c r="T26" s="104"/>
      <c r="U26" s="817"/>
      <c r="V26" s="390"/>
      <c r="W26" s="104"/>
      <c r="X26" s="817"/>
      <c r="Y26" s="390"/>
      <c r="Z26" s="104"/>
      <c r="AA26" s="817"/>
      <c r="AB26" s="390"/>
      <c r="AC26" s="104"/>
      <c r="AD26" s="817"/>
      <c r="AE26" s="390"/>
      <c r="AF26" s="104"/>
      <c r="AG26" s="817"/>
      <c r="AH26" s="390"/>
      <c r="AI26" s="104"/>
      <c r="AJ26" s="817"/>
      <c r="AK26" s="390"/>
      <c r="AL26" s="391">
        <f t="shared" si="8"/>
        <v>0</v>
      </c>
      <c r="AM26" s="391">
        <f t="shared" si="8"/>
        <v>0</v>
      </c>
      <c r="AN26" s="390" t="str">
        <f t="shared" si="2"/>
        <v xml:space="preserve">    ---- </v>
      </c>
      <c r="AO26" s="391">
        <f t="shared" si="9"/>
        <v>0</v>
      </c>
      <c r="AP26" s="391">
        <f t="shared" si="9"/>
        <v>0</v>
      </c>
      <c r="AQ26" s="390" t="str">
        <f t="shared" si="3"/>
        <v xml:space="preserve">    ---- </v>
      </c>
      <c r="AR26" s="443"/>
      <c r="AS26" s="443"/>
    </row>
    <row r="27" spans="1:46" s="444" customFormat="1" ht="20.100000000000001" customHeight="1" x14ac:dyDescent="0.3">
      <c r="A27" s="410" t="s">
        <v>208</v>
      </c>
      <c r="B27" s="196">
        <v>233.376</v>
      </c>
      <c r="C27" s="393">
        <f>SUM(C14+C15+C16+C20+C26)</f>
        <v>341.512</v>
      </c>
      <c r="D27" s="390">
        <f>IF(B27=0, "    ---- ", IF(ABS(ROUND(100/B27*C27-100,1))&lt;999,ROUND(100/B27*C27-100,1),IF(ROUND(100/B27*C27-100,1)&gt;999,999,-999)))</f>
        <v>46.3</v>
      </c>
      <c r="E27" s="196">
        <v>31419.891999999993</v>
      </c>
      <c r="F27" s="393">
        <f>SUM(F14+F15+F16+F20+F26)</f>
        <v>31637.859999999997</v>
      </c>
      <c r="G27" s="390">
        <f t="shared" si="4"/>
        <v>0.7</v>
      </c>
      <c r="H27" s="890">
        <v>161.69999999999999</v>
      </c>
      <c r="I27" s="390">
        <f>SUM(I14+I15+I16+I20+I26)</f>
        <v>298.334</v>
      </c>
      <c r="J27" s="390">
        <f t="shared" si="15"/>
        <v>84.5</v>
      </c>
      <c r="K27" s="104">
        <v>1018.3929999999999</v>
      </c>
      <c r="L27" s="817">
        <f>SUM(L14+L15+L16+L20+L26)</f>
        <v>994</v>
      </c>
      <c r="M27" s="389">
        <f t="shared" si="13"/>
        <v>-2.4</v>
      </c>
      <c r="N27" s="919"/>
      <c r="O27" s="920"/>
      <c r="P27" s="390"/>
      <c r="Q27" s="104">
        <v>38483.48718787</v>
      </c>
      <c r="R27" s="817">
        <f>SUM(R14+R15+R16+R20+R26)</f>
        <v>41738.398682589999</v>
      </c>
      <c r="S27" s="390">
        <f t="shared" si="1"/>
        <v>8.5</v>
      </c>
      <c r="T27" s="104">
        <v>492.3</v>
      </c>
      <c r="U27" s="817">
        <f>SUM(U14+U15+U16+U20+U26)</f>
        <v>574.40000000000009</v>
      </c>
      <c r="V27" s="390">
        <f t="shared" si="14"/>
        <v>16.7</v>
      </c>
      <c r="W27" s="104">
        <v>10096.57</v>
      </c>
      <c r="X27" s="817">
        <f>SUM(X14+X15+X16+X20+X26)</f>
        <v>10814.49</v>
      </c>
      <c r="Y27" s="390">
        <f t="shared" si="16"/>
        <v>7.1</v>
      </c>
      <c r="Z27" s="104">
        <v>9314</v>
      </c>
      <c r="AA27" s="817">
        <f>SUM(AA14+AA15+AA16+AA20+AA26)</f>
        <v>9547</v>
      </c>
      <c r="AB27" s="390">
        <f t="shared" si="5"/>
        <v>2.5</v>
      </c>
      <c r="AC27" s="104"/>
      <c r="AD27" s="817"/>
      <c r="AE27" s="338"/>
      <c r="AF27" s="104">
        <v>6087.9359999999997</v>
      </c>
      <c r="AG27" s="817">
        <f>SUM(AG14+AG15+AG16+AG20+AG26)</f>
        <v>6886.1489999999994</v>
      </c>
      <c r="AH27" s="390">
        <f t="shared" si="6"/>
        <v>13.1</v>
      </c>
      <c r="AI27" s="104">
        <v>33441</v>
      </c>
      <c r="AJ27" s="817">
        <f>SUM(AJ14+AJ15+AJ16+AJ20+AJ26)</f>
        <v>33263</v>
      </c>
      <c r="AK27" s="390">
        <f t="shared" si="7"/>
        <v>-0.5</v>
      </c>
      <c r="AL27" s="391">
        <f t="shared" si="8"/>
        <v>130748.65418786999</v>
      </c>
      <c r="AM27" s="391">
        <f t="shared" si="8"/>
        <v>136095.14368258999</v>
      </c>
      <c r="AN27" s="390">
        <f t="shared" si="2"/>
        <v>4.0999999999999996</v>
      </c>
      <c r="AO27" s="391">
        <f t="shared" si="9"/>
        <v>130748.65418786999</v>
      </c>
      <c r="AP27" s="391">
        <f t="shared" si="9"/>
        <v>136095.14368258999</v>
      </c>
      <c r="AQ27" s="390">
        <f t="shared" si="3"/>
        <v>4.0999999999999996</v>
      </c>
      <c r="AR27" s="443"/>
      <c r="AS27" s="443"/>
    </row>
    <row r="28" spans="1:46" s="444" customFormat="1" ht="20.100000000000001" customHeight="1" x14ac:dyDescent="0.3">
      <c r="A28" s="409" t="s">
        <v>209</v>
      </c>
      <c r="B28" s="196">
        <v>254.10499999999999</v>
      </c>
      <c r="C28" s="393">
        <f>76.632+358.936+4.393</f>
        <v>439.96099999999996</v>
      </c>
      <c r="D28" s="390">
        <f>IF(B28=0, "    ---- ", IF(ABS(ROUND(100/B28*C28-100,1))&lt;999,ROUND(100/B28*C28-100,1),IF(ROUND(100/B28*C28-100,1)&gt;999,999,-999)))</f>
        <v>73.099999999999994</v>
      </c>
      <c r="E28" s="196">
        <v>917.04300000000001</v>
      </c>
      <c r="F28" s="393">
        <f>4.549+236.642+817.686+143.809</f>
        <v>1202.6859999999999</v>
      </c>
      <c r="G28" s="390">
        <f t="shared" si="4"/>
        <v>31.1</v>
      </c>
      <c r="H28" s="890">
        <v>142.1</v>
      </c>
      <c r="I28" s="390">
        <v>128.43100000000001</v>
      </c>
      <c r="J28" s="390">
        <f t="shared" si="15"/>
        <v>-9.6</v>
      </c>
      <c r="K28" s="104">
        <v>304.46199999999999</v>
      </c>
      <c r="L28" s="817">
        <f>48.1+240.1+120.7+1.2</f>
        <v>410.09999999999997</v>
      </c>
      <c r="M28" s="389">
        <f t="shared" si="13"/>
        <v>34.700000000000003</v>
      </c>
      <c r="N28" s="919">
        <v>145</v>
      </c>
      <c r="O28" s="920">
        <v>148.08570477000001</v>
      </c>
      <c r="P28" s="390">
        <f>IF(N28=0, "    ---- ", IF(ABS(ROUND(100/N28*O28-100,1))&lt;999,ROUND(100/N28*O28-100,1),IF(ROUND(100/N28*O28-100,1)&gt;999,999,-999)))</f>
        <v>2.1</v>
      </c>
      <c r="Q28" s="104">
        <v>1908.3303953200002</v>
      </c>
      <c r="R28" s="817">
        <v>2163.9662561400005</v>
      </c>
      <c r="S28" s="390">
        <f t="shared" si="1"/>
        <v>13.4</v>
      </c>
      <c r="T28" s="104">
        <v>30.6</v>
      </c>
      <c r="U28" s="817">
        <v>27.1</v>
      </c>
      <c r="V28" s="390">
        <f t="shared" si="14"/>
        <v>-11.4</v>
      </c>
      <c r="W28" s="104">
        <v>749</v>
      </c>
      <c r="X28" s="817">
        <v>736</v>
      </c>
      <c r="Y28" s="390">
        <f t="shared" si="16"/>
        <v>-1.7</v>
      </c>
      <c r="Z28" s="104">
        <v>642</v>
      </c>
      <c r="AA28" s="817">
        <f>33+106+985+16</f>
        <v>1140</v>
      </c>
      <c r="AB28" s="390">
        <f t="shared" si="5"/>
        <v>77.599999999999994</v>
      </c>
      <c r="AC28" s="104">
        <v>62.343768490000002</v>
      </c>
      <c r="AD28" s="817">
        <v>86.089463969999997</v>
      </c>
      <c r="AE28" s="390"/>
      <c r="AF28" s="104">
        <v>656.78599999999994</v>
      </c>
      <c r="AG28" s="817">
        <v>1023.6420000000001</v>
      </c>
      <c r="AH28" s="390">
        <f t="shared" si="6"/>
        <v>55.9</v>
      </c>
      <c r="AI28" s="104">
        <v>5570</v>
      </c>
      <c r="AJ28" s="817">
        <f>338+1439+2261+25</f>
        <v>4063</v>
      </c>
      <c r="AK28" s="390">
        <f t="shared" si="7"/>
        <v>-27.1</v>
      </c>
      <c r="AL28" s="391">
        <f t="shared" si="8"/>
        <v>11174.426395320001</v>
      </c>
      <c r="AM28" s="391">
        <f t="shared" si="8"/>
        <v>11334.88625614</v>
      </c>
      <c r="AN28" s="390">
        <f t="shared" si="2"/>
        <v>1.4</v>
      </c>
      <c r="AO28" s="391">
        <f t="shared" si="9"/>
        <v>11381.770163810001</v>
      </c>
      <c r="AP28" s="391">
        <f t="shared" si="9"/>
        <v>11569.061424880001</v>
      </c>
      <c r="AQ28" s="390">
        <f t="shared" si="3"/>
        <v>1.6</v>
      </c>
      <c r="AR28" s="443"/>
      <c r="AS28" s="443"/>
    </row>
    <row r="29" spans="1:46" s="444" customFormat="1" ht="20.100000000000001" customHeight="1" x14ac:dyDescent="0.3">
      <c r="A29" s="409" t="s">
        <v>210</v>
      </c>
      <c r="B29" s="196">
        <v>487.48099999999999</v>
      </c>
      <c r="C29" s="393">
        <f>SUM(C27+C28)</f>
        <v>781.47299999999996</v>
      </c>
      <c r="D29" s="390">
        <f>IF(B29=0, "    ---- ", IF(ABS(ROUND(100/B29*C29-100,1))&lt;999,ROUND(100/B29*C29-100,1),IF(ROUND(100/B29*C29-100,1)&gt;999,999,-999)))</f>
        <v>60.3</v>
      </c>
      <c r="E29" s="196">
        <v>32336.934999999994</v>
      </c>
      <c r="F29" s="393">
        <f>SUM(F27+F28)</f>
        <v>32840.545999999995</v>
      </c>
      <c r="G29" s="390">
        <f>IF(E29=0, "    ---- ", IF(ABS(ROUND(100/E29*F29-100,1))&lt;999,ROUND(100/E29*F29-100,1),IF(ROUND(100/E29*F29-100,1)&gt;999,999,-999)))</f>
        <v>1.6</v>
      </c>
      <c r="H29" s="390">
        <f>SUM(H27+H28)</f>
        <v>303.79999999999995</v>
      </c>
      <c r="I29" s="390">
        <f>SUM(I27+I28)</f>
        <v>426.76499999999999</v>
      </c>
      <c r="J29" s="390">
        <f>IF(H29=0, "    ---- ", IF(ABS(ROUND(100/H29*I29-100,1))&lt;999,ROUND(100/H29*I29-100,1),IF(ROUND(100/H29*I29-100,1)&gt;999,999,-999)))</f>
        <v>40.5</v>
      </c>
      <c r="K29" s="196">
        <v>1322.855</v>
      </c>
      <c r="L29" s="393">
        <f>SUM(L27+L28)</f>
        <v>1404.1</v>
      </c>
      <c r="M29" s="390">
        <f>IF(K29=0, "    ---- ", IF(ABS(ROUND(100/K29*L29-100,1))&lt;999,ROUND(100/K29*L29-100,1),IF(ROUND(100/K29*L29-100,1)&gt;999,999,-999)))</f>
        <v>6.1</v>
      </c>
      <c r="N29" s="196">
        <v>145</v>
      </c>
      <c r="O29" s="393">
        <f>SUM(O27+O28)</f>
        <v>148.08570477000001</v>
      </c>
      <c r="P29" s="390">
        <f>IF(N29=0, "    ---- ", IF(ABS(ROUND(100/N29*O29-100,1))&lt;999,ROUND(100/N29*O29-100,1),IF(ROUND(100/N29*O29-100,1)&gt;999,999,-999)))</f>
        <v>2.1</v>
      </c>
      <c r="Q29" s="196">
        <v>40391.817583190001</v>
      </c>
      <c r="R29" s="393">
        <f>SUM(R27+R28)</f>
        <v>43902.364938730003</v>
      </c>
      <c r="S29" s="390">
        <f>IF(Q29=0, "    ---- ", IF(ABS(ROUND(100/Q29*R29-100,1))&lt;999,ROUND(100/Q29*R29-100,1),IF(ROUND(100/Q29*R29-100,1)&gt;999,999,-999)))</f>
        <v>8.6999999999999993</v>
      </c>
      <c r="T29" s="196">
        <v>522.9</v>
      </c>
      <c r="U29" s="393">
        <f>SUM(U27+U28)</f>
        <v>601.50000000000011</v>
      </c>
      <c r="V29" s="390">
        <f>IF(T29=0, "    ---- ", IF(ABS(ROUND(100/T29*U29-100,1))&lt;999,ROUND(100/T29*U29-100,1),IF(ROUND(100/T29*U29-100,1)&gt;999,999,-999)))</f>
        <v>15</v>
      </c>
      <c r="W29" s="196">
        <v>10845.57</v>
      </c>
      <c r="X29" s="393">
        <f>SUM(X27+X28)</f>
        <v>11550.49</v>
      </c>
      <c r="Y29" s="390">
        <f>IF(W29=0, "    ---- ", IF(ABS(ROUND(100/W29*X29-100,1))&lt;999,ROUND(100/W29*X29-100,1),IF(ROUND(100/W29*X29-100,1)&gt;999,999,-999)))</f>
        <v>6.5</v>
      </c>
      <c r="Z29" s="196">
        <v>9956</v>
      </c>
      <c r="AA29" s="393">
        <f>SUM(AA27+AA28)</f>
        <v>10687</v>
      </c>
      <c r="AB29" s="390">
        <f>IF(Z29=0, "    ---- ", IF(ABS(ROUND(100/Z29*AA29-100,1))&lt;999,ROUND(100/Z29*AA29-100,1),IF(ROUND(100/Z29*AA29-100,1)&gt;999,999,-999)))</f>
        <v>7.3</v>
      </c>
      <c r="AC29" s="196">
        <v>62.343768490000002</v>
      </c>
      <c r="AD29" s="393">
        <f>SUM(AD27+AD28)</f>
        <v>86.089463969999997</v>
      </c>
      <c r="AE29" s="390">
        <f>IF(AC29=0, "    ---- ", IF(ABS(ROUND(100/AC29*AD29-100,1))&lt;999,ROUND(100/AC29*AD29-100,1),IF(ROUND(100/AC29*AD29-100,1)&gt;999,999,-999)))</f>
        <v>38.1</v>
      </c>
      <c r="AF29" s="196">
        <v>6744.7219999999998</v>
      </c>
      <c r="AG29" s="393">
        <f>SUM(AG27+AG28)</f>
        <v>7909.7909999999993</v>
      </c>
      <c r="AH29" s="390">
        <f>IF(AF29=0, "    ---- ", IF(ABS(ROUND(100/AF29*AG29-100,1))&lt;999,ROUND(100/AF29*AG29-100,1),IF(ROUND(100/AF29*AG29-100,1)&gt;999,999,-999)))</f>
        <v>17.3</v>
      </c>
      <c r="AI29" s="196">
        <v>39011</v>
      </c>
      <c r="AJ29" s="393">
        <f>SUM(AJ27+AJ28)</f>
        <v>37326</v>
      </c>
      <c r="AK29" s="390">
        <f>IF(AI29=0, "    ---- ", IF(ABS(ROUND(100/AI29*AJ29-100,1))&lt;999,ROUND(100/AI29*AJ29-100,1),IF(ROUND(100/AI29*AJ29-100,1)&gt;999,999,-999)))</f>
        <v>-4.3</v>
      </c>
      <c r="AL29" s="391">
        <f t="shared" si="8"/>
        <v>141923.08058319002</v>
      </c>
      <c r="AM29" s="391">
        <f t="shared" si="8"/>
        <v>147430.02993873</v>
      </c>
      <c r="AN29" s="390">
        <f>IF(AL29=0, "    ---- ", IF(ABS(ROUND(100/AL29*AM29-100,1))&lt;999,ROUND(100/AL29*AM29-100,1),IF(ROUND(100/AL29*AM29-100,1)&gt;999,999,-999)))</f>
        <v>3.9</v>
      </c>
      <c r="AO29" s="391">
        <f t="shared" si="9"/>
        <v>142130.42435168001</v>
      </c>
      <c r="AP29" s="391">
        <f t="shared" si="9"/>
        <v>147664.20510746998</v>
      </c>
      <c r="AQ29" s="392">
        <f t="shared" si="3"/>
        <v>3.9</v>
      </c>
      <c r="AR29" s="443"/>
      <c r="AS29" s="443"/>
      <c r="AT29" s="445"/>
    </row>
    <row r="30" spans="1:46" s="415" customFormat="1" ht="20.100000000000001" customHeight="1" x14ac:dyDescent="0.3">
      <c r="A30" s="409"/>
      <c r="B30" s="785"/>
      <c r="C30" s="382"/>
      <c r="D30" s="393"/>
      <c r="E30" s="785"/>
      <c r="F30" s="382"/>
      <c r="G30" s="393"/>
      <c r="H30" s="106"/>
      <c r="I30" s="389"/>
      <c r="J30" s="393"/>
      <c r="K30" s="196"/>
      <c r="L30" s="393"/>
      <c r="M30" s="382"/>
      <c r="N30" s="785"/>
      <c r="O30" s="382"/>
      <c r="P30" s="338"/>
      <c r="Q30" s="785"/>
      <c r="R30" s="382"/>
      <c r="S30" s="338"/>
      <c r="T30" s="785"/>
      <c r="U30" s="382"/>
      <c r="V30" s="338"/>
      <c r="W30" s="785"/>
      <c r="X30" s="382"/>
      <c r="Y30" s="338"/>
      <c r="Z30" s="785"/>
      <c r="AA30" s="382"/>
      <c r="AB30" s="338"/>
      <c r="AC30" s="785"/>
      <c r="AD30" s="382"/>
      <c r="AE30" s="338"/>
      <c r="AF30" s="785"/>
      <c r="AG30" s="382"/>
      <c r="AH30" s="338"/>
      <c r="AI30" s="785"/>
      <c r="AJ30" s="382"/>
      <c r="AK30" s="338"/>
      <c r="AL30" s="384"/>
      <c r="AM30" s="384"/>
      <c r="AN30" s="338"/>
      <c r="AO30" s="384"/>
      <c r="AP30" s="384"/>
      <c r="AQ30" s="394"/>
      <c r="AR30" s="442"/>
      <c r="AS30" s="442"/>
    </row>
    <row r="31" spans="1:46" s="415" customFormat="1" ht="20.100000000000001" customHeight="1" x14ac:dyDescent="0.3">
      <c r="A31" s="407" t="s">
        <v>211</v>
      </c>
      <c r="B31" s="196"/>
      <c r="C31" s="393"/>
      <c r="D31" s="393"/>
      <c r="E31" s="196"/>
      <c r="F31" s="393"/>
      <c r="G31" s="393"/>
      <c r="H31" s="890"/>
      <c r="I31" s="390"/>
      <c r="J31" s="393"/>
      <c r="K31" s="196"/>
      <c r="L31" s="393"/>
      <c r="M31" s="382"/>
      <c r="N31" s="196"/>
      <c r="O31" s="393"/>
      <c r="P31" s="338"/>
      <c r="Q31" s="196"/>
      <c r="R31" s="393"/>
      <c r="S31" s="338"/>
      <c r="T31" s="196"/>
      <c r="U31" s="393"/>
      <c r="V31" s="338"/>
      <c r="W31" s="196"/>
      <c r="X31" s="393"/>
      <c r="Y31" s="338"/>
      <c r="Z31" s="196"/>
      <c r="AA31" s="393"/>
      <c r="AB31" s="338"/>
      <c r="AC31" s="196"/>
      <c r="AD31" s="393"/>
      <c r="AE31" s="338"/>
      <c r="AF31" s="196"/>
      <c r="AG31" s="393"/>
      <c r="AH31" s="338"/>
      <c r="AI31" s="196"/>
      <c r="AJ31" s="393"/>
      <c r="AK31" s="338"/>
      <c r="AL31" s="384"/>
      <c r="AM31" s="384"/>
      <c r="AN31" s="338"/>
      <c r="AO31" s="384"/>
      <c r="AP31" s="384"/>
      <c r="AQ31" s="394"/>
      <c r="AR31" s="442"/>
      <c r="AS31" s="442"/>
    </row>
    <row r="32" spans="1:46" s="415" customFormat="1" ht="20.100000000000001" customHeight="1" x14ac:dyDescent="0.3">
      <c r="A32" s="407" t="s">
        <v>212</v>
      </c>
      <c r="B32" s="196"/>
      <c r="C32" s="393"/>
      <c r="D32" s="338"/>
      <c r="E32" s="196"/>
      <c r="F32" s="393"/>
      <c r="G32" s="338"/>
      <c r="H32" s="890"/>
      <c r="I32" s="390"/>
      <c r="J32" s="338"/>
      <c r="K32" s="196"/>
      <c r="L32" s="393"/>
      <c r="M32" s="382"/>
      <c r="N32" s="196"/>
      <c r="O32" s="393"/>
      <c r="P32" s="338"/>
      <c r="Q32" s="196"/>
      <c r="R32" s="393"/>
      <c r="S32" s="338"/>
      <c r="T32" s="196"/>
      <c r="U32" s="393"/>
      <c r="V32" s="338"/>
      <c r="W32" s="196"/>
      <c r="X32" s="393"/>
      <c r="Y32" s="338"/>
      <c r="Z32" s="196"/>
      <c r="AA32" s="393"/>
      <c r="AB32" s="338"/>
      <c r="AC32" s="196"/>
      <c r="AD32" s="393"/>
      <c r="AE32" s="338"/>
      <c r="AF32" s="196"/>
      <c r="AG32" s="393"/>
      <c r="AH32" s="338"/>
      <c r="AI32" s="196"/>
      <c r="AJ32" s="393"/>
      <c r="AK32" s="338"/>
      <c r="AL32" s="384"/>
      <c r="AM32" s="384"/>
      <c r="AN32" s="338"/>
      <c r="AO32" s="384"/>
      <c r="AP32" s="384"/>
      <c r="AQ32" s="394"/>
      <c r="AR32" s="442"/>
      <c r="AS32" s="442"/>
    </row>
    <row r="33" spans="1:46" s="415" customFormat="1" ht="20.100000000000001" customHeight="1" x14ac:dyDescent="0.3">
      <c r="A33" s="409" t="s">
        <v>213</v>
      </c>
      <c r="B33" s="196"/>
      <c r="C33" s="393"/>
      <c r="D33" s="393"/>
      <c r="E33" s="196">
        <v>33.442</v>
      </c>
      <c r="F33" s="393">
        <v>26.204000000000001</v>
      </c>
      <c r="G33" s="393">
        <f t="shared" ref="G33:G91" si="17">IF(E33=0, "    ---- ", IF(ABS(ROUND(100/E33*F33-100,1))&lt;999,ROUND(100/E33*F33-100,1),IF(ROUND(100/E33*F33-100,1)&gt;999,999,-999)))</f>
        <v>-21.6</v>
      </c>
      <c r="H33" s="890"/>
      <c r="I33" s="390"/>
      <c r="J33" s="393"/>
      <c r="K33" s="196"/>
      <c r="L33" s="393"/>
      <c r="M33" s="382"/>
      <c r="N33" s="196"/>
      <c r="O33" s="393"/>
      <c r="P33" s="338"/>
      <c r="Q33" s="196"/>
      <c r="R33" s="817"/>
      <c r="S33" s="338"/>
      <c r="T33" s="196"/>
      <c r="U33" s="393"/>
      <c r="V33" s="338"/>
      <c r="W33" s="196">
        <v>1.9699999999999998E-6</v>
      </c>
      <c r="X33" s="393">
        <v>1.9699999999999998E-6</v>
      </c>
      <c r="Y33" s="390">
        <f t="shared" ref="Y33" si="18">IF(W33=0, "    ---- ", IF(ABS(ROUND(100/W33*X33-100,1))&lt;999,ROUND(100/W33*X33-100,1),IF(ROUND(100/W33*X33-100,1)&gt;999,999,-999)))</f>
        <v>0</v>
      </c>
      <c r="Z33" s="196"/>
      <c r="AA33" s="393"/>
      <c r="AB33" s="338"/>
      <c r="AC33" s="196"/>
      <c r="AD33" s="393"/>
      <c r="AE33" s="338"/>
      <c r="AF33" s="196"/>
      <c r="AG33" s="393"/>
      <c r="AH33" s="338"/>
      <c r="AI33" s="196"/>
      <c r="AJ33" s="393"/>
      <c r="AK33" s="338"/>
      <c r="AL33" s="391">
        <f t="shared" ref="AL33:AM46" si="19">B33+E33+H33+K33+Q33+T33+W33+Z33+AF33+AI33</f>
        <v>33.44200197</v>
      </c>
      <c r="AM33" s="391">
        <f t="shared" si="19"/>
        <v>26.20400197</v>
      </c>
      <c r="AN33" s="338">
        <f t="shared" ref="AN33:AN91" si="20">IF(AL33=0, "    ---- ", IF(ABS(ROUND(100/AL33*AM33-100,1))&lt;999,ROUND(100/AL33*AM33-100,1),IF(ROUND(100/AL33*AM33-100,1)&gt;999,999,-999)))</f>
        <v>-21.6</v>
      </c>
      <c r="AO33" s="391">
        <f t="shared" ref="AO33:AP46" si="21">B33+E33+H33+K33+N33+Q33+T33+W33+Z33+AC33+AF33+AI33</f>
        <v>33.44200197</v>
      </c>
      <c r="AP33" s="391">
        <f t="shared" si="21"/>
        <v>26.20400197</v>
      </c>
      <c r="AQ33" s="394">
        <f t="shared" ref="AQ33:AQ91" si="22">IF(AO33=0, "    ---- ", IF(ABS(ROUND(100/AO33*AP33-100,1))&lt;999,ROUND(100/AO33*AP33-100,1),IF(ROUND(100/AO33*AP33-100,1)&gt;999,999,-999)))</f>
        <v>-21.6</v>
      </c>
      <c r="AR33" s="442"/>
      <c r="AS33" s="442"/>
      <c r="AT33" s="446"/>
    </row>
    <row r="34" spans="1:46" s="415" customFormat="1" ht="20.100000000000001" customHeight="1" x14ac:dyDescent="0.3">
      <c r="A34" s="409" t="s">
        <v>214</v>
      </c>
      <c r="B34" s="196"/>
      <c r="C34" s="393"/>
      <c r="D34" s="393"/>
      <c r="E34" s="196">
        <v>21553.93</v>
      </c>
      <c r="F34" s="393">
        <v>26980.332999999999</v>
      </c>
      <c r="G34" s="393">
        <f t="shared" si="17"/>
        <v>25.2</v>
      </c>
      <c r="H34" s="890"/>
      <c r="I34" s="390"/>
      <c r="J34" s="393"/>
      <c r="K34" s="196">
        <v>908.45</v>
      </c>
      <c r="L34" s="393">
        <v>958.2</v>
      </c>
      <c r="M34" s="382">
        <f>IF(K34=0, "    ---- ", IF(ABS(ROUND(100/K34*L34-100,1))&lt;999,ROUND(100/K34*L34-100,1),IF(ROUND(100/K34*L34-100,1)&gt;999,999,-999)))</f>
        <v>5.5</v>
      </c>
      <c r="N34" s="196"/>
      <c r="O34" s="393"/>
      <c r="P34" s="338"/>
      <c r="Q34" s="196">
        <v>63598.566075369999</v>
      </c>
      <c r="R34" s="817">
        <v>71040.288391960014</v>
      </c>
      <c r="S34" s="338">
        <f>IF(Q34=0, "    ---- ", IF(ABS(ROUND(100/Q34*R34-100,1))&lt;999,ROUND(100/Q34*R34-100,1),IF(ROUND(100/Q34*R34-100,1)&gt;999,999,-999)))</f>
        <v>11.7</v>
      </c>
      <c r="T34" s="196">
        <v>202.3</v>
      </c>
      <c r="U34" s="393">
        <v>204.3</v>
      </c>
      <c r="V34" s="338">
        <f>IF(T34=0, "    ---- ", IF(ABS(ROUND(100/T34*U34-100,1))&lt;999,ROUND(100/T34*U34-100,1),IF(ROUND(100/T34*U34-100,1)&gt;999,999,-999)))</f>
        <v>1</v>
      </c>
      <c r="W34" s="196">
        <v>6436.7755403500005</v>
      </c>
      <c r="X34" s="393">
        <v>7264.6763309899998</v>
      </c>
      <c r="Y34" s="338">
        <f t="shared" ref="Y34:Y91" si="23">IF(W34=0, "    ---- ", IF(ABS(ROUND(100/W34*X34-100,1))&lt;999,ROUND(100/W34*X34-100,1),IF(ROUND(100/W34*X34-100,1)&gt;999,999,-999)))</f>
        <v>12.9</v>
      </c>
      <c r="Z34" s="196">
        <v>13818</v>
      </c>
      <c r="AA34" s="393">
        <v>15436</v>
      </c>
      <c r="AB34" s="338">
        <f t="shared" ref="AB34:AB42" si="24">IF(Z34=0, "    ---- ", IF(ABS(ROUND(100/Z34*AA34-100,1))&lt;999,ROUND(100/Z34*AA34-100,1),IF(ROUND(100/Z34*AA34-100,1)&gt;999,999,-999)))</f>
        <v>11.7</v>
      </c>
      <c r="AC34" s="196"/>
      <c r="AD34" s="393"/>
      <c r="AE34" s="338"/>
      <c r="AF34" s="196">
        <v>3638.2130000000002</v>
      </c>
      <c r="AG34" s="393">
        <v>5074.8580000000002</v>
      </c>
      <c r="AH34" s="338">
        <f t="shared" ref="AH34:AH91" si="25">IF(AF34=0, "    ---- ", IF(ABS(ROUND(100/AF34*AG34-100,1))&lt;999,ROUND(100/AF34*AG34-100,1),IF(ROUND(100/AF34*AG34-100,1)&gt;999,999,-999)))</f>
        <v>39.5</v>
      </c>
      <c r="AI34" s="196">
        <v>26448.400000000001</v>
      </c>
      <c r="AJ34" s="393">
        <v>28662</v>
      </c>
      <c r="AK34" s="338">
        <f t="shared" ref="AK34:AK91" si="26">IF(AI34=0, "    ---- ", IF(ABS(ROUND(100/AI34*AJ34-100,1))&lt;999,ROUND(100/AI34*AJ34-100,1),IF(ROUND(100/AI34*AJ34-100,1)&gt;999,999,-999)))</f>
        <v>8.4</v>
      </c>
      <c r="AL34" s="391">
        <f t="shared" si="19"/>
        <v>136604.63461572002</v>
      </c>
      <c r="AM34" s="391">
        <f t="shared" si="19"/>
        <v>155620.65572295</v>
      </c>
      <c r="AN34" s="338">
        <f t="shared" si="20"/>
        <v>13.9</v>
      </c>
      <c r="AO34" s="391">
        <f t="shared" si="21"/>
        <v>136604.63461572002</v>
      </c>
      <c r="AP34" s="391">
        <f t="shared" si="21"/>
        <v>155620.65572295</v>
      </c>
      <c r="AQ34" s="394">
        <f t="shared" si="22"/>
        <v>13.9</v>
      </c>
      <c r="AR34" s="442"/>
      <c r="AS34" s="442"/>
      <c r="AT34" s="446"/>
    </row>
    <row r="35" spans="1:46" s="415" customFormat="1" ht="20.100000000000001" customHeight="1" x14ac:dyDescent="0.3">
      <c r="A35" s="409" t="s">
        <v>215</v>
      </c>
      <c r="B35" s="785"/>
      <c r="C35" s="393"/>
      <c r="D35" s="393"/>
      <c r="E35" s="196">
        <v>109543.978</v>
      </c>
      <c r="F35" s="393">
        <f>SUM(F36+F38)</f>
        <v>100962.052</v>
      </c>
      <c r="G35" s="393">
        <f t="shared" si="17"/>
        <v>-7.8</v>
      </c>
      <c r="H35" s="890">
        <v>205.9</v>
      </c>
      <c r="I35" s="390">
        <f>SUM(I36+I38)</f>
        <v>203.97399999999999</v>
      </c>
      <c r="J35" s="393">
        <f t="shared" ref="J35:J37" si="27">IF(H35=0, "    ---- ", IF(ABS(ROUND(100/H35*I35-100,1))&lt;999,ROUND(100/H35*I35-100,1),IF(ROUND(100/H35*I35-100,1)&gt;999,999,-999)))</f>
        <v>-0.9</v>
      </c>
      <c r="K35" s="196">
        <v>4992.8739999999998</v>
      </c>
      <c r="L35" s="393">
        <f>SUM(L36+L38)</f>
        <v>5020.3999999999996</v>
      </c>
      <c r="M35" s="382">
        <f>IF(K35=0, "    ---- ", IF(ABS(ROUND(100/K35*L35-100,1))&lt;999,ROUND(100/K35*L35-100,1),IF(ROUND(100/K35*L35-100,1)&gt;999,999,-999)))</f>
        <v>0.6</v>
      </c>
      <c r="N35" s="196"/>
      <c r="O35" s="393"/>
      <c r="P35" s="338"/>
      <c r="Q35" s="196">
        <v>212595.62927291999</v>
      </c>
      <c r="R35" s="393">
        <f>SUM(R36+R38)</f>
        <v>237100.07729962002</v>
      </c>
      <c r="S35" s="338">
        <f>IF(Q35=0, "    ---- ", IF(ABS(ROUND(100/Q35*R35-100,1))&lt;999,ROUND(100/Q35*R35-100,1),IF(ROUND(100/Q35*R35-100,1)&gt;999,999,-999)))</f>
        <v>11.5</v>
      </c>
      <c r="T35" s="196">
        <v>1357.4</v>
      </c>
      <c r="U35" s="393">
        <f>SUM(U36+U38)</f>
        <v>1437.5</v>
      </c>
      <c r="V35" s="338">
        <f>IF(T35=0, "    ---- ", IF(ABS(ROUND(100/T35*U35-100,1))&lt;999,ROUND(100/T35*U35-100,1),IF(ROUND(100/T35*U35-100,1)&gt;999,999,-999)))</f>
        <v>5.9</v>
      </c>
      <c r="W35" s="196">
        <v>31193.473594859901</v>
      </c>
      <c r="X35" s="393">
        <f>SUM(X36+X38)</f>
        <v>32022.410511509999</v>
      </c>
      <c r="Y35" s="338">
        <f t="shared" si="23"/>
        <v>2.7</v>
      </c>
      <c r="Z35" s="196">
        <v>22814</v>
      </c>
      <c r="AA35" s="393">
        <f>SUM(AA36+AA38)</f>
        <v>21632</v>
      </c>
      <c r="AB35" s="338">
        <f t="shared" si="24"/>
        <v>-5.2</v>
      </c>
      <c r="AC35" s="196"/>
      <c r="AD35" s="393"/>
      <c r="AE35" s="338"/>
      <c r="AF35" s="196">
        <v>8580.6450000000004</v>
      </c>
      <c r="AG35" s="393">
        <f>SUM(AG36+AG38)</f>
        <v>8022.59</v>
      </c>
      <c r="AH35" s="338">
        <f t="shared" si="25"/>
        <v>-6.5</v>
      </c>
      <c r="AI35" s="196">
        <v>127838.39999999999</v>
      </c>
      <c r="AJ35" s="393">
        <f>SUM(AJ36+AJ38)</f>
        <v>131346</v>
      </c>
      <c r="AK35" s="338">
        <f t="shared" si="26"/>
        <v>2.7</v>
      </c>
      <c r="AL35" s="391">
        <f t="shared" si="19"/>
        <v>519122.29986777995</v>
      </c>
      <c r="AM35" s="391">
        <f t="shared" si="19"/>
        <v>537747.00381113007</v>
      </c>
      <c r="AN35" s="338">
        <f t="shared" si="20"/>
        <v>3.6</v>
      </c>
      <c r="AO35" s="391">
        <f t="shared" si="21"/>
        <v>519122.29986777995</v>
      </c>
      <c r="AP35" s="391">
        <f t="shared" si="21"/>
        <v>537747.00381113007</v>
      </c>
      <c r="AQ35" s="394">
        <f t="shared" si="22"/>
        <v>3.6</v>
      </c>
      <c r="AR35" s="442"/>
      <c r="AS35" s="442"/>
      <c r="AT35" s="446"/>
    </row>
    <row r="36" spans="1:46" s="415" customFormat="1" ht="20.100000000000001" customHeight="1" x14ac:dyDescent="0.3">
      <c r="A36" s="409" t="s">
        <v>216</v>
      </c>
      <c r="B36" s="196"/>
      <c r="C36" s="393"/>
      <c r="D36" s="338"/>
      <c r="E36" s="196">
        <v>76334.095000000001</v>
      </c>
      <c r="F36" s="393">
        <v>71508.554999999993</v>
      </c>
      <c r="G36" s="338">
        <f t="shared" si="17"/>
        <v>-6.3</v>
      </c>
      <c r="H36" s="890">
        <v>205.9</v>
      </c>
      <c r="I36" s="390">
        <v>203.97399999999999</v>
      </c>
      <c r="J36" s="393">
        <f t="shared" si="27"/>
        <v>-0.9</v>
      </c>
      <c r="K36" s="196">
        <v>30.565000000000001</v>
      </c>
      <c r="L36" s="393">
        <v>0</v>
      </c>
      <c r="M36" s="382">
        <f>IF(K36=0, "    ---- ", IF(ABS(ROUND(100/K36*L36-100,1))&lt;999,ROUND(100/K36*L36-100,1),IF(ROUND(100/K36*L36-100,1)&gt;999,999,-999)))</f>
        <v>-100</v>
      </c>
      <c r="N36" s="196"/>
      <c r="O36" s="393"/>
      <c r="P36" s="338"/>
      <c r="Q36" s="196">
        <v>23722.348903090002</v>
      </c>
      <c r="R36" s="817">
        <v>22637.05851495</v>
      </c>
      <c r="S36" s="338">
        <f>IF(Q36=0, "    ---- ", IF(ABS(ROUND(100/Q36*R36-100,1))&lt;999,ROUND(100/Q36*R36-100,1),IF(ROUND(100/Q36*R36-100,1)&gt;999,999,-999)))</f>
        <v>-4.5999999999999996</v>
      </c>
      <c r="T36" s="196">
        <v>122.2</v>
      </c>
      <c r="U36" s="393">
        <v>95.9</v>
      </c>
      <c r="V36" s="338">
        <f>IF(T36=0, "    ---- ", IF(ABS(ROUND(100/T36*U36-100,1))&lt;999,ROUND(100/T36*U36-100,1),IF(ROUND(100/T36*U36-100,1)&gt;999,999,-999)))</f>
        <v>-21.5</v>
      </c>
      <c r="W36" s="196">
        <v>789.52401641999995</v>
      </c>
      <c r="X36" s="393">
        <v>511.28625492000003</v>
      </c>
      <c r="Y36" s="338">
        <f t="shared" si="23"/>
        <v>-35.200000000000003</v>
      </c>
      <c r="Z36" s="196">
        <v>988</v>
      </c>
      <c r="AA36" s="393">
        <v>386</v>
      </c>
      <c r="AB36" s="338">
        <f t="shared" si="24"/>
        <v>-60.9</v>
      </c>
      <c r="AC36" s="196"/>
      <c r="AD36" s="393"/>
      <c r="AE36" s="338"/>
      <c r="AF36" s="196">
        <v>1108.7090000000001</v>
      </c>
      <c r="AG36" s="393">
        <v>763.60900000000004</v>
      </c>
      <c r="AH36" s="338">
        <f t="shared" si="25"/>
        <v>-31.1</v>
      </c>
      <c r="AI36" s="196">
        <v>14403</v>
      </c>
      <c r="AJ36" s="393">
        <v>13377</v>
      </c>
      <c r="AK36" s="338">
        <f t="shared" si="26"/>
        <v>-7.1</v>
      </c>
      <c r="AL36" s="391">
        <f t="shared" si="19"/>
        <v>117704.34191950999</v>
      </c>
      <c r="AM36" s="391">
        <f t="shared" si="19"/>
        <v>109483.38276986999</v>
      </c>
      <c r="AN36" s="338">
        <f t="shared" si="20"/>
        <v>-7</v>
      </c>
      <c r="AO36" s="391">
        <f t="shared" si="21"/>
        <v>117704.34191950999</v>
      </c>
      <c r="AP36" s="391">
        <f t="shared" si="21"/>
        <v>109483.38276986999</v>
      </c>
      <c r="AQ36" s="394">
        <f t="shared" si="22"/>
        <v>-7</v>
      </c>
      <c r="AR36" s="442"/>
      <c r="AS36" s="442"/>
      <c r="AT36" s="446"/>
    </row>
    <row r="37" spans="1:46" s="415" customFormat="1" ht="20.100000000000001" customHeight="1" x14ac:dyDescent="0.3">
      <c r="A37" s="409" t="s">
        <v>199</v>
      </c>
      <c r="B37" s="196"/>
      <c r="C37" s="393"/>
      <c r="D37" s="393"/>
      <c r="E37" s="196">
        <v>76334.095000000001</v>
      </c>
      <c r="F37" s="393">
        <v>71508.554999999993</v>
      </c>
      <c r="G37" s="393">
        <f t="shared" si="17"/>
        <v>-6.3</v>
      </c>
      <c r="H37" s="890">
        <v>205.9</v>
      </c>
      <c r="I37" s="390">
        <v>203.97399999999999</v>
      </c>
      <c r="J37" s="393">
        <f t="shared" si="27"/>
        <v>-0.9</v>
      </c>
      <c r="K37" s="196">
        <v>30.565000000000001</v>
      </c>
      <c r="L37" s="393">
        <v>0</v>
      </c>
      <c r="M37" s="382">
        <f>IF(K37=0, "    ---- ", IF(ABS(ROUND(100/K37*L37-100,1))&lt;999,ROUND(100/K37*L37-100,1),IF(ROUND(100/K37*L37-100,1)&gt;999,999,-999)))</f>
        <v>-100</v>
      </c>
      <c r="N37" s="196"/>
      <c r="O37" s="393"/>
      <c r="P37" s="338"/>
      <c r="Q37" s="196">
        <v>23722.348903090002</v>
      </c>
      <c r="R37" s="817">
        <v>22637.05851495</v>
      </c>
      <c r="S37" s="338">
        <f>IF(Q37=0, "    ---- ", IF(ABS(ROUND(100/Q37*R37-100,1))&lt;999,ROUND(100/Q37*R37-100,1),IF(ROUND(100/Q37*R37-100,1)&gt;999,999,-999)))</f>
        <v>-4.5999999999999996</v>
      </c>
      <c r="T37" s="196"/>
      <c r="U37" s="393"/>
      <c r="V37" s="338"/>
      <c r="W37" s="196">
        <v>789.52401641999995</v>
      </c>
      <c r="X37" s="393">
        <v>511.28625492000003</v>
      </c>
      <c r="Y37" s="338">
        <f t="shared" si="23"/>
        <v>-35.200000000000003</v>
      </c>
      <c r="Z37" s="196"/>
      <c r="AA37" s="393"/>
      <c r="AB37" s="338"/>
      <c r="AC37" s="196"/>
      <c r="AD37" s="393"/>
      <c r="AE37" s="338"/>
      <c r="AF37" s="196">
        <v>180.98051559999806</v>
      </c>
      <c r="AG37" s="393">
        <v>127.47472531999931</v>
      </c>
      <c r="AH37" s="338">
        <f t="shared" si="25"/>
        <v>-29.6</v>
      </c>
      <c r="AI37" s="196">
        <v>14403</v>
      </c>
      <c r="AJ37" s="393">
        <v>13377</v>
      </c>
      <c r="AK37" s="338">
        <f t="shared" si="26"/>
        <v>-7.1</v>
      </c>
      <c r="AL37" s="391">
        <f t="shared" si="19"/>
        <v>115666.41343510998</v>
      </c>
      <c r="AM37" s="391">
        <f t="shared" si="19"/>
        <v>108365.34849519</v>
      </c>
      <c r="AN37" s="338">
        <f t="shared" si="20"/>
        <v>-6.3</v>
      </c>
      <c r="AO37" s="391">
        <f t="shared" si="21"/>
        <v>115666.41343510998</v>
      </c>
      <c r="AP37" s="391">
        <f t="shared" si="21"/>
        <v>108365.34849519</v>
      </c>
      <c r="AQ37" s="394">
        <f t="shared" si="22"/>
        <v>-6.3</v>
      </c>
      <c r="AR37" s="442"/>
      <c r="AS37" s="442"/>
      <c r="AT37" s="446"/>
    </row>
    <row r="38" spans="1:46" s="415" customFormat="1" ht="20.100000000000001" customHeight="1" x14ac:dyDescent="0.3">
      <c r="A38" s="409" t="s">
        <v>217</v>
      </c>
      <c r="B38" s="196"/>
      <c r="C38" s="393"/>
      <c r="D38" s="393"/>
      <c r="E38" s="196">
        <v>33209.883000000002</v>
      </c>
      <c r="F38" s="393">
        <v>29453.496999999999</v>
      </c>
      <c r="G38" s="393">
        <f t="shared" si="17"/>
        <v>-11.3</v>
      </c>
      <c r="H38" s="890"/>
      <c r="I38" s="390"/>
      <c r="J38" s="393"/>
      <c r="K38" s="196">
        <v>4962.3090000000002</v>
      </c>
      <c r="L38" s="393">
        <v>5020.3999999999996</v>
      </c>
      <c r="M38" s="382">
        <f t="shared" ref="M38:M57" si="28">IF(K38=0, "    ---- ", IF(ABS(ROUND(100/K38*L38-100,1))&lt;999,ROUND(100/K38*L38-100,1),IF(ROUND(100/K38*L38-100,1)&gt;999,999,-999)))</f>
        <v>1.2</v>
      </c>
      <c r="N38" s="196"/>
      <c r="O38" s="393"/>
      <c r="P38" s="338"/>
      <c r="Q38" s="196">
        <v>188873.28036983</v>
      </c>
      <c r="R38" s="817">
        <v>214463.01878467001</v>
      </c>
      <c r="S38" s="338">
        <f t="shared" ref="S38:S45" si="29">IF(Q38=0, "    ---- ", IF(ABS(ROUND(100/Q38*R38-100,1))&lt;999,ROUND(100/Q38*R38-100,1),IF(ROUND(100/Q38*R38-100,1)&gt;999,999,-999)))</f>
        <v>13.5</v>
      </c>
      <c r="T38" s="196">
        <v>1235.2</v>
      </c>
      <c r="U38" s="393">
        <v>1341.6</v>
      </c>
      <c r="V38" s="338">
        <f>IF(T38=0, "    ---- ", IF(ABS(ROUND(100/T38*U38-100,1))&lt;999,ROUND(100/T38*U38-100,1),IF(ROUND(100/T38*U38-100,1)&gt;999,999,-999)))</f>
        <v>8.6</v>
      </c>
      <c r="W38" s="196">
        <v>30403.949578439901</v>
      </c>
      <c r="X38" s="393">
        <v>31511.124256589999</v>
      </c>
      <c r="Y38" s="338">
        <f t="shared" si="23"/>
        <v>3.6</v>
      </c>
      <c r="Z38" s="196">
        <v>21826</v>
      </c>
      <c r="AA38" s="393">
        <v>21246</v>
      </c>
      <c r="AB38" s="338">
        <f t="shared" si="24"/>
        <v>-2.7</v>
      </c>
      <c r="AC38" s="196"/>
      <c r="AD38" s="393"/>
      <c r="AE38" s="338"/>
      <c r="AF38" s="196">
        <v>7471.9359999999997</v>
      </c>
      <c r="AG38" s="393">
        <v>7258.9809999999998</v>
      </c>
      <c r="AH38" s="338">
        <f t="shared" si="25"/>
        <v>-2.9</v>
      </c>
      <c r="AI38" s="196">
        <v>113435.4</v>
      </c>
      <c r="AJ38" s="393">
        <f>89790+23735+4444</f>
        <v>117969</v>
      </c>
      <c r="AK38" s="338">
        <f t="shared" si="26"/>
        <v>4</v>
      </c>
      <c r="AL38" s="391">
        <f t="shared" si="19"/>
        <v>401417.9579482699</v>
      </c>
      <c r="AM38" s="391">
        <f t="shared" si="19"/>
        <v>428263.62104125996</v>
      </c>
      <c r="AN38" s="338">
        <f t="shared" si="20"/>
        <v>6.7</v>
      </c>
      <c r="AO38" s="391">
        <f t="shared" si="21"/>
        <v>401417.9579482699</v>
      </c>
      <c r="AP38" s="391">
        <f t="shared" si="21"/>
        <v>428263.62104125996</v>
      </c>
      <c r="AQ38" s="394">
        <f t="shared" si="22"/>
        <v>6.7</v>
      </c>
      <c r="AR38" s="442"/>
      <c r="AS38" s="442"/>
      <c r="AT38" s="446"/>
    </row>
    <row r="39" spans="1:46" s="415" customFormat="1" ht="20.100000000000001" customHeight="1" x14ac:dyDescent="0.3">
      <c r="A39" s="409" t="s">
        <v>218</v>
      </c>
      <c r="B39" s="785">
        <v>1144.7950000000001</v>
      </c>
      <c r="C39" s="393">
        <f>SUM(C40:C44)</f>
        <v>1179.1280000000002</v>
      </c>
      <c r="D39" s="393">
        <f>IF(B39=0, "    ---- ", IF(ABS(ROUND(100/B39*C39-100,1))&lt;999,ROUND(100/B39*C39-100,1),IF(ROUND(100/B39*C39-100,1)&gt;999,999,-999)))</f>
        <v>3</v>
      </c>
      <c r="E39" s="196">
        <v>74163.459999999992</v>
      </c>
      <c r="F39" s="393">
        <f>SUM(F40:F44)</f>
        <v>78914.096999999994</v>
      </c>
      <c r="G39" s="393">
        <f t="shared" si="17"/>
        <v>6.4</v>
      </c>
      <c r="H39" s="890">
        <v>817</v>
      </c>
      <c r="I39" s="390">
        <f>SUM(I40:I44)</f>
        <v>926.89499999999998</v>
      </c>
      <c r="J39" s="393">
        <f t="shared" ref="J39:J46" si="30">IF(H39=0, "    ---- ", IF(ABS(ROUND(100/H39*I39-100,1))&lt;999,ROUND(100/H39*I39-100,1),IF(ROUND(100/H39*I39-100,1)&gt;999,999,-999)))</f>
        <v>13.5</v>
      </c>
      <c r="K39" s="196">
        <v>659.1049999999999</v>
      </c>
      <c r="L39" s="393">
        <f>SUM(L40:L44)</f>
        <v>847.9</v>
      </c>
      <c r="M39" s="382">
        <f t="shared" si="28"/>
        <v>28.6</v>
      </c>
      <c r="N39" s="196"/>
      <c r="O39" s="393"/>
      <c r="P39" s="338"/>
      <c r="Q39" s="196">
        <v>239710.66199342997</v>
      </c>
      <c r="R39" s="393">
        <f>SUM(R40:R44)</f>
        <v>266813.02132647001</v>
      </c>
      <c r="S39" s="338">
        <f t="shared" si="29"/>
        <v>11.3</v>
      </c>
      <c r="T39" s="196">
        <v>121.8</v>
      </c>
      <c r="U39" s="393">
        <f>SUM(U40:U44)</f>
        <v>109.9</v>
      </c>
      <c r="V39" s="338">
        <f>IF(T39=0, "    ---- ", IF(ABS(ROUND(100/T39*U39-100,1))&lt;999,ROUND(100/T39*U39-100,1),IF(ROUND(100/T39*U39-100,1)&gt;999,999,-999)))</f>
        <v>-9.8000000000000007</v>
      </c>
      <c r="W39" s="196">
        <v>12973.156951860001</v>
      </c>
      <c r="X39" s="393">
        <f>SUM(X40:X44)</f>
        <v>12831.657408430001</v>
      </c>
      <c r="Y39" s="338">
        <f t="shared" si="23"/>
        <v>-1.1000000000000001</v>
      </c>
      <c r="Z39" s="196">
        <v>49437</v>
      </c>
      <c r="AA39" s="393">
        <f>SUM(AA40:AA44)</f>
        <v>56826</v>
      </c>
      <c r="AB39" s="338">
        <f t="shared" si="24"/>
        <v>14.9</v>
      </c>
      <c r="AC39" s="196"/>
      <c r="AD39" s="393"/>
      <c r="AE39" s="338"/>
      <c r="AF39" s="196">
        <v>10880.116</v>
      </c>
      <c r="AG39" s="393">
        <f>SUM(AG40:AG44)</f>
        <v>12839.909000000001</v>
      </c>
      <c r="AH39" s="338">
        <f t="shared" si="25"/>
        <v>18</v>
      </c>
      <c r="AI39" s="196">
        <v>32672</v>
      </c>
      <c r="AJ39" s="393">
        <f>SUM(AJ40:AJ44)</f>
        <v>31113</v>
      </c>
      <c r="AK39" s="338">
        <f t="shared" si="26"/>
        <v>-4.8</v>
      </c>
      <c r="AL39" s="391">
        <f t="shared" si="19"/>
        <v>422579.09494528995</v>
      </c>
      <c r="AM39" s="391">
        <f t="shared" si="19"/>
        <v>462401.50773489999</v>
      </c>
      <c r="AN39" s="338">
        <f t="shared" si="20"/>
        <v>9.4</v>
      </c>
      <c r="AO39" s="391">
        <f t="shared" si="21"/>
        <v>422579.09494528995</v>
      </c>
      <c r="AP39" s="391">
        <f t="shared" si="21"/>
        <v>462401.50773489999</v>
      </c>
      <c r="AQ39" s="394">
        <f t="shared" si="22"/>
        <v>9.4</v>
      </c>
      <c r="AR39" s="442"/>
      <c r="AS39" s="442"/>
      <c r="AT39" s="446"/>
    </row>
    <row r="40" spans="1:46" s="415" customFormat="1" ht="20.100000000000001" customHeight="1" x14ac:dyDescent="0.3">
      <c r="A40" s="409" t="s">
        <v>219</v>
      </c>
      <c r="B40" s="196">
        <v>27.605</v>
      </c>
      <c r="C40" s="393">
        <v>35.366</v>
      </c>
      <c r="D40" s="338">
        <f>IF(B40=0, "    ---- ", IF(ABS(ROUND(100/B40*C40-100,1))&lt;999,ROUND(100/B40*C40-100,1),IF(ROUND(100/B40*C40-100,1)&gt;999,999,-999)))</f>
        <v>28.1</v>
      </c>
      <c r="E40" s="196">
        <v>18938.242999999999</v>
      </c>
      <c r="F40" s="393">
        <v>17302.819</v>
      </c>
      <c r="G40" s="338">
        <f t="shared" si="17"/>
        <v>-8.6</v>
      </c>
      <c r="H40" s="890">
        <v>108.2</v>
      </c>
      <c r="I40" s="390">
        <v>107.667</v>
      </c>
      <c r="J40" s="338">
        <f t="shared" si="30"/>
        <v>-0.5</v>
      </c>
      <c r="K40" s="196">
        <v>0</v>
      </c>
      <c r="L40" s="393"/>
      <c r="M40" s="382"/>
      <c r="N40" s="196"/>
      <c r="O40" s="393"/>
      <c r="P40" s="338"/>
      <c r="Q40" s="196">
        <v>111007.08544047999</v>
      </c>
      <c r="R40" s="817">
        <v>142817.06891343</v>
      </c>
      <c r="S40" s="338">
        <f t="shared" si="29"/>
        <v>28.7</v>
      </c>
      <c r="T40" s="196">
        <v>46</v>
      </c>
      <c r="U40" s="393">
        <v>56.8</v>
      </c>
      <c r="V40" s="338">
        <f>IF(T40=0, "    ---- ", IF(ABS(ROUND(100/T40*U40-100,1))&lt;999,ROUND(100/T40*U40-100,1),IF(ROUND(100/T40*U40-100,1)&gt;999,999,-999)))</f>
        <v>23.5</v>
      </c>
      <c r="W40" s="196">
        <v>4559.6922846400003</v>
      </c>
      <c r="X40" s="393">
        <v>5202.7427701300003</v>
      </c>
      <c r="Y40" s="338">
        <f t="shared" si="23"/>
        <v>14.1</v>
      </c>
      <c r="Z40" s="196">
        <v>28867</v>
      </c>
      <c r="AA40" s="393">
        <v>36398</v>
      </c>
      <c r="AB40" s="338">
        <f t="shared" si="24"/>
        <v>26.1</v>
      </c>
      <c r="AC40" s="196"/>
      <c r="AD40" s="393"/>
      <c r="AE40" s="338"/>
      <c r="AF40" s="196">
        <v>2540.9290000000001</v>
      </c>
      <c r="AG40" s="393">
        <v>2955.625</v>
      </c>
      <c r="AH40" s="338">
        <f t="shared" si="25"/>
        <v>16.3</v>
      </c>
      <c r="AI40" s="196">
        <v>6797</v>
      </c>
      <c r="AJ40" s="393">
        <v>7860</v>
      </c>
      <c r="AK40" s="338">
        <f t="shared" si="26"/>
        <v>15.6</v>
      </c>
      <c r="AL40" s="391">
        <f t="shared" si="19"/>
        <v>172891.75472512</v>
      </c>
      <c r="AM40" s="391">
        <f t="shared" si="19"/>
        <v>212736.08868356</v>
      </c>
      <c r="AN40" s="338">
        <f t="shared" si="20"/>
        <v>23</v>
      </c>
      <c r="AO40" s="391">
        <f t="shared" si="21"/>
        <v>172891.75472512</v>
      </c>
      <c r="AP40" s="391">
        <f t="shared" si="21"/>
        <v>212736.08868356</v>
      </c>
      <c r="AQ40" s="394">
        <f t="shared" si="22"/>
        <v>23</v>
      </c>
      <c r="AR40" s="442"/>
      <c r="AS40" s="442"/>
      <c r="AT40" s="446"/>
    </row>
    <row r="41" spans="1:46" s="415" customFormat="1" ht="20.100000000000001" customHeight="1" x14ac:dyDescent="0.3">
      <c r="A41" s="409" t="s">
        <v>220</v>
      </c>
      <c r="B41" s="196">
        <v>1028.9549999999999</v>
      </c>
      <c r="C41" s="393">
        <v>1094.2550000000001</v>
      </c>
      <c r="D41" s="393">
        <f>IF(B41=0, "    ---- ", IF(ABS(ROUND(100/B41*C41-100,1))&lt;999,ROUND(100/B41*C41-100,1),IF(ROUND(100/B41*C41-100,1)&gt;999,999,-999)))</f>
        <v>6.3</v>
      </c>
      <c r="E41" s="196">
        <v>51386.002999999997</v>
      </c>
      <c r="F41" s="393">
        <v>58891.154999999999</v>
      </c>
      <c r="G41" s="393">
        <f t="shared" si="17"/>
        <v>14.6</v>
      </c>
      <c r="H41" s="890">
        <v>594.79999999999995</v>
      </c>
      <c r="I41" s="390">
        <v>696.10199999999998</v>
      </c>
      <c r="J41" s="393">
        <f>IF(H41=0, "    ---- ", IF(ABS(ROUND(100/H41*I41-100,1))&lt;999,ROUND(100/H41*I41-100,1),IF(ROUND(100/H41*I41-100,1)&gt;999,999,-999)))</f>
        <v>17</v>
      </c>
      <c r="K41" s="196">
        <v>612.48299999999995</v>
      </c>
      <c r="L41" s="393">
        <v>824</v>
      </c>
      <c r="M41" s="382">
        <f t="shared" si="28"/>
        <v>34.5</v>
      </c>
      <c r="N41" s="196"/>
      <c r="O41" s="393"/>
      <c r="P41" s="338"/>
      <c r="Q41" s="196">
        <v>122064.41095269</v>
      </c>
      <c r="R41" s="817">
        <v>105207.72900755001</v>
      </c>
      <c r="S41" s="338">
        <f t="shared" si="29"/>
        <v>-13.8</v>
      </c>
      <c r="T41" s="196">
        <v>62.6</v>
      </c>
      <c r="U41" s="393">
        <v>35.700000000000003</v>
      </c>
      <c r="V41" s="338">
        <f>IF(T41=0, "    ---- ", IF(ABS(ROUND(100/T41*U41-100,1))&lt;999,ROUND(100/T41*U41-100,1),IF(ROUND(100/T41*U41-100,1)&gt;999,999,-999)))</f>
        <v>-43</v>
      </c>
      <c r="W41" s="196">
        <v>7902.2185951199999</v>
      </c>
      <c r="X41" s="393">
        <v>7326.4037500699997</v>
      </c>
      <c r="Y41" s="338">
        <f t="shared" si="23"/>
        <v>-7.3</v>
      </c>
      <c r="Z41" s="196">
        <v>18369</v>
      </c>
      <c r="AA41" s="393">
        <v>19163</v>
      </c>
      <c r="AB41" s="338">
        <f t="shared" si="24"/>
        <v>4.3</v>
      </c>
      <c r="AC41" s="196"/>
      <c r="AD41" s="393"/>
      <c r="AE41" s="338"/>
      <c r="AF41" s="196">
        <v>7940.9759999999997</v>
      </c>
      <c r="AG41" s="393">
        <v>9445.9359999999997</v>
      </c>
      <c r="AH41" s="338">
        <f t="shared" si="25"/>
        <v>19</v>
      </c>
      <c r="AI41" s="196">
        <v>25166</v>
      </c>
      <c r="AJ41" s="393">
        <v>22173</v>
      </c>
      <c r="AK41" s="338">
        <f t="shared" si="26"/>
        <v>-11.9</v>
      </c>
      <c r="AL41" s="391">
        <f t="shared" si="19"/>
        <v>235127.44654781002</v>
      </c>
      <c r="AM41" s="391">
        <f t="shared" si="19"/>
        <v>224857.28075762</v>
      </c>
      <c r="AN41" s="338">
        <f t="shared" si="20"/>
        <v>-4.4000000000000004</v>
      </c>
      <c r="AO41" s="391">
        <f t="shared" si="21"/>
        <v>235127.44654781002</v>
      </c>
      <c r="AP41" s="391">
        <f t="shared" si="21"/>
        <v>224857.28075762</v>
      </c>
      <c r="AQ41" s="394">
        <f t="shared" si="22"/>
        <v>-4.4000000000000004</v>
      </c>
      <c r="AR41" s="442"/>
      <c r="AS41" s="442"/>
      <c r="AT41" s="446"/>
    </row>
    <row r="42" spans="1:46" s="415" customFormat="1" ht="20.100000000000001" customHeight="1" x14ac:dyDescent="0.3">
      <c r="A42" s="409" t="s">
        <v>221</v>
      </c>
      <c r="B42" s="196"/>
      <c r="C42" s="393"/>
      <c r="D42" s="393"/>
      <c r="E42" s="196">
        <v>2940.8580000000002</v>
      </c>
      <c r="F42" s="393">
        <v>1569.1079999999999</v>
      </c>
      <c r="G42" s="393">
        <f t="shared" si="17"/>
        <v>-46.6</v>
      </c>
      <c r="H42" s="890"/>
      <c r="I42" s="390"/>
      <c r="J42" s="393"/>
      <c r="K42" s="196"/>
      <c r="L42" s="393"/>
      <c r="M42" s="382"/>
      <c r="N42" s="196"/>
      <c r="O42" s="393"/>
      <c r="P42" s="338"/>
      <c r="Q42" s="196">
        <v>6284.2883143299996</v>
      </c>
      <c r="R42" s="817">
        <v>14124.443885729999</v>
      </c>
      <c r="S42" s="338">
        <f t="shared" si="29"/>
        <v>124.8</v>
      </c>
      <c r="T42" s="196">
        <v>13.2</v>
      </c>
      <c r="U42" s="393">
        <v>17.399999999999999</v>
      </c>
      <c r="V42" s="338">
        <f>IF(T42=0, "    ---- ", IF(ABS(ROUND(100/T42*U42-100,1))&lt;999,ROUND(100/T42*U42-100,1),IF(ROUND(100/T42*U42-100,1)&gt;999,999,-999)))</f>
        <v>31.8</v>
      </c>
      <c r="W42" s="196">
        <v>0</v>
      </c>
      <c r="X42" s="393">
        <v>0</v>
      </c>
      <c r="Y42" s="390" t="str">
        <f t="shared" si="23"/>
        <v xml:space="preserve">    ---- </v>
      </c>
      <c r="Z42" s="196">
        <v>54</v>
      </c>
      <c r="AA42" s="393">
        <v>0</v>
      </c>
      <c r="AB42" s="338">
        <f t="shared" si="24"/>
        <v>-100</v>
      </c>
      <c r="AC42" s="196"/>
      <c r="AD42" s="393"/>
      <c r="AE42" s="338"/>
      <c r="AF42" s="196"/>
      <c r="AG42" s="393"/>
      <c r="AH42" s="338"/>
      <c r="AI42" s="196"/>
      <c r="AJ42" s="393"/>
      <c r="AK42" s="338"/>
      <c r="AL42" s="391">
        <f t="shared" si="19"/>
        <v>9292.3463143299996</v>
      </c>
      <c r="AM42" s="391">
        <f t="shared" si="19"/>
        <v>15710.951885729999</v>
      </c>
      <c r="AN42" s="338">
        <f t="shared" si="20"/>
        <v>69.099999999999994</v>
      </c>
      <c r="AO42" s="391">
        <f t="shared" si="21"/>
        <v>9292.3463143299996</v>
      </c>
      <c r="AP42" s="391">
        <f t="shared" si="21"/>
        <v>15710.951885729999</v>
      </c>
      <c r="AQ42" s="394">
        <f t="shared" si="22"/>
        <v>69.099999999999994</v>
      </c>
      <c r="AR42" s="442"/>
      <c r="AS42" s="442"/>
      <c r="AT42" s="446"/>
    </row>
    <row r="43" spans="1:46" s="415" customFormat="1" ht="20.100000000000001" customHeight="1" x14ac:dyDescent="0.3">
      <c r="A43" s="409" t="s">
        <v>222</v>
      </c>
      <c r="B43" s="196">
        <v>0.33400000000000002</v>
      </c>
      <c r="C43" s="393">
        <v>0.33600000000000002</v>
      </c>
      <c r="D43" s="393">
        <f>IF(B43=0, "    ---- ", IF(ABS(ROUND(100/B43*C43-100,1))&lt;999,ROUND(100/B43*C43-100,1),IF(ROUND(100/B43*C43-100,1)&gt;999,999,-999)))</f>
        <v>0.6</v>
      </c>
      <c r="E43" s="196">
        <v>29.157</v>
      </c>
      <c r="F43" s="393">
        <v>583.84500000000003</v>
      </c>
      <c r="G43" s="393">
        <f t="shared" si="17"/>
        <v>999</v>
      </c>
      <c r="H43" s="890"/>
      <c r="I43" s="390"/>
      <c r="J43" s="393"/>
      <c r="K43" s="196"/>
      <c r="L43" s="393"/>
      <c r="M43" s="382"/>
      <c r="N43" s="196"/>
      <c r="O43" s="393"/>
      <c r="P43" s="338"/>
      <c r="Q43" s="196">
        <v>125.55338727</v>
      </c>
      <c r="R43" s="817">
        <v>3970.6812409499998</v>
      </c>
      <c r="S43" s="338">
        <f t="shared" si="29"/>
        <v>999</v>
      </c>
      <c r="T43" s="196"/>
      <c r="U43" s="393"/>
      <c r="V43" s="338"/>
      <c r="W43" s="196">
        <v>12.088737589999999</v>
      </c>
      <c r="X43" s="393">
        <v>103.10766714</v>
      </c>
      <c r="Y43" s="338">
        <f t="shared" si="23"/>
        <v>752.9</v>
      </c>
      <c r="Z43" s="196"/>
      <c r="AA43" s="393">
        <v>1230</v>
      </c>
      <c r="AB43" s="338" t="str">
        <f>IF(Z43=0, "    ---- ", IF(ABS(ROUND(100/Z43*AA43-100,1))&lt;999,ROUND(100/Z43*AA43-100,1),IF(ROUND(100/Z43*AA43-100,1)&gt;999,999,-999)))</f>
        <v xml:space="preserve">    ---- </v>
      </c>
      <c r="AC43" s="196"/>
      <c r="AD43" s="393"/>
      <c r="AE43" s="338"/>
      <c r="AF43" s="196">
        <v>2.8969999999999998</v>
      </c>
      <c r="AG43" s="393">
        <v>118.68300000000001</v>
      </c>
      <c r="AH43" s="338">
        <f t="shared" si="25"/>
        <v>999</v>
      </c>
      <c r="AI43" s="196">
        <v>709</v>
      </c>
      <c r="AJ43" s="393">
        <v>1080</v>
      </c>
      <c r="AK43" s="338">
        <f t="shared" si="26"/>
        <v>52.3</v>
      </c>
      <c r="AL43" s="391">
        <f t="shared" si="19"/>
        <v>879.03012486</v>
      </c>
      <c r="AM43" s="391">
        <f t="shared" si="19"/>
        <v>7086.65290809</v>
      </c>
      <c r="AN43" s="338">
        <f t="shared" si="20"/>
        <v>706.2</v>
      </c>
      <c r="AO43" s="391">
        <f t="shared" si="21"/>
        <v>879.03012486</v>
      </c>
      <c r="AP43" s="391">
        <f t="shared" si="21"/>
        <v>7086.65290809</v>
      </c>
      <c r="AQ43" s="394">
        <f t="shared" si="22"/>
        <v>706.2</v>
      </c>
      <c r="AR43" s="442"/>
      <c r="AS43" s="442"/>
      <c r="AT43" s="446"/>
    </row>
    <row r="44" spans="1:46" s="415" customFormat="1" ht="20.100000000000001" customHeight="1" x14ac:dyDescent="0.3">
      <c r="A44" s="409" t="s">
        <v>223</v>
      </c>
      <c r="B44" s="196">
        <v>87.900999999999996</v>
      </c>
      <c r="C44" s="393">
        <v>49.170999999999999</v>
      </c>
      <c r="D44" s="393">
        <f>IF(B44=0, "    ---- ", IF(ABS(ROUND(100/B44*C44-100,1))&lt;999,ROUND(100/B44*C44-100,1),IF(ROUND(100/B44*C44-100,1)&gt;999,999,-999)))</f>
        <v>-44.1</v>
      </c>
      <c r="E44" s="196">
        <v>869.19899999999996</v>
      </c>
      <c r="F44" s="393">
        <v>567.16999999999996</v>
      </c>
      <c r="G44" s="393">
        <f t="shared" si="17"/>
        <v>-34.700000000000003</v>
      </c>
      <c r="H44" s="890">
        <v>114</v>
      </c>
      <c r="I44" s="390">
        <v>123.126</v>
      </c>
      <c r="J44" s="393">
        <f t="shared" si="30"/>
        <v>8</v>
      </c>
      <c r="K44" s="196">
        <v>46.622</v>
      </c>
      <c r="L44" s="393">
        <v>23.9</v>
      </c>
      <c r="M44" s="382">
        <f t="shared" si="28"/>
        <v>-48.7</v>
      </c>
      <c r="N44" s="196"/>
      <c r="O44" s="393"/>
      <c r="P44" s="338"/>
      <c r="Q44" s="196">
        <v>229.32389866</v>
      </c>
      <c r="R44" s="817">
        <v>693.0982788099999</v>
      </c>
      <c r="S44" s="338">
        <f t="shared" si="29"/>
        <v>202.2</v>
      </c>
      <c r="T44" s="196"/>
      <c r="U44" s="393"/>
      <c r="V44" s="338"/>
      <c r="W44" s="196">
        <v>499.15733451</v>
      </c>
      <c r="X44" s="393">
        <v>199.40322109000002</v>
      </c>
      <c r="Y44" s="338">
        <f t="shared" si="23"/>
        <v>-60.1</v>
      </c>
      <c r="Z44" s="196">
        <v>2147</v>
      </c>
      <c r="AA44" s="393">
        <v>35</v>
      </c>
      <c r="AB44" s="338">
        <f>IF(Z44=0, "    ---- ", IF(ABS(ROUND(100/Z44*AA44-100,1))&lt;999,ROUND(100/Z44*AA44-100,1),IF(ROUND(100/Z44*AA44-100,1)&gt;999,999,-999)))</f>
        <v>-98.4</v>
      </c>
      <c r="AC44" s="196"/>
      <c r="AD44" s="393"/>
      <c r="AE44" s="338"/>
      <c r="AF44" s="196">
        <v>395.31400000000002</v>
      </c>
      <c r="AG44" s="393">
        <v>319.66500000000002</v>
      </c>
      <c r="AH44" s="338">
        <f t="shared" si="25"/>
        <v>-19.100000000000001</v>
      </c>
      <c r="AI44" s="196"/>
      <c r="AJ44" s="393"/>
      <c r="AK44" s="338"/>
      <c r="AL44" s="391">
        <f t="shared" si="19"/>
        <v>4388.5172331700005</v>
      </c>
      <c r="AM44" s="391">
        <f t="shared" si="19"/>
        <v>2010.5334998999997</v>
      </c>
      <c r="AN44" s="338">
        <f t="shared" si="20"/>
        <v>-54.2</v>
      </c>
      <c r="AO44" s="391">
        <f t="shared" si="21"/>
        <v>4388.5172331700005</v>
      </c>
      <c r="AP44" s="391">
        <f t="shared" si="21"/>
        <v>2010.5334998999997</v>
      </c>
      <c r="AQ44" s="394">
        <f t="shared" si="22"/>
        <v>-54.2</v>
      </c>
      <c r="AR44" s="442"/>
      <c r="AS44" s="442"/>
      <c r="AT44" s="446"/>
    </row>
    <row r="45" spans="1:46" s="415" customFormat="1" ht="20.100000000000001" customHeight="1" x14ac:dyDescent="0.3">
      <c r="A45" s="410" t="s">
        <v>224</v>
      </c>
      <c r="B45" s="785">
        <v>1144.7950000000001</v>
      </c>
      <c r="C45" s="393">
        <f>SUM(C33+C34+C35+C39)</f>
        <v>1179.1280000000002</v>
      </c>
      <c r="D45" s="338">
        <f>IF(B45=0, "    ---- ", IF(ABS(ROUND(100/B45*C45-100,1))&lt;999,ROUND(100/B45*C45-100,1),IF(ROUND(100/B45*C45-100,1)&gt;999,999,-999)))</f>
        <v>3</v>
      </c>
      <c r="E45" s="196">
        <v>205294.81</v>
      </c>
      <c r="F45" s="393">
        <f>SUM(F33+F34+F35+F39)</f>
        <v>206882.68599999999</v>
      </c>
      <c r="G45" s="338">
        <f t="shared" si="17"/>
        <v>0.8</v>
      </c>
      <c r="H45" s="890">
        <v>1022.9</v>
      </c>
      <c r="I45" s="390">
        <f>SUM(I33+I34+I35+I39)</f>
        <v>1130.8689999999999</v>
      </c>
      <c r="J45" s="338">
        <f t="shared" si="30"/>
        <v>10.6</v>
      </c>
      <c r="K45" s="196">
        <v>6560.4289999999992</v>
      </c>
      <c r="L45" s="393">
        <f>SUM(L33+L34+L35+L39)</f>
        <v>6826.4999999999991</v>
      </c>
      <c r="M45" s="382">
        <f t="shared" si="28"/>
        <v>4.0999999999999996</v>
      </c>
      <c r="N45" s="196"/>
      <c r="O45" s="393"/>
      <c r="P45" s="338"/>
      <c r="Q45" s="196">
        <v>515904.85734171991</v>
      </c>
      <c r="R45" s="393">
        <f>SUM(R33+R34+R35+R39)</f>
        <v>574953.38701805007</v>
      </c>
      <c r="S45" s="338">
        <f t="shared" si="29"/>
        <v>11.4</v>
      </c>
      <c r="T45" s="196">
        <v>1681.5</v>
      </c>
      <c r="U45" s="393">
        <f>SUM(U33+U34+U35+U39)</f>
        <v>1751.7</v>
      </c>
      <c r="V45" s="338">
        <f>IF(T45=0, "    ---- ", IF(ABS(ROUND(100/T45*U45-100,1))&lt;999,ROUND(100/T45*U45-100,1),IF(ROUND(100/T45*U45-100,1)&gt;999,999,-999)))</f>
        <v>4.2</v>
      </c>
      <c r="W45" s="196">
        <v>50603.406089039905</v>
      </c>
      <c r="X45" s="393">
        <f>SUM(X33+X34+X35+X39)</f>
        <v>52118.744252900004</v>
      </c>
      <c r="Y45" s="338">
        <f t="shared" si="23"/>
        <v>3</v>
      </c>
      <c r="Z45" s="196">
        <v>86069</v>
      </c>
      <c r="AA45" s="393">
        <f>SUM(AA33+AA34+AA35+AA39)</f>
        <v>93894</v>
      </c>
      <c r="AB45" s="338">
        <f>IF(Z45=0, "    ---- ", IF(ABS(ROUND(100/Z45*AA45-100,1))&lt;999,ROUND(100/Z45*AA45-100,1),IF(ROUND(100/Z45*AA45-100,1)&gt;999,999,-999)))</f>
        <v>9.1</v>
      </c>
      <c r="AC45" s="196"/>
      <c r="AD45" s="393"/>
      <c r="AE45" s="338"/>
      <c r="AF45" s="196">
        <v>23098.974000000002</v>
      </c>
      <c r="AG45" s="393">
        <f>SUM(AG33+AG34+AG35+AG39)</f>
        <v>25937.357000000004</v>
      </c>
      <c r="AH45" s="338">
        <f t="shared" si="25"/>
        <v>12.3</v>
      </c>
      <c r="AI45" s="196">
        <v>186958.8</v>
      </c>
      <c r="AJ45" s="393">
        <f>SUM(AJ33+AJ34+AJ35+AJ39)</f>
        <v>191121</v>
      </c>
      <c r="AK45" s="338">
        <f t="shared" si="26"/>
        <v>2.2000000000000002</v>
      </c>
      <c r="AL45" s="391">
        <f t="shared" si="19"/>
        <v>1078339.4714307599</v>
      </c>
      <c r="AM45" s="391">
        <f t="shared" si="19"/>
        <v>1155795.37127095</v>
      </c>
      <c r="AN45" s="338">
        <f t="shared" si="20"/>
        <v>7.2</v>
      </c>
      <c r="AO45" s="391">
        <f t="shared" si="21"/>
        <v>1078339.4714307599</v>
      </c>
      <c r="AP45" s="391">
        <f t="shared" si="21"/>
        <v>1155795.37127095</v>
      </c>
      <c r="AQ45" s="394">
        <f t="shared" si="22"/>
        <v>7.2</v>
      </c>
      <c r="AR45" s="442"/>
      <c r="AS45" s="442"/>
      <c r="AT45" s="446"/>
    </row>
    <row r="46" spans="1:46" s="415" customFormat="1" ht="20.100000000000001" customHeight="1" x14ac:dyDescent="0.3">
      <c r="A46" s="407" t="s">
        <v>341</v>
      </c>
      <c r="B46" s="196">
        <v>146.20699999999999</v>
      </c>
      <c r="C46" s="393">
        <v>142.809</v>
      </c>
      <c r="D46" s="338">
        <f>IF(B46=0, "    ---- ", IF(ABS(ROUND(100/B46*C46-100,1))&lt;999,ROUND(100/B46*C46-100,1),IF(ROUND(100/B46*C46-100,1)&gt;999,999,-999)))</f>
        <v>-2.2999999999999998</v>
      </c>
      <c r="E46" s="196">
        <v>241.40600000000001</v>
      </c>
      <c r="F46" s="393">
        <v>218.928</v>
      </c>
      <c r="G46" s="393">
        <f t="shared" si="17"/>
        <v>-9.3000000000000007</v>
      </c>
      <c r="H46" s="890">
        <v>119.6</v>
      </c>
      <c r="I46" s="390">
        <v>79.652000000000001</v>
      </c>
      <c r="J46" s="338">
        <f t="shared" si="30"/>
        <v>-33.4</v>
      </c>
      <c r="K46" s="196">
        <v>385.28</v>
      </c>
      <c r="L46" s="393">
        <v>454.2</v>
      </c>
      <c r="M46" s="382">
        <f t="shared" si="28"/>
        <v>17.899999999999999</v>
      </c>
      <c r="N46" s="196"/>
      <c r="O46" s="393"/>
      <c r="P46" s="338"/>
      <c r="Q46" s="196"/>
      <c r="R46" s="393"/>
      <c r="S46" s="338"/>
      <c r="T46" s="196"/>
      <c r="U46" s="393"/>
      <c r="V46" s="338"/>
      <c r="W46" s="196">
        <v>49.87</v>
      </c>
      <c r="X46" s="393">
        <v>49.21</v>
      </c>
      <c r="Y46" s="338">
        <f t="shared" si="23"/>
        <v>-1.3</v>
      </c>
      <c r="Z46" s="196"/>
      <c r="AA46" s="393"/>
      <c r="AB46" s="338"/>
      <c r="AC46" s="196"/>
      <c r="AD46" s="393"/>
      <c r="AE46" s="338"/>
      <c r="AF46" s="196">
        <v>451.72300000000001</v>
      </c>
      <c r="AG46" s="393">
        <v>516.15800000000002</v>
      </c>
      <c r="AH46" s="338">
        <f t="shared" si="25"/>
        <v>14.3</v>
      </c>
      <c r="AI46" s="196">
        <v>48</v>
      </c>
      <c r="AJ46" s="393">
        <v>67</v>
      </c>
      <c r="AK46" s="338">
        <f t="shared" si="26"/>
        <v>39.6</v>
      </c>
      <c r="AL46" s="391">
        <f t="shared" si="19"/>
        <v>1442.086</v>
      </c>
      <c r="AM46" s="391">
        <f t="shared" si="19"/>
        <v>1527.9569999999999</v>
      </c>
      <c r="AN46" s="338">
        <f t="shared" si="20"/>
        <v>6</v>
      </c>
      <c r="AO46" s="391">
        <f t="shared" si="21"/>
        <v>1442.086</v>
      </c>
      <c r="AP46" s="391">
        <f t="shared" si="21"/>
        <v>1527.9569999999999</v>
      </c>
      <c r="AQ46" s="394">
        <f t="shared" si="22"/>
        <v>6</v>
      </c>
      <c r="AR46" s="442"/>
      <c r="AS46" s="442"/>
      <c r="AT46" s="446"/>
    </row>
    <row r="47" spans="1:46" s="415" customFormat="1" ht="20.100000000000001" customHeight="1" x14ac:dyDescent="0.3">
      <c r="A47" s="407" t="s">
        <v>225</v>
      </c>
      <c r="B47" s="196"/>
      <c r="C47" s="393"/>
      <c r="D47" s="393"/>
      <c r="E47" s="196"/>
      <c r="F47" s="393"/>
      <c r="G47" s="393"/>
      <c r="H47" s="890"/>
      <c r="I47" s="390"/>
      <c r="J47" s="393"/>
      <c r="K47" s="196"/>
      <c r="L47" s="393"/>
      <c r="M47" s="382"/>
      <c r="N47" s="196"/>
      <c r="O47" s="393"/>
      <c r="P47" s="338"/>
      <c r="Q47" s="196"/>
      <c r="R47" s="393"/>
      <c r="S47" s="338"/>
      <c r="T47" s="196"/>
      <c r="U47" s="393"/>
      <c r="V47" s="338"/>
      <c r="W47" s="196"/>
      <c r="X47" s="393"/>
      <c r="Y47" s="338"/>
      <c r="Z47" s="196"/>
      <c r="AA47" s="393"/>
      <c r="AB47" s="338"/>
      <c r="AC47" s="196"/>
      <c r="AD47" s="393"/>
      <c r="AE47" s="338"/>
      <c r="AF47" s="196"/>
      <c r="AG47" s="393"/>
      <c r="AH47" s="338"/>
      <c r="AI47" s="196"/>
      <c r="AJ47" s="393"/>
      <c r="AK47" s="338"/>
      <c r="AL47" s="384"/>
      <c r="AM47" s="384"/>
      <c r="AN47" s="338"/>
      <c r="AO47" s="384"/>
      <c r="AP47" s="384"/>
      <c r="AQ47" s="394"/>
      <c r="AR47" s="442"/>
      <c r="AS47" s="442"/>
      <c r="AT47" s="446"/>
    </row>
    <row r="48" spans="1:46" s="415" customFormat="1" ht="20.100000000000001" customHeight="1" x14ac:dyDescent="0.3">
      <c r="A48" s="409" t="s">
        <v>226</v>
      </c>
      <c r="B48" s="196"/>
      <c r="C48" s="393"/>
      <c r="D48" s="393"/>
      <c r="E48" s="196"/>
      <c r="F48" s="393"/>
      <c r="G48" s="393"/>
      <c r="H48" s="890"/>
      <c r="I48" s="390"/>
      <c r="J48" s="393"/>
      <c r="K48" s="196"/>
      <c r="L48" s="393"/>
      <c r="M48" s="382"/>
      <c r="N48" s="196"/>
      <c r="O48" s="393"/>
      <c r="P48" s="338"/>
      <c r="Q48" s="196"/>
      <c r="R48" s="393"/>
      <c r="S48" s="338"/>
      <c r="T48" s="196"/>
      <c r="U48" s="393"/>
      <c r="V48" s="338"/>
      <c r="W48" s="196">
        <v>0</v>
      </c>
      <c r="X48" s="393">
        <v>0</v>
      </c>
      <c r="Y48" s="390" t="str">
        <f t="shared" ref="Y48" si="31">IF(W48=0, "    ---- ", IF(ABS(ROUND(100/W48*X48-100,1))&lt;999,ROUND(100/W48*X48-100,1),IF(ROUND(100/W48*X48-100,1)&gt;999,999,-999)))</f>
        <v xml:space="preserve">    ---- </v>
      </c>
      <c r="Z48" s="196"/>
      <c r="AA48" s="393"/>
      <c r="AB48" s="338"/>
      <c r="AC48" s="196"/>
      <c r="AD48" s="393"/>
      <c r="AE48" s="338"/>
      <c r="AF48" s="196"/>
      <c r="AG48" s="393"/>
      <c r="AH48" s="338"/>
      <c r="AI48" s="196"/>
      <c r="AJ48" s="393"/>
      <c r="AK48" s="338"/>
      <c r="AL48" s="391">
        <f t="shared" ref="AL48:AM62" si="32">B48+E48+H48+K48+Q48+T48+W48+Z48+AF48+AI48</f>
        <v>0</v>
      </c>
      <c r="AM48" s="391">
        <f t="shared" si="32"/>
        <v>0</v>
      </c>
      <c r="AN48" s="338" t="str">
        <f t="shared" si="20"/>
        <v xml:space="preserve">    ---- </v>
      </c>
      <c r="AO48" s="391">
        <f t="shared" ref="AO48:AP62" si="33">B48+E48+H48+K48+N48+Q48+T48+W48+Z48+AC48+AF48+AI48</f>
        <v>0</v>
      </c>
      <c r="AP48" s="391">
        <f t="shared" si="33"/>
        <v>0</v>
      </c>
      <c r="AQ48" s="394" t="str">
        <f t="shared" si="22"/>
        <v xml:space="preserve">    ---- </v>
      </c>
      <c r="AR48" s="442"/>
      <c r="AS48" s="442"/>
      <c r="AT48" s="446"/>
    </row>
    <row r="49" spans="1:46" s="415" customFormat="1" ht="20.100000000000001" customHeight="1" x14ac:dyDescent="0.3">
      <c r="A49" s="409" t="s">
        <v>227</v>
      </c>
      <c r="B49" s="196"/>
      <c r="C49" s="393"/>
      <c r="D49" s="393"/>
      <c r="E49" s="196"/>
      <c r="F49" s="393"/>
      <c r="G49" s="393"/>
      <c r="H49" s="890"/>
      <c r="I49" s="390"/>
      <c r="J49" s="393"/>
      <c r="K49" s="196">
        <v>815.69799999999998</v>
      </c>
      <c r="L49" s="393">
        <v>1290.3</v>
      </c>
      <c r="M49" s="382">
        <f t="shared" si="28"/>
        <v>58.2</v>
      </c>
      <c r="N49" s="196"/>
      <c r="O49" s="393"/>
      <c r="P49" s="338"/>
      <c r="Q49" s="196">
        <v>306.71543988000002</v>
      </c>
      <c r="R49" s="817">
        <v>335.68473388000001</v>
      </c>
      <c r="S49" s="338">
        <f t="shared" ref="S49:S60" si="34">IF(Q49=0, "    ---- ", IF(ABS(ROUND(100/Q49*R49-100,1))&lt;999,ROUND(100/Q49*R49-100,1),IF(ROUND(100/Q49*R49-100,1)&gt;999,999,-999)))</f>
        <v>9.4</v>
      </c>
      <c r="T49" s="196"/>
      <c r="U49" s="393"/>
      <c r="V49" s="338"/>
      <c r="W49" s="196"/>
      <c r="X49" s="393"/>
      <c r="Y49" s="338"/>
      <c r="Z49" s="196"/>
      <c r="AA49" s="393"/>
      <c r="AB49" s="338"/>
      <c r="AC49" s="196"/>
      <c r="AD49" s="393"/>
      <c r="AE49" s="338"/>
      <c r="AF49" s="196"/>
      <c r="AG49" s="393"/>
      <c r="AH49" s="338"/>
      <c r="AI49" s="196">
        <v>15961.4</v>
      </c>
      <c r="AJ49" s="393">
        <v>20077</v>
      </c>
      <c r="AK49" s="338">
        <f t="shared" si="26"/>
        <v>25.8</v>
      </c>
      <c r="AL49" s="391">
        <f t="shared" si="32"/>
        <v>17083.813439879999</v>
      </c>
      <c r="AM49" s="391">
        <f t="shared" si="32"/>
        <v>21702.984733879999</v>
      </c>
      <c r="AN49" s="338">
        <f t="shared" si="20"/>
        <v>27</v>
      </c>
      <c r="AO49" s="391">
        <f t="shared" si="33"/>
        <v>17083.813439879999</v>
      </c>
      <c r="AP49" s="391">
        <f t="shared" si="33"/>
        <v>21702.984733879999</v>
      </c>
      <c r="AQ49" s="394">
        <f t="shared" si="22"/>
        <v>27</v>
      </c>
      <c r="AR49" s="442"/>
      <c r="AS49" s="442"/>
      <c r="AT49" s="446"/>
    </row>
    <row r="50" spans="1:46" s="415" customFormat="1" ht="20.100000000000001" customHeight="1" x14ac:dyDescent="0.3">
      <c r="A50" s="409" t="s">
        <v>228</v>
      </c>
      <c r="B50" s="785"/>
      <c r="C50" s="393"/>
      <c r="D50" s="393"/>
      <c r="E50" s="196"/>
      <c r="F50" s="393"/>
      <c r="G50" s="393"/>
      <c r="H50" s="890"/>
      <c r="I50" s="390"/>
      <c r="J50" s="393"/>
      <c r="K50" s="196"/>
      <c r="L50" s="393"/>
      <c r="M50" s="382"/>
      <c r="N50" s="196"/>
      <c r="O50" s="393"/>
      <c r="P50" s="338"/>
      <c r="Q50" s="196">
        <v>876.24031490999994</v>
      </c>
      <c r="R50" s="393">
        <f>SUM(R51+R53)</f>
        <v>898.27934043999994</v>
      </c>
      <c r="S50" s="338">
        <f t="shared" si="34"/>
        <v>2.5</v>
      </c>
      <c r="T50" s="196"/>
      <c r="U50" s="393"/>
      <c r="V50" s="338"/>
      <c r="W50" s="196"/>
      <c r="X50" s="393"/>
      <c r="Y50" s="338"/>
      <c r="Z50" s="196"/>
      <c r="AA50" s="393"/>
      <c r="AB50" s="338"/>
      <c r="AC50" s="196"/>
      <c r="AD50" s="393"/>
      <c r="AE50" s="338"/>
      <c r="AF50" s="196"/>
      <c r="AG50" s="393"/>
      <c r="AH50" s="338"/>
      <c r="AI50" s="196">
        <v>870</v>
      </c>
      <c r="AJ50" s="393">
        <f>SUM(AJ51+AJ53)</f>
        <v>986</v>
      </c>
      <c r="AK50" s="338">
        <f t="shared" si="26"/>
        <v>13.3</v>
      </c>
      <c r="AL50" s="391">
        <f t="shared" si="32"/>
        <v>1746.2403149100001</v>
      </c>
      <c r="AM50" s="391">
        <f t="shared" si="32"/>
        <v>1884.2793404399999</v>
      </c>
      <c r="AN50" s="338">
        <f t="shared" si="20"/>
        <v>7.9</v>
      </c>
      <c r="AO50" s="391">
        <f t="shared" si="33"/>
        <v>1746.2403149100001</v>
      </c>
      <c r="AP50" s="391">
        <f t="shared" si="33"/>
        <v>1884.2793404399999</v>
      </c>
      <c r="AQ50" s="394">
        <f t="shared" si="22"/>
        <v>7.9</v>
      </c>
      <c r="AR50" s="442"/>
      <c r="AS50" s="442"/>
      <c r="AT50" s="446"/>
    </row>
    <row r="51" spans="1:46" s="415" customFormat="1" ht="20.100000000000001" customHeight="1" x14ac:dyDescent="0.3">
      <c r="A51" s="409" t="s">
        <v>229</v>
      </c>
      <c r="B51" s="196"/>
      <c r="C51" s="393"/>
      <c r="D51" s="338"/>
      <c r="E51" s="196"/>
      <c r="F51" s="393"/>
      <c r="G51" s="338"/>
      <c r="H51" s="890"/>
      <c r="I51" s="390"/>
      <c r="J51" s="338"/>
      <c r="K51" s="196"/>
      <c r="L51" s="393"/>
      <c r="M51" s="382"/>
      <c r="N51" s="196"/>
      <c r="O51" s="393"/>
      <c r="P51" s="338"/>
      <c r="Q51" s="196">
        <v>80.919051730000007</v>
      </c>
      <c r="R51" s="817">
        <v>63.828122540000003</v>
      </c>
      <c r="S51" s="338">
        <f t="shared" si="34"/>
        <v>-21.1</v>
      </c>
      <c r="T51" s="196"/>
      <c r="U51" s="393"/>
      <c r="V51" s="338"/>
      <c r="W51" s="196"/>
      <c r="X51" s="393"/>
      <c r="Y51" s="338"/>
      <c r="Z51" s="196"/>
      <c r="AA51" s="393"/>
      <c r="AB51" s="338"/>
      <c r="AC51" s="196"/>
      <c r="AD51" s="393"/>
      <c r="AE51" s="338"/>
      <c r="AF51" s="196"/>
      <c r="AG51" s="393"/>
      <c r="AH51" s="338"/>
      <c r="AI51" s="196"/>
      <c r="AJ51" s="393"/>
      <c r="AK51" s="338"/>
      <c r="AL51" s="391">
        <f t="shared" si="32"/>
        <v>80.919051730000007</v>
      </c>
      <c r="AM51" s="391">
        <f t="shared" si="32"/>
        <v>63.828122540000003</v>
      </c>
      <c r="AN51" s="338">
        <f t="shared" si="20"/>
        <v>-21.1</v>
      </c>
      <c r="AO51" s="391">
        <f t="shared" si="33"/>
        <v>80.919051730000007</v>
      </c>
      <c r="AP51" s="391">
        <f t="shared" si="33"/>
        <v>63.828122540000003</v>
      </c>
      <c r="AQ51" s="394">
        <f t="shared" si="22"/>
        <v>-21.1</v>
      </c>
      <c r="AR51" s="442"/>
      <c r="AS51" s="442"/>
      <c r="AT51" s="446"/>
    </row>
    <row r="52" spans="1:46" s="444" customFormat="1" ht="20.100000000000001" customHeight="1" x14ac:dyDescent="0.3">
      <c r="A52" s="409" t="s">
        <v>199</v>
      </c>
      <c r="B52" s="196"/>
      <c r="C52" s="393"/>
      <c r="D52" s="390"/>
      <c r="E52" s="196"/>
      <c r="F52" s="393"/>
      <c r="G52" s="390"/>
      <c r="H52" s="890"/>
      <c r="I52" s="390"/>
      <c r="J52" s="390"/>
      <c r="K52" s="196"/>
      <c r="L52" s="393"/>
      <c r="M52" s="389"/>
      <c r="N52" s="196"/>
      <c r="O52" s="393"/>
      <c r="P52" s="390"/>
      <c r="Q52" s="196">
        <v>80.919051730000007</v>
      </c>
      <c r="R52" s="817">
        <v>63.828122540000003</v>
      </c>
      <c r="S52" s="338">
        <f t="shared" si="34"/>
        <v>-21.1</v>
      </c>
      <c r="T52" s="196"/>
      <c r="U52" s="393"/>
      <c r="V52" s="390"/>
      <c r="W52" s="196"/>
      <c r="X52" s="393"/>
      <c r="Y52" s="390"/>
      <c r="Z52" s="196"/>
      <c r="AA52" s="393"/>
      <c r="AB52" s="390"/>
      <c r="AC52" s="196"/>
      <c r="AD52" s="393"/>
      <c r="AE52" s="390"/>
      <c r="AF52" s="196"/>
      <c r="AG52" s="393"/>
      <c r="AH52" s="390"/>
      <c r="AI52" s="196"/>
      <c r="AJ52" s="393"/>
      <c r="AK52" s="390"/>
      <c r="AL52" s="391">
        <f t="shared" si="32"/>
        <v>80.919051730000007</v>
      </c>
      <c r="AM52" s="391">
        <f t="shared" si="32"/>
        <v>63.828122540000003</v>
      </c>
      <c r="AN52" s="390">
        <f t="shared" si="20"/>
        <v>-21.1</v>
      </c>
      <c r="AO52" s="391">
        <f t="shared" si="33"/>
        <v>80.919051730000007</v>
      </c>
      <c r="AP52" s="391">
        <f t="shared" si="33"/>
        <v>63.828122540000003</v>
      </c>
      <c r="AQ52" s="392">
        <f t="shared" si="22"/>
        <v>-21.1</v>
      </c>
      <c r="AR52" s="443"/>
      <c r="AS52" s="443"/>
      <c r="AT52" s="445"/>
    </row>
    <row r="53" spans="1:46" s="415" customFormat="1" ht="20.100000000000001" customHeight="1" x14ac:dyDescent="0.3">
      <c r="A53" s="409" t="s">
        <v>230</v>
      </c>
      <c r="B53" s="196"/>
      <c r="C53" s="393"/>
      <c r="D53" s="393"/>
      <c r="E53" s="196"/>
      <c r="F53" s="393"/>
      <c r="G53" s="393"/>
      <c r="H53" s="890"/>
      <c r="I53" s="390"/>
      <c r="J53" s="393"/>
      <c r="K53" s="196"/>
      <c r="L53" s="393"/>
      <c r="M53" s="382"/>
      <c r="N53" s="196"/>
      <c r="O53" s="393"/>
      <c r="P53" s="338"/>
      <c r="Q53" s="196">
        <v>795.32126317999996</v>
      </c>
      <c r="R53" s="817">
        <v>834.45121789999996</v>
      </c>
      <c r="S53" s="338">
        <f t="shared" si="34"/>
        <v>4.9000000000000004</v>
      </c>
      <c r="T53" s="196"/>
      <c r="U53" s="393"/>
      <c r="V53" s="338"/>
      <c r="W53" s="196"/>
      <c r="X53" s="393"/>
      <c r="Y53" s="338"/>
      <c r="Z53" s="196"/>
      <c r="AA53" s="393"/>
      <c r="AB53" s="338"/>
      <c r="AC53" s="196"/>
      <c r="AD53" s="393"/>
      <c r="AE53" s="338"/>
      <c r="AF53" s="196"/>
      <c r="AG53" s="393"/>
      <c r="AH53" s="338"/>
      <c r="AI53" s="196">
        <v>870</v>
      </c>
      <c r="AJ53" s="393">
        <v>986</v>
      </c>
      <c r="AK53" s="338">
        <f t="shared" si="26"/>
        <v>13.3</v>
      </c>
      <c r="AL53" s="391">
        <f t="shared" si="32"/>
        <v>1665.32126318</v>
      </c>
      <c r="AM53" s="391">
        <f t="shared" si="32"/>
        <v>1820.4512178999998</v>
      </c>
      <c r="AN53" s="338">
        <f t="shared" si="20"/>
        <v>9.3000000000000007</v>
      </c>
      <c r="AO53" s="391">
        <f t="shared" si="33"/>
        <v>1665.32126318</v>
      </c>
      <c r="AP53" s="391">
        <f t="shared" si="33"/>
        <v>1820.4512178999998</v>
      </c>
      <c r="AQ53" s="394">
        <f t="shared" si="22"/>
        <v>9.3000000000000007</v>
      </c>
      <c r="AR53" s="442"/>
      <c r="AS53" s="442"/>
      <c r="AT53" s="446"/>
    </row>
    <row r="54" spans="1:46" s="415" customFormat="1" ht="20.100000000000001" customHeight="1" x14ac:dyDescent="0.3">
      <c r="A54" s="409" t="s">
        <v>231</v>
      </c>
      <c r="B54" s="785">
        <v>16857.045999999998</v>
      </c>
      <c r="C54" s="393">
        <f>SUM(C55:C59)</f>
        <v>20732.862999999998</v>
      </c>
      <c r="D54" s="393">
        <f>IF(B54=0, "    ---- ", IF(ABS(ROUND(100/B54*C54-100,1))&lt;999,ROUND(100/B54*C54-100,1),IF(ROUND(100/B54*C54-100,1)&gt;999,999,-999)))</f>
        <v>23</v>
      </c>
      <c r="E54" s="196">
        <v>77241.342000000004</v>
      </c>
      <c r="F54" s="393">
        <f>SUM(F55:F59)</f>
        <v>98943.005000000005</v>
      </c>
      <c r="G54" s="393">
        <f t="shared" si="17"/>
        <v>28.1</v>
      </c>
      <c r="H54" s="890">
        <v>3327.2</v>
      </c>
      <c r="I54" s="390">
        <f>SUM(I55:I59)</f>
        <v>4266.1270000000004</v>
      </c>
      <c r="J54" s="393">
        <f>IF(H54=0, "    ---- ", IF(ABS(ROUND(100/H54*I54-100,1))&lt;999,ROUND(100/H54*I54-100,1),IF(ROUND(100/H54*I54-100,1)&gt;999,999,-999)))</f>
        <v>28.2</v>
      </c>
      <c r="K54" s="196">
        <v>23286.081999999995</v>
      </c>
      <c r="L54" s="393">
        <f>SUM(L55:L59)</f>
        <v>28840.5</v>
      </c>
      <c r="M54" s="382">
        <f t="shared" si="28"/>
        <v>23.9</v>
      </c>
      <c r="N54" s="196"/>
      <c r="O54" s="393"/>
      <c r="P54" s="338"/>
      <c r="Q54" s="196">
        <v>1239.6006023800003</v>
      </c>
      <c r="R54" s="393">
        <f>SUM(R55:R59)</f>
        <v>1427.9486736800002</v>
      </c>
      <c r="S54" s="338">
        <f t="shared" si="34"/>
        <v>15.2</v>
      </c>
      <c r="T54" s="196">
        <v>3396.4</v>
      </c>
      <c r="U54" s="393">
        <f>SUM(U55:U59)</f>
        <v>4906.3</v>
      </c>
      <c r="V54" s="338">
        <f>IF(T54=0, "    ---- ", IF(ABS(ROUND(100/T54*U54-100,1))&lt;999,ROUND(100/T54*U54-100,1),IF(ROUND(100/T54*U54-100,1)&gt;999,999,-999)))</f>
        <v>44.5</v>
      </c>
      <c r="W54" s="196">
        <v>59037.75</v>
      </c>
      <c r="X54" s="393">
        <f>SUM(X55:X59)</f>
        <v>77976.62000000001</v>
      </c>
      <c r="Y54" s="338">
        <f t="shared" si="23"/>
        <v>32.1</v>
      </c>
      <c r="Z54" s="196"/>
      <c r="AA54" s="393"/>
      <c r="AB54" s="338"/>
      <c r="AC54" s="196">
        <v>2081.5378382600002</v>
      </c>
      <c r="AD54" s="393">
        <f>SUM(AD55:AD59)</f>
        <v>2542.4488284099998</v>
      </c>
      <c r="AE54" s="338">
        <f>IF(AC54=0, "    ---- ", IF(ABS(ROUND(100/AC54*AD54-100,1))&lt;999,ROUND(100/AC54*AD54-100,1),IF(ROUND(100/AC54*AD54-100,1)&gt;999,999,-999)))</f>
        <v>22.1</v>
      </c>
      <c r="AF54" s="196">
        <v>28265.856000000003</v>
      </c>
      <c r="AG54" s="393">
        <f>SUM(AG55:AG59)</f>
        <v>35908.096999999994</v>
      </c>
      <c r="AH54" s="338">
        <f t="shared" si="25"/>
        <v>27</v>
      </c>
      <c r="AI54" s="196">
        <v>78101.399999999994</v>
      </c>
      <c r="AJ54" s="393">
        <f>SUM(AJ55:AJ59)</f>
        <v>93480</v>
      </c>
      <c r="AK54" s="338">
        <f t="shared" si="26"/>
        <v>19.7</v>
      </c>
      <c r="AL54" s="391">
        <f t="shared" si="32"/>
        <v>290752.67660238</v>
      </c>
      <c r="AM54" s="391">
        <f t="shared" si="32"/>
        <v>366481.46067368001</v>
      </c>
      <c r="AN54" s="338">
        <f t="shared" si="20"/>
        <v>26</v>
      </c>
      <c r="AO54" s="391">
        <f t="shared" si="33"/>
        <v>292834.21444064</v>
      </c>
      <c r="AP54" s="391">
        <f t="shared" si="33"/>
        <v>369023.90950209001</v>
      </c>
      <c r="AQ54" s="394">
        <f t="shared" si="22"/>
        <v>26</v>
      </c>
      <c r="AR54" s="442"/>
      <c r="AS54" s="442"/>
      <c r="AT54" s="446"/>
    </row>
    <row r="55" spans="1:46" s="415" customFormat="1" ht="20.100000000000001" customHeight="1" x14ac:dyDescent="0.3">
      <c r="A55" s="409" t="s">
        <v>232</v>
      </c>
      <c r="B55" s="196">
        <v>9927.8410000000003</v>
      </c>
      <c r="C55" s="393">
        <v>12829.218000000001</v>
      </c>
      <c r="D55" s="393">
        <f>IF(B55=0, "    ---- ", IF(ABS(ROUND(100/B55*C55-100,1))&lt;999,ROUND(100/B55*C55-100,1),IF(ROUND(100/B55*C55-100,1)&gt;999,999,-999)))</f>
        <v>29.2</v>
      </c>
      <c r="E55" s="196">
        <v>41362.053</v>
      </c>
      <c r="F55" s="393">
        <v>55249.517</v>
      </c>
      <c r="G55" s="393">
        <f t="shared" si="17"/>
        <v>33.6</v>
      </c>
      <c r="H55" s="890">
        <v>1869.2</v>
      </c>
      <c r="I55" s="390">
        <v>2615.8760000000002</v>
      </c>
      <c r="J55" s="393">
        <f>IF(H55=0, "    ---- ", IF(ABS(ROUND(100/H55*I55-100,1))&lt;999,ROUND(100/H55*I55-100,1),IF(ROUND(100/H55*I55-100,1)&gt;999,999,-999)))</f>
        <v>39.9</v>
      </c>
      <c r="K55" s="196">
        <v>19811.526999999998</v>
      </c>
      <c r="L55" s="393">
        <v>24502.5</v>
      </c>
      <c r="M55" s="382">
        <f t="shared" si="28"/>
        <v>23.7</v>
      </c>
      <c r="N55" s="196"/>
      <c r="O55" s="393"/>
      <c r="P55" s="338"/>
      <c r="Q55" s="196">
        <v>614.62150016999999</v>
      </c>
      <c r="R55" s="817">
        <v>820.26411407000001</v>
      </c>
      <c r="S55" s="338">
        <f t="shared" si="34"/>
        <v>33.5</v>
      </c>
      <c r="T55" s="196">
        <v>2193.8000000000002</v>
      </c>
      <c r="U55" s="393">
        <v>3435.9</v>
      </c>
      <c r="V55" s="338">
        <f>IF(T55=0, "    ---- ", IF(ABS(ROUND(100/T55*U55-100,1))&lt;999,ROUND(100/T55*U55-100,1),IF(ROUND(100/T55*U55-100,1)&gt;999,999,-999)))</f>
        <v>56.6</v>
      </c>
      <c r="W55" s="196">
        <v>30168.21</v>
      </c>
      <c r="X55" s="393">
        <v>43919.41</v>
      </c>
      <c r="Y55" s="338">
        <f t="shared" si="23"/>
        <v>45.6</v>
      </c>
      <c r="Z55" s="196"/>
      <c r="AA55" s="393"/>
      <c r="AB55" s="338"/>
      <c r="AC55" s="196">
        <v>2081.5378382600002</v>
      </c>
      <c r="AD55" s="393">
        <v>2542.4488284099998</v>
      </c>
      <c r="AE55" s="338">
        <f>IF(AC55=0, "    ---- ", IF(ABS(ROUND(100/AC55*AD55-100,1))&lt;999,ROUND(100/AC55*AD55-100,1),IF(ROUND(100/AC55*AD55-100,1)&gt;999,999,-999)))</f>
        <v>22.1</v>
      </c>
      <c r="AF55" s="196">
        <v>16651.471000000001</v>
      </c>
      <c r="AG55" s="393">
        <v>21556.341</v>
      </c>
      <c r="AH55" s="338">
        <f t="shared" si="25"/>
        <v>29.5</v>
      </c>
      <c r="AI55" s="196">
        <v>42617</v>
      </c>
      <c r="AJ55" s="393">
        <v>54990</v>
      </c>
      <c r="AK55" s="338">
        <f t="shared" si="26"/>
        <v>29</v>
      </c>
      <c r="AL55" s="391">
        <f t="shared" si="32"/>
        <v>165215.72350016999</v>
      </c>
      <c r="AM55" s="391">
        <f t="shared" si="32"/>
        <v>219919.02611407003</v>
      </c>
      <c r="AN55" s="338">
        <f t="shared" si="20"/>
        <v>33.1</v>
      </c>
      <c r="AO55" s="391">
        <f t="shared" si="33"/>
        <v>167297.26133842999</v>
      </c>
      <c r="AP55" s="391">
        <f t="shared" si="33"/>
        <v>222461.47494248004</v>
      </c>
      <c r="AQ55" s="394">
        <f t="shared" si="22"/>
        <v>33</v>
      </c>
      <c r="AR55" s="442"/>
      <c r="AS55" s="442"/>
      <c r="AT55" s="446"/>
    </row>
    <row r="56" spans="1:46" s="415" customFormat="1" ht="20.100000000000001" customHeight="1" x14ac:dyDescent="0.3">
      <c r="A56" s="409" t="s">
        <v>233</v>
      </c>
      <c r="B56" s="196">
        <v>6783.2929999999997</v>
      </c>
      <c r="C56" s="393">
        <v>7364.0889999999999</v>
      </c>
      <c r="D56" s="393">
        <f>IF(B56=0, "    ---- ", IF(ABS(ROUND(100/B56*C56-100,1))&lt;999,ROUND(100/B56*C56-100,1),IF(ROUND(100/B56*C56-100,1)&gt;999,999,-999)))</f>
        <v>8.6</v>
      </c>
      <c r="E56" s="196">
        <v>34317.017</v>
      </c>
      <c r="F56" s="393">
        <v>42301.463000000003</v>
      </c>
      <c r="G56" s="393">
        <f t="shared" si="17"/>
        <v>23.3</v>
      </c>
      <c r="H56" s="890">
        <v>171.4</v>
      </c>
      <c r="I56" s="390">
        <v>195.404</v>
      </c>
      <c r="J56" s="393">
        <f>IF(H56=0, "    ---- ", IF(ABS(ROUND(100/H56*I56-100,1))&lt;999,ROUND(100/H56*I56-100,1),IF(ROUND(100/H56*I56-100,1)&gt;999,999,-999)))</f>
        <v>14</v>
      </c>
      <c r="K56" s="196">
        <v>3282.26</v>
      </c>
      <c r="L56" s="393">
        <v>4196.5</v>
      </c>
      <c r="M56" s="382">
        <f t="shared" si="28"/>
        <v>27.9</v>
      </c>
      <c r="N56" s="196"/>
      <c r="O56" s="393"/>
      <c r="P56" s="338"/>
      <c r="Q56" s="196">
        <v>576.04830752999999</v>
      </c>
      <c r="R56" s="817">
        <v>504.81990861000003</v>
      </c>
      <c r="S56" s="338">
        <f t="shared" si="34"/>
        <v>-12.4</v>
      </c>
      <c r="T56" s="196">
        <v>1195.0999999999999</v>
      </c>
      <c r="U56" s="393">
        <v>1463.3</v>
      </c>
      <c r="V56" s="338">
        <f>IF(T56=0, "    ---- ", IF(ABS(ROUND(100/T56*U56-100,1))&lt;999,ROUND(100/T56*U56-100,1),IF(ROUND(100/T56*U56-100,1)&gt;999,999,-999)))</f>
        <v>22.4</v>
      </c>
      <c r="W56" s="196">
        <v>28341.22</v>
      </c>
      <c r="X56" s="393">
        <v>33636.050000000003</v>
      </c>
      <c r="Y56" s="338">
        <f t="shared" si="23"/>
        <v>18.7</v>
      </c>
      <c r="Z56" s="196"/>
      <c r="AA56" s="393"/>
      <c r="AB56" s="338"/>
      <c r="AC56" s="196"/>
      <c r="AD56" s="393"/>
      <c r="AE56" s="338"/>
      <c r="AF56" s="196">
        <v>11365.790999999999</v>
      </c>
      <c r="AG56" s="393">
        <v>13654.483</v>
      </c>
      <c r="AH56" s="338">
        <f t="shared" si="25"/>
        <v>20.100000000000001</v>
      </c>
      <c r="AI56" s="196">
        <v>34731</v>
      </c>
      <c r="AJ56" s="393">
        <v>37138</v>
      </c>
      <c r="AK56" s="338">
        <f t="shared" si="26"/>
        <v>6.9</v>
      </c>
      <c r="AL56" s="391">
        <f t="shared" si="32"/>
        <v>120763.12930753001</v>
      </c>
      <c r="AM56" s="391">
        <f t="shared" si="32"/>
        <v>140454.10890861001</v>
      </c>
      <c r="AN56" s="338">
        <f t="shared" si="20"/>
        <v>16.3</v>
      </c>
      <c r="AO56" s="391">
        <f t="shared" si="33"/>
        <v>120763.12930753001</v>
      </c>
      <c r="AP56" s="391">
        <f t="shared" si="33"/>
        <v>140454.10890861001</v>
      </c>
      <c r="AQ56" s="394">
        <f t="shared" si="22"/>
        <v>16.3</v>
      </c>
      <c r="AR56" s="442"/>
      <c r="AS56" s="442"/>
      <c r="AT56" s="446"/>
    </row>
    <row r="57" spans="1:46" s="415" customFormat="1" ht="20.100000000000001" customHeight="1" x14ac:dyDescent="0.3">
      <c r="A57" s="409" t="s">
        <v>234</v>
      </c>
      <c r="B57" s="196">
        <v>115.42700000000001</v>
      </c>
      <c r="C57" s="393">
        <v>285.84899999999999</v>
      </c>
      <c r="D57" s="338">
        <f t="shared" ref="D57:D58" si="35">IF(B57=0, "    ---- ", IF(ABS(ROUND(100/B57*C57-100,1))&lt;999,ROUND(100/B57*C57-100,1),IF(ROUND(100/B57*C57-100,1)&gt;999,999,-999)))</f>
        <v>147.6</v>
      </c>
      <c r="E57" s="196">
        <v>1562.2719999999999</v>
      </c>
      <c r="F57" s="393">
        <v>1392.0250000000001</v>
      </c>
      <c r="G57" s="338">
        <f t="shared" si="17"/>
        <v>-10.9</v>
      </c>
      <c r="H57" s="890"/>
      <c r="I57" s="390"/>
      <c r="J57" s="338"/>
      <c r="K57" s="196">
        <v>61.457999999999998</v>
      </c>
      <c r="L57" s="393">
        <v>73.3</v>
      </c>
      <c r="M57" s="338">
        <f t="shared" si="28"/>
        <v>19.3</v>
      </c>
      <c r="N57" s="196"/>
      <c r="O57" s="393"/>
      <c r="P57" s="338"/>
      <c r="Q57" s="196">
        <v>48.743715539999997</v>
      </c>
      <c r="R57" s="817">
        <v>87.408035269999999</v>
      </c>
      <c r="S57" s="338">
        <f t="shared" si="34"/>
        <v>79.3</v>
      </c>
      <c r="T57" s="196">
        <v>7.5</v>
      </c>
      <c r="U57" s="393">
        <v>7.1</v>
      </c>
      <c r="V57" s="338">
        <f>IF(T57=0, "    ---- ", IF(ABS(ROUND(100/T57*U57-100,1))&lt;999,ROUND(100/T57*U57-100,1),IF(ROUND(100/T57*U57-100,1)&gt;999,999,-999)))</f>
        <v>-5.3</v>
      </c>
      <c r="W57" s="196"/>
      <c r="X57" s="393">
        <v>0</v>
      </c>
      <c r="Y57" s="338" t="str">
        <f t="shared" si="23"/>
        <v xml:space="preserve">    ---- </v>
      </c>
      <c r="Z57" s="196"/>
      <c r="AA57" s="393"/>
      <c r="AB57" s="338"/>
      <c r="AC57" s="196"/>
      <c r="AD57" s="393"/>
      <c r="AE57" s="338"/>
      <c r="AF57" s="196"/>
      <c r="AG57" s="393"/>
      <c r="AH57" s="338"/>
      <c r="AI57" s="196">
        <v>364</v>
      </c>
      <c r="AJ57" s="393">
        <v>343</v>
      </c>
      <c r="AK57" s="338">
        <f t="shared" si="26"/>
        <v>-5.8</v>
      </c>
      <c r="AL57" s="391">
        <f t="shared" si="32"/>
        <v>2159.40071554</v>
      </c>
      <c r="AM57" s="391">
        <f t="shared" si="32"/>
        <v>2188.6820352699997</v>
      </c>
      <c r="AN57" s="338">
        <f t="shared" si="20"/>
        <v>1.4</v>
      </c>
      <c r="AO57" s="391">
        <f t="shared" si="33"/>
        <v>2159.40071554</v>
      </c>
      <c r="AP57" s="391">
        <f t="shared" si="33"/>
        <v>2188.6820352699997</v>
      </c>
      <c r="AQ57" s="394">
        <f t="shared" si="22"/>
        <v>1.4</v>
      </c>
      <c r="AR57" s="442"/>
      <c r="AS57" s="442"/>
      <c r="AT57" s="446"/>
    </row>
    <row r="58" spans="1:46" s="415" customFormat="1" ht="20.100000000000001" customHeight="1" x14ac:dyDescent="0.3">
      <c r="A58" s="409" t="s">
        <v>235</v>
      </c>
      <c r="B58" s="196">
        <v>-116.83199999999999</v>
      </c>
      <c r="C58" s="393">
        <v>131.477</v>
      </c>
      <c r="D58" s="338">
        <f t="shared" si="35"/>
        <v>-212.5</v>
      </c>
      <c r="E58" s="196"/>
      <c r="F58" s="393"/>
      <c r="G58" s="338"/>
      <c r="H58" s="890"/>
      <c r="I58" s="390"/>
      <c r="J58" s="338"/>
      <c r="K58" s="196"/>
      <c r="L58" s="393"/>
      <c r="M58" s="338"/>
      <c r="N58" s="196"/>
      <c r="O58" s="393"/>
      <c r="P58" s="338"/>
      <c r="Q58" s="196">
        <v>0.18707915</v>
      </c>
      <c r="R58" s="817">
        <v>15.45661574</v>
      </c>
      <c r="S58" s="338">
        <f t="shared" si="34"/>
        <v>999</v>
      </c>
      <c r="T58" s="196"/>
      <c r="U58" s="393"/>
      <c r="V58" s="338"/>
      <c r="W58" s="196"/>
      <c r="X58" s="393">
        <v>0</v>
      </c>
      <c r="Y58" s="338" t="str">
        <f t="shared" si="23"/>
        <v xml:space="preserve">    ---- </v>
      </c>
      <c r="Z58" s="196"/>
      <c r="AA58" s="393"/>
      <c r="AB58" s="338"/>
      <c r="AC58" s="196"/>
      <c r="AD58" s="393"/>
      <c r="AE58" s="338"/>
      <c r="AF58" s="196"/>
      <c r="AG58" s="393">
        <v>525.71900000000005</v>
      </c>
      <c r="AH58" s="338" t="str">
        <f t="shared" si="25"/>
        <v xml:space="preserve">    ---- </v>
      </c>
      <c r="AI58" s="196">
        <v>389.4</v>
      </c>
      <c r="AJ58" s="393">
        <v>1009</v>
      </c>
      <c r="AK58" s="338">
        <f t="shared" si="26"/>
        <v>159.1</v>
      </c>
      <c r="AL58" s="391">
        <f t="shared" si="32"/>
        <v>272.75507914999997</v>
      </c>
      <c r="AM58" s="391">
        <f t="shared" si="32"/>
        <v>1681.6526157400001</v>
      </c>
      <c r="AN58" s="338">
        <f t="shared" si="20"/>
        <v>516.5</v>
      </c>
      <c r="AO58" s="391">
        <f t="shared" si="33"/>
        <v>272.75507914999997</v>
      </c>
      <c r="AP58" s="391">
        <f t="shared" si="33"/>
        <v>1681.6526157400001</v>
      </c>
      <c r="AQ58" s="394">
        <f t="shared" si="22"/>
        <v>516.5</v>
      </c>
      <c r="AR58" s="442"/>
      <c r="AS58" s="442"/>
      <c r="AT58" s="446"/>
    </row>
    <row r="59" spans="1:46" s="415" customFormat="1" ht="20.100000000000001" customHeight="1" x14ac:dyDescent="0.3">
      <c r="A59" s="409" t="s">
        <v>236</v>
      </c>
      <c r="B59" s="196">
        <v>147.31700000000001</v>
      </c>
      <c r="C59" s="393">
        <v>122.23</v>
      </c>
      <c r="D59" s="338">
        <f>IF(B59=0, "    ---- ", IF(ABS(ROUND(100/B59*C59-100,1))&lt;999,ROUND(100/B59*C59-100,1),IF(ROUND(100/B59*C59-100,1)&gt;999,999,-999)))</f>
        <v>-17</v>
      </c>
      <c r="E59" s="196"/>
      <c r="F59" s="393"/>
      <c r="G59" s="338"/>
      <c r="H59" s="890">
        <v>1286.5999999999999</v>
      </c>
      <c r="I59" s="390">
        <v>1454.847</v>
      </c>
      <c r="J59" s="338">
        <f>IF(H59=0, "    ---- ", IF(ABS(ROUND(100/H59*I59-100,1))&lt;999,ROUND(100/H59*I59-100,1),IF(ROUND(100/H59*I59-100,1)&gt;999,999,-999)))</f>
        <v>13.1</v>
      </c>
      <c r="K59" s="196">
        <v>130.83699999999999</v>
      </c>
      <c r="L59" s="393">
        <v>68.2</v>
      </c>
      <c r="M59" s="338">
        <f>IF(K59=0, "    ---- ", IF(ABS(ROUND(100/K59*L59-100,1))&lt;999,ROUND(100/K59*L59-100,1),IF(ROUND(100/K59*L59-100,1)&gt;999,999,-999)))</f>
        <v>-47.9</v>
      </c>
      <c r="N59" s="196"/>
      <c r="O59" s="393"/>
      <c r="P59" s="338"/>
      <c r="Q59" s="196">
        <v>-1E-8</v>
      </c>
      <c r="R59" s="817">
        <v>-1E-8</v>
      </c>
      <c r="S59" s="338">
        <f t="shared" si="34"/>
        <v>0</v>
      </c>
      <c r="T59" s="196"/>
      <c r="U59" s="393"/>
      <c r="V59" s="338"/>
      <c r="W59" s="196">
        <v>528.32000000000005</v>
      </c>
      <c r="X59" s="393">
        <v>421.16</v>
      </c>
      <c r="Y59" s="338">
        <f t="shared" si="23"/>
        <v>-20.3</v>
      </c>
      <c r="Z59" s="196"/>
      <c r="AA59" s="393"/>
      <c r="AB59" s="338"/>
      <c r="AC59" s="196"/>
      <c r="AD59" s="393"/>
      <c r="AE59" s="338"/>
      <c r="AF59" s="196">
        <v>248.59399999999999</v>
      </c>
      <c r="AG59" s="393">
        <v>171.554</v>
      </c>
      <c r="AH59" s="338">
        <f t="shared" si="25"/>
        <v>-31</v>
      </c>
      <c r="AI59" s="196"/>
      <c r="AJ59" s="393"/>
      <c r="AK59" s="338"/>
      <c r="AL59" s="391">
        <f t="shared" si="32"/>
        <v>2341.6679999900002</v>
      </c>
      <c r="AM59" s="391">
        <f t="shared" si="32"/>
        <v>2237.9909999900001</v>
      </c>
      <c r="AN59" s="338">
        <f t="shared" si="20"/>
        <v>-4.4000000000000004</v>
      </c>
      <c r="AO59" s="391">
        <f t="shared" si="33"/>
        <v>2341.6679999900002</v>
      </c>
      <c r="AP59" s="391">
        <f t="shared" si="33"/>
        <v>2237.9909999900001</v>
      </c>
      <c r="AQ59" s="394">
        <f t="shared" si="22"/>
        <v>-4.4000000000000004</v>
      </c>
      <c r="AR59" s="442"/>
      <c r="AS59" s="442"/>
      <c r="AT59" s="446"/>
    </row>
    <row r="60" spans="1:46" s="415" customFormat="1" ht="20.100000000000001" customHeight="1" x14ac:dyDescent="0.3">
      <c r="A60" s="410" t="s">
        <v>237</v>
      </c>
      <c r="B60" s="785">
        <v>16857.045999999998</v>
      </c>
      <c r="C60" s="393">
        <f>SUM(C48+C49+C50+C54)</f>
        <v>20732.862999999998</v>
      </c>
      <c r="D60" s="338">
        <f>IF(B60=0, "    ---- ", IF(ABS(ROUND(100/B60*C60-100,1))&lt;999,ROUND(100/B60*C60-100,1),IF(ROUND(100/B60*C60-100,1)&gt;999,999,-999)))</f>
        <v>23</v>
      </c>
      <c r="E60" s="196">
        <v>77241.342000000004</v>
      </c>
      <c r="F60" s="393">
        <f>SUM(F48+F49+F50+F54)</f>
        <v>98943.005000000005</v>
      </c>
      <c r="G60" s="338">
        <f t="shared" si="17"/>
        <v>28.1</v>
      </c>
      <c r="H60" s="890">
        <v>3327.2</v>
      </c>
      <c r="I60" s="390">
        <f>SUM(I48+I49+I50+I54)</f>
        <v>4266.1270000000004</v>
      </c>
      <c r="J60" s="338">
        <f>IF(H60=0, "    ---- ", IF(ABS(ROUND(100/H60*I60-100,1))&lt;999,ROUND(100/H60*I60-100,1),IF(ROUND(100/H60*I60-100,1)&gt;999,999,-999)))</f>
        <v>28.2</v>
      </c>
      <c r="K60" s="196">
        <v>24101.779999999995</v>
      </c>
      <c r="L60" s="393">
        <f>SUM(L48+L49+L50+L54)</f>
        <v>30130.799999999999</v>
      </c>
      <c r="M60" s="338">
        <f>IF(K60=0, "    ---- ", IF(ABS(ROUND(100/K60*L60-100,1))&lt;999,ROUND(100/K60*L60-100,1),IF(ROUND(100/K60*L60-100,1)&gt;999,999,-999)))</f>
        <v>25</v>
      </c>
      <c r="N60" s="196"/>
      <c r="O60" s="393"/>
      <c r="P60" s="338"/>
      <c r="Q60" s="196">
        <v>2422.5563571700004</v>
      </c>
      <c r="R60" s="393">
        <f>SUM(R48+R49+R50+R54)</f>
        <v>2661.9127480000002</v>
      </c>
      <c r="S60" s="338">
        <f t="shared" si="34"/>
        <v>9.9</v>
      </c>
      <c r="T60" s="196">
        <v>3396.4</v>
      </c>
      <c r="U60" s="393">
        <f>SUM(U48+U49+U50+U54)</f>
        <v>4906.3</v>
      </c>
      <c r="V60" s="338">
        <f>IF(T60=0, "    ---- ", IF(ABS(ROUND(100/T60*U60-100,1))&lt;999,ROUND(100/T60*U60-100,1),IF(ROUND(100/T60*U60-100,1)&gt;999,999,-999)))</f>
        <v>44.5</v>
      </c>
      <c r="W60" s="196">
        <v>59037.75</v>
      </c>
      <c r="X60" s="393">
        <f>SUM(X48+X49+X50+X54)</f>
        <v>77976.62000000001</v>
      </c>
      <c r="Y60" s="338">
        <f t="shared" si="23"/>
        <v>32.1</v>
      </c>
      <c r="Z60" s="196"/>
      <c r="AA60" s="393"/>
      <c r="AB60" s="338"/>
      <c r="AC60" s="196">
        <v>2081.5378382600002</v>
      </c>
      <c r="AD60" s="393">
        <f>SUM(AD48+AD49+AD50+AD54)</f>
        <v>2542.4488284099998</v>
      </c>
      <c r="AE60" s="338">
        <f>IF(AC60=0, "    ---- ", IF(ABS(ROUND(100/AC60*AD60-100,1))&lt;999,ROUND(100/AC60*AD60-100,1),IF(ROUND(100/AC60*AD60-100,1)&gt;999,999,-999)))</f>
        <v>22.1</v>
      </c>
      <c r="AF60" s="196">
        <v>28265.856000000003</v>
      </c>
      <c r="AG60" s="393">
        <f>SUM(AG48+AG49+AG50+AG54)</f>
        <v>35908.096999999994</v>
      </c>
      <c r="AH60" s="338">
        <f t="shared" si="25"/>
        <v>27</v>
      </c>
      <c r="AI60" s="196">
        <v>94932.799999999988</v>
      </c>
      <c r="AJ60" s="393">
        <f>SUM(AJ48+AJ49+AJ50+AJ54)</f>
        <v>114543</v>
      </c>
      <c r="AK60" s="338">
        <f t="shared" si="26"/>
        <v>20.7</v>
      </c>
      <c r="AL60" s="391">
        <f t="shared" si="32"/>
        <v>309582.73035716999</v>
      </c>
      <c r="AM60" s="391">
        <f t="shared" si="32"/>
        <v>390068.72474799998</v>
      </c>
      <c r="AN60" s="338">
        <f t="shared" si="20"/>
        <v>26</v>
      </c>
      <c r="AO60" s="391">
        <f t="shared" si="33"/>
        <v>311664.26819542999</v>
      </c>
      <c r="AP60" s="391">
        <f t="shared" si="33"/>
        <v>392611.17357640999</v>
      </c>
      <c r="AQ60" s="394">
        <f t="shared" si="22"/>
        <v>26</v>
      </c>
      <c r="AR60" s="442"/>
      <c r="AS60" s="442"/>
      <c r="AT60" s="446"/>
    </row>
    <row r="61" spans="1:46" s="415" customFormat="1" ht="20.100000000000001" customHeight="1" x14ac:dyDescent="0.3">
      <c r="A61" s="407" t="s">
        <v>342</v>
      </c>
      <c r="B61" s="196"/>
      <c r="C61" s="393"/>
      <c r="D61" s="338"/>
      <c r="E61" s="196"/>
      <c r="F61" s="393"/>
      <c r="G61" s="338"/>
      <c r="H61" s="890"/>
      <c r="I61" s="390"/>
      <c r="J61" s="338"/>
      <c r="K61" s="196"/>
      <c r="L61" s="393"/>
      <c r="M61" s="338"/>
      <c r="N61" s="196"/>
      <c r="O61" s="393"/>
      <c r="P61" s="338"/>
      <c r="Q61" s="196"/>
      <c r="R61" s="393"/>
      <c r="S61" s="338"/>
      <c r="T61" s="196"/>
      <c r="U61" s="393"/>
      <c r="V61" s="338"/>
      <c r="W61" s="196"/>
      <c r="X61" s="393"/>
      <c r="Y61" s="338"/>
      <c r="Z61" s="196"/>
      <c r="AA61" s="393"/>
      <c r="AB61" s="338"/>
      <c r="AC61" s="196"/>
      <c r="AD61" s="393"/>
      <c r="AE61" s="338"/>
      <c r="AF61" s="196"/>
      <c r="AG61" s="393"/>
      <c r="AH61" s="338"/>
      <c r="AI61" s="196"/>
      <c r="AJ61" s="393"/>
      <c r="AK61" s="338"/>
      <c r="AL61" s="391">
        <f t="shared" si="32"/>
        <v>0</v>
      </c>
      <c r="AM61" s="391">
        <f t="shared" si="32"/>
        <v>0</v>
      </c>
      <c r="AN61" s="338" t="str">
        <f t="shared" si="20"/>
        <v xml:space="preserve">    ---- </v>
      </c>
      <c r="AO61" s="391">
        <f t="shared" si="33"/>
        <v>0</v>
      </c>
      <c r="AP61" s="391">
        <f t="shared" si="33"/>
        <v>0</v>
      </c>
      <c r="AQ61" s="394" t="str">
        <f t="shared" si="22"/>
        <v xml:space="preserve">    ---- </v>
      </c>
      <c r="AR61" s="442"/>
      <c r="AS61" s="442"/>
      <c r="AT61" s="446"/>
    </row>
    <row r="62" spans="1:46" s="415" customFormat="1" ht="20.100000000000001" customHeight="1" x14ac:dyDescent="0.3">
      <c r="A62" s="409" t="s">
        <v>238</v>
      </c>
      <c r="B62" s="785">
        <v>18148.047999999999</v>
      </c>
      <c r="C62" s="393">
        <f>SUM(C45+C46+C60+C61)</f>
        <v>22054.799999999999</v>
      </c>
      <c r="D62" s="338">
        <f>IF(B62=0, "    ---- ", IF(ABS(ROUND(100/B62*C62-100,1))&lt;999,ROUND(100/B62*C62-100,1),IF(ROUND(100/B62*C62-100,1)&gt;999,999,-999)))</f>
        <v>21.5</v>
      </c>
      <c r="E62" s="196">
        <v>282777.55799999996</v>
      </c>
      <c r="F62" s="393">
        <f>SUM(F45+F46+F60+F61)</f>
        <v>306044.61900000001</v>
      </c>
      <c r="G62" s="338">
        <f t="shared" si="17"/>
        <v>8.1999999999999993</v>
      </c>
      <c r="H62" s="890">
        <v>4469.7</v>
      </c>
      <c r="I62" s="390">
        <f>SUM(I45+I46+I60+I61)</f>
        <v>5476.6480000000001</v>
      </c>
      <c r="J62" s="338">
        <f>IF(H62=0, "    ---- ", IF(ABS(ROUND(100/H62*I62-100,1))&lt;999,ROUND(100/H62*I62-100,1),IF(ROUND(100/H62*I62-100,1)&gt;999,999,-999)))</f>
        <v>22.5</v>
      </c>
      <c r="K62" s="196">
        <v>31047.488999999994</v>
      </c>
      <c r="L62" s="393">
        <f>SUM(L45+L46+L60+L61)</f>
        <v>37411.5</v>
      </c>
      <c r="M62" s="338">
        <f>IF(K62=0, "    ---- ", IF(ABS(ROUND(100/K62*L62-100,1))&lt;999,ROUND(100/K62*L62-100,1),IF(ROUND(100/K62*L62-100,1)&gt;999,999,-999)))</f>
        <v>20.5</v>
      </c>
      <c r="N62" s="196"/>
      <c r="O62" s="393"/>
      <c r="P62" s="338"/>
      <c r="Q62" s="196">
        <v>518327.4136988899</v>
      </c>
      <c r="R62" s="393">
        <f>SUM(R45+R46+R60+R61)</f>
        <v>577615.29976605007</v>
      </c>
      <c r="S62" s="338">
        <f>IF(Q62=0, "    ---- ", IF(ABS(ROUND(100/Q62*R62-100,1))&lt;999,ROUND(100/Q62*R62-100,1),IF(ROUND(100/Q62*R62-100,1)&gt;999,999,-999)))</f>
        <v>11.4</v>
      </c>
      <c r="T62" s="196">
        <v>5077.8999999999996</v>
      </c>
      <c r="U62" s="393">
        <f>SUM(U45+U46+U60+U61)</f>
        <v>6658</v>
      </c>
      <c r="V62" s="338">
        <f>IF(T62=0, "    ---- ", IF(ABS(ROUND(100/T62*U62-100,1))&lt;999,ROUND(100/T62*U62-100,1),IF(ROUND(100/T62*U62-100,1)&gt;999,999,-999)))</f>
        <v>31.1</v>
      </c>
      <c r="W62" s="196">
        <v>109691.02608903991</v>
      </c>
      <c r="X62" s="393">
        <f>SUM(X45+X46+X60+X61)</f>
        <v>130144.57425290001</v>
      </c>
      <c r="Y62" s="338">
        <f t="shared" si="23"/>
        <v>18.600000000000001</v>
      </c>
      <c r="Z62" s="196">
        <v>86069</v>
      </c>
      <c r="AA62" s="393">
        <f>SUM(AA45+AA46+AA60+AA61)</f>
        <v>93894</v>
      </c>
      <c r="AB62" s="338">
        <f>IF(Z62=0, "    ---- ", IF(ABS(ROUND(100/Z62*AA62-100,1))&lt;999,ROUND(100/Z62*AA62-100,1),IF(ROUND(100/Z62*AA62-100,1)&gt;999,999,-999)))</f>
        <v>9.1</v>
      </c>
      <c r="AC62" s="196">
        <v>2081.5378382600002</v>
      </c>
      <c r="AD62" s="393">
        <f>SUM(AD45+AD46+AD60+AD61)</f>
        <v>2542.4488284099998</v>
      </c>
      <c r="AE62" s="338">
        <f>IF(AC62=0, "    ---- ", IF(ABS(ROUND(100/AC62*AD62-100,1))&lt;999,ROUND(100/AC62*AD62-100,1),IF(ROUND(100/AC62*AD62-100,1)&gt;999,999,-999)))</f>
        <v>22.1</v>
      </c>
      <c r="AF62" s="196">
        <v>51816.553000000007</v>
      </c>
      <c r="AG62" s="393">
        <f>SUM(AG45+AG46+AG60+AG61)</f>
        <v>62361.611999999994</v>
      </c>
      <c r="AH62" s="338">
        <f t="shared" si="25"/>
        <v>20.399999999999999</v>
      </c>
      <c r="AI62" s="196">
        <v>281939.59999999998</v>
      </c>
      <c r="AJ62" s="393">
        <f>SUM(AJ45+AJ46+AJ60+AJ61)</f>
        <v>305731</v>
      </c>
      <c r="AK62" s="338">
        <f t="shared" si="26"/>
        <v>8.4</v>
      </c>
      <c r="AL62" s="391">
        <f t="shared" si="32"/>
        <v>1389364.2877879296</v>
      </c>
      <c r="AM62" s="391">
        <f t="shared" si="32"/>
        <v>1547392.0530189499</v>
      </c>
      <c r="AN62" s="338">
        <f t="shared" si="20"/>
        <v>11.4</v>
      </c>
      <c r="AO62" s="391">
        <f t="shared" si="33"/>
        <v>1391445.8256261898</v>
      </c>
      <c r="AP62" s="391">
        <f t="shared" si="33"/>
        <v>1549934.5018473598</v>
      </c>
      <c r="AQ62" s="394">
        <f t="shared" si="22"/>
        <v>11.4</v>
      </c>
      <c r="AR62" s="442"/>
      <c r="AS62" s="447"/>
      <c r="AT62" s="446"/>
    </row>
    <row r="63" spans="1:46" s="450" customFormat="1" ht="20.100000000000001" customHeight="1" x14ac:dyDescent="0.3">
      <c r="A63" s="407"/>
      <c r="B63" s="198"/>
      <c r="C63" s="386"/>
      <c r="D63" s="385"/>
      <c r="E63" s="198"/>
      <c r="F63" s="386"/>
      <c r="G63" s="385"/>
      <c r="H63" s="272"/>
      <c r="I63" s="387"/>
      <c r="J63" s="385"/>
      <c r="K63" s="198"/>
      <c r="L63" s="386"/>
      <c r="M63" s="395"/>
      <c r="N63" s="198"/>
      <c r="O63" s="386"/>
      <c r="P63" s="385"/>
      <c r="Q63" s="198"/>
      <c r="R63" s="386"/>
      <c r="S63" s="385"/>
      <c r="T63" s="198"/>
      <c r="U63" s="386"/>
      <c r="V63" s="385"/>
      <c r="W63" s="198"/>
      <c r="X63" s="386"/>
      <c r="Y63" s="385"/>
      <c r="Z63" s="198"/>
      <c r="AA63" s="386"/>
      <c r="AB63" s="385"/>
      <c r="AC63" s="198"/>
      <c r="AD63" s="386"/>
      <c r="AE63" s="385"/>
      <c r="AF63" s="198"/>
      <c r="AG63" s="386"/>
      <c r="AH63" s="385"/>
      <c r="AI63" s="198"/>
      <c r="AJ63" s="386"/>
      <c r="AK63" s="385"/>
      <c r="AL63" s="396"/>
      <c r="AM63" s="396"/>
      <c r="AN63" s="385"/>
      <c r="AO63" s="396"/>
      <c r="AP63" s="396"/>
      <c r="AQ63" s="397"/>
      <c r="AR63" s="448"/>
      <c r="AS63" s="448"/>
      <c r="AT63" s="449"/>
    </row>
    <row r="64" spans="1:46" s="450" customFormat="1" ht="20.100000000000001" customHeight="1" x14ac:dyDescent="0.3">
      <c r="A64" s="407" t="s">
        <v>239</v>
      </c>
      <c r="B64" s="846">
        <v>18635.528999999999</v>
      </c>
      <c r="C64" s="386">
        <f>SUM(C29+C62)</f>
        <v>22836.273000000001</v>
      </c>
      <c r="D64" s="385">
        <f>IF(B64=0, "    ---- ", IF(ABS(ROUND(100/B64*C64-100,1))&lt;999,ROUND(100/B64*C64-100,1),IF(ROUND(100/B64*C64-100,1)&gt;999,999,-999)))</f>
        <v>22.5</v>
      </c>
      <c r="E64" s="198">
        <v>315114.49299999996</v>
      </c>
      <c r="F64" s="386">
        <f>SUM(F29+F62)</f>
        <v>338885.16499999998</v>
      </c>
      <c r="G64" s="385">
        <f t="shared" si="17"/>
        <v>7.5</v>
      </c>
      <c r="H64" s="387">
        <f>SUM(H29+H62)</f>
        <v>4773.5</v>
      </c>
      <c r="I64" s="387">
        <f>SUM(I29+I62)</f>
        <v>5903.4130000000005</v>
      </c>
      <c r="J64" s="385">
        <f>IF(H64=0, "    ---- ", IF(ABS(ROUND(100/H64*I64-100,1))&lt;999,ROUND(100/H64*I64-100,1),IF(ROUND(100/H64*I64-100,1)&gt;999,999,-999)))</f>
        <v>23.7</v>
      </c>
      <c r="K64" s="198">
        <v>32370.343999999994</v>
      </c>
      <c r="L64" s="386">
        <f>SUM(L29+L62)</f>
        <v>38815.599999999999</v>
      </c>
      <c r="M64" s="395">
        <f>IF(K64=0, "    ---- ", IF(ABS(ROUND(100/K64*L64-100,1))&lt;999,ROUND(100/K64*L64-100,1),IF(ROUND(100/K64*L64-100,1)&gt;999,999,-999)))</f>
        <v>19.899999999999999</v>
      </c>
      <c r="N64" s="198">
        <v>145</v>
      </c>
      <c r="O64" s="386">
        <f>SUM(O29+O62)</f>
        <v>148.08570477000001</v>
      </c>
      <c r="P64" s="385">
        <f>IF(N64=0, "    ---- ", IF(ABS(ROUND(100/N64*O64-100,1))&lt;999,ROUND(100/N64*O64-100,1),IF(ROUND(100/N64*O64-100,1)&gt;999,999,-999)))</f>
        <v>2.1</v>
      </c>
      <c r="Q64" s="198">
        <v>558719.23128207994</v>
      </c>
      <c r="R64" s="386">
        <f>SUM(R29+R62)</f>
        <v>621517.66470478009</v>
      </c>
      <c r="S64" s="385">
        <f>IF(Q64=0, "    ---- ", IF(ABS(ROUND(100/Q64*R64-100,1))&lt;999,ROUND(100/Q64*R64-100,1),IF(ROUND(100/Q64*R64-100,1)&gt;999,999,-999)))</f>
        <v>11.2</v>
      </c>
      <c r="T64" s="198">
        <v>5600.7999999999993</v>
      </c>
      <c r="U64" s="386">
        <f>SUM(U29+U62)</f>
        <v>7259.5</v>
      </c>
      <c r="V64" s="385">
        <f>IF(T64=0, "    ---- ", IF(ABS(ROUND(100/T64*U64-100,1))&lt;999,ROUND(100/T64*U64-100,1),IF(ROUND(100/T64*U64-100,1)&gt;999,999,-999)))</f>
        <v>29.6</v>
      </c>
      <c r="W64" s="198">
        <v>120536.5960890399</v>
      </c>
      <c r="X64" s="386">
        <f>SUM(X29+X62)</f>
        <v>141695.06425290002</v>
      </c>
      <c r="Y64" s="385">
        <f t="shared" si="23"/>
        <v>17.600000000000001</v>
      </c>
      <c r="Z64" s="198">
        <v>96025</v>
      </c>
      <c r="AA64" s="386">
        <f>SUM(AA29+AA62)</f>
        <v>104581</v>
      </c>
      <c r="AB64" s="385">
        <f>IF(Z64=0, "    ---- ", IF(ABS(ROUND(100/Z64*AA64-100,1))&lt;999,ROUND(100/Z64*AA64-100,1),IF(ROUND(100/Z64*AA64-100,1)&gt;999,999,-999)))</f>
        <v>8.9</v>
      </c>
      <c r="AC64" s="198">
        <v>2143.8816067500002</v>
      </c>
      <c r="AD64" s="386">
        <f>SUM(AD29+AD62)</f>
        <v>2628.5382923799998</v>
      </c>
      <c r="AE64" s="385">
        <f>IF(AC64=0, "    ---- ", IF(ABS(ROUND(100/AC64*AD64-100,1))&lt;999,ROUND(100/AC64*AD64-100,1),IF(ROUND(100/AC64*AD64-100,1)&gt;999,999,-999)))</f>
        <v>22.6</v>
      </c>
      <c r="AF64" s="198">
        <v>58561.275000000009</v>
      </c>
      <c r="AG64" s="386">
        <f>SUM(AG29+AG62)</f>
        <v>70271.402999999991</v>
      </c>
      <c r="AH64" s="385">
        <f t="shared" si="25"/>
        <v>20</v>
      </c>
      <c r="AI64" s="198">
        <v>320950.59999999998</v>
      </c>
      <c r="AJ64" s="386">
        <f>SUM(AJ29+AJ62)</f>
        <v>343057</v>
      </c>
      <c r="AK64" s="385">
        <f t="shared" si="26"/>
        <v>6.9</v>
      </c>
      <c r="AL64" s="398">
        <f>B64+E64+H64+K64+Q64+T64+W64+Z64+AF64+AI64</f>
        <v>1531287.3683711197</v>
      </c>
      <c r="AM64" s="398">
        <f>C64+F64+I64+L64+R64+U64+X64+AA64+AG64+AJ64</f>
        <v>1694822.0829576799</v>
      </c>
      <c r="AN64" s="385">
        <f t="shared" si="20"/>
        <v>10.7</v>
      </c>
      <c r="AO64" s="398">
        <f>B64+E64+H64+K64+N64+Q64+T64+W64+Z64+AC64+AF64+AI64</f>
        <v>1533576.2499778694</v>
      </c>
      <c r="AP64" s="398">
        <f>C64+F64+I64+L64+O64+R64+U64+X64+AA64+AD64+AG64+AJ64</f>
        <v>1697598.7069548301</v>
      </c>
      <c r="AQ64" s="397">
        <f t="shared" si="22"/>
        <v>10.7</v>
      </c>
      <c r="AR64" s="448"/>
      <c r="AS64" s="448"/>
      <c r="AT64" s="446"/>
    </row>
    <row r="65" spans="1:46" s="415" customFormat="1" ht="20.100000000000001" customHeight="1" x14ac:dyDescent="0.3">
      <c r="A65" s="411"/>
      <c r="B65" s="196"/>
      <c r="C65" s="393"/>
      <c r="D65" s="338"/>
      <c r="E65" s="196"/>
      <c r="F65" s="393"/>
      <c r="G65" s="338"/>
      <c r="H65" s="890"/>
      <c r="I65" s="390"/>
      <c r="J65" s="338"/>
      <c r="K65" s="196"/>
      <c r="L65" s="393"/>
      <c r="M65" s="382"/>
      <c r="N65" s="196"/>
      <c r="O65" s="393"/>
      <c r="P65" s="338"/>
      <c r="Q65" s="196"/>
      <c r="R65" s="393"/>
      <c r="S65" s="338"/>
      <c r="T65" s="196"/>
      <c r="U65" s="393"/>
      <c r="V65" s="338"/>
      <c r="W65" s="196"/>
      <c r="X65" s="393"/>
      <c r="Y65" s="338"/>
      <c r="Z65" s="196"/>
      <c r="AA65" s="393"/>
      <c r="AB65" s="338"/>
      <c r="AC65" s="196"/>
      <c r="AD65" s="393"/>
      <c r="AE65" s="338"/>
      <c r="AF65" s="196"/>
      <c r="AG65" s="393"/>
      <c r="AH65" s="338"/>
      <c r="AI65" s="196"/>
      <c r="AJ65" s="393"/>
      <c r="AK65" s="338"/>
      <c r="AL65" s="384"/>
      <c r="AM65" s="384"/>
      <c r="AN65" s="338"/>
      <c r="AO65" s="384"/>
      <c r="AP65" s="384"/>
      <c r="AQ65" s="394"/>
      <c r="AR65" s="442"/>
      <c r="AS65" s="442"/>
      <c r="AT65" s="446"/>
    </row>
    <row r="66" spans="1:46" s="415" customFormat="1" ht="20.100000000000001" customHeight="1" x14ac:dyDescent="0.3">
      <c r="A66" s="407" t="s">
        <v>240</v>
      </c>
      <c r="B66" s="196"/>
      <c r="C66" s="393"/>
      <c r="D66" s="338"/>
      <c r="E66" s="196"/>
      <c r="F66" s="393"/>
      <c r="G66" s="338"/>
      <c r="H66" s="890"/>
      <c r="I66" s="390"/>
      <c r="J66" s="338"/>
      <c r="K66" s="196"/>
      <c r="L66" s="393"/>
      <c r="M66" s="382"/>
      <c r="N66" s="196"/>
      <c r="O66" s="393"/>
      <c r="P66" s="338"/>
      <c r="Q66" s="196"/>
      <c r="R66" s="393"/>
      <c r="S66" s="338"/>
      <c r="T66" s="196"/>
      <c r="U66" s="393"/>
      <c r="V66" s="338"/>
      <c r="W66" s="196"/>
      <c r="X66" s="393"/>
      <c r="Y66" s="338"/>
      <c r="Z66" s="196"/>
      <c r="AA66" s="393"/>
      <c r="AB66" s="338"/>
      <c r="AC66" s="196"/>
      <c r="AD66" s="393"/>
      <c r="AE66" s="338"/>
      <c r="AF66" s="196"/>
      <c r="AG66" s="393"/>
      <c r="AH66" s="338"/>
      <c r="AI66" s="196"/>
      <c r="AJ66" s="393"/>
      <c r="AK66" s="338"/>
      <c r="AL66" s="384"/>
      <c r="AM66" s="384"/>
      <c r="AN66" s="338"/>
      <c r="AO66" s="384"/>
      <c r="AP66" s="384"/>
      <c r="AQ66" s="394"/>
      <c r="AR66" s="442"/>
      <c r="AS66" s="442"/>
      <c r="AT66" s="446"/>
    </row>
    <row r="67" spans="1:46" s="415" customFormat="1" ht="20.100000000000001" customHeight="1" x14ac:dyDescent="0.3">
      <c r="A67" s="407"/>
      <c r="B67" s="196"/>
      <c r="C67" s="393"/>
      <c r="D67" s="338"/>
      <c r="E67" s="196"/>
      <c r="F67" s="393"/>
      <c r="G67" s="338"/>
      <c r="H67" s="890"/>
      <c r="I67" s="390"/>
      <c r="J67" s="338"/>
      <c r="K67" s="196"/>
      <c r="L67" s="393"/>
      <c r="M67" s="382"/>
      <c r="N67" s="196"/>
      <c r="O67" s="393"/>
      <c r="P67" s="338"/>
      <c r="Q67" s="196"/>
      <c r="R67" s="393"/>
      <c r="S67" s="338"/>
      <c r="T67" s="196"/>
      <c r="U67" s="393"/>
      <c r="V67" s="338"/>
      <c r="W67" s="196"/>
      <c r="X67" s="393"/>
      <c r="Y67" s="338"/>
      <c r="Z67" s="196"/>
      <c r="AA67" s="393"/>
      <c r="AB67" s="338"/>
      <c r="AC67" s="196"/>
      <c r="AD67" s="393"/>
      <c r="AE67" s="338"/>
      <c r="AF67" s="196"/>
      <c r="AG67" s="393"/>
      <c r="AH67" s="338"/>
      <c r="AI67" s="196"/>
      <c r="AJ67" s="393"/>
      <c r="AK67" s="338"/>
      <c r="AL67" s="384"/>
      <c r="AM67" s="384"/>
      <c r="AN67" s="338"/>
      <c r="AO67" s="384"/>
      <c r="AP67" s="384"/>
      <c r="AQ67" s="394"/>
      <c r="AR67" s="442"/>
      <c r="AS67" s="442"/>
      <c r="AT67" s="446"/>
    </row>
    <row r="68" spans="1:46" s="415" customFormat="1" ht="20.100000000000001" customHeight="1" x14ac:dyDescent="0.3">
      <c r="A68" s="409" t="s">
        <v>241</v>
      </c>
      <c r="B68" s="196">
        <v>141.16</v>
      </c>
      <c r="C68" s="393">
        <v>241.16</v>
      </c>
      <c r="D68" s="338">
        <f>IF(B68=0, "    ---- ", IF(ABS(ROUND(100/B68*C68-100,1))&lt;999,ROUND(100/B68*C68-100,1),IF(ROUND(100/B68*C68-100,1)&gt;999,999,-999)))</f>
        <v>70.8</v>
      </c>
      <c r="E68" s="196">
        <v>7765.924</v>
      </c>
      <c r="F68" s="393">
        <v>7765.924</v>
      </c>
      <c r="G68" s="338">
        <f t="shared" si="17"/>
        <v>0</v>
      </c>
      <c r="H68" s="890">
        <v>210</v>
      </c>
      <c r="I68" s="390">
        <v>210</v>
      </c>
      <c r="J68" s="338">
        <f>IF(H68=0, "    ---- ", IF(ABS(ROUND(100/H68*I68-100,1))&lt;999,ROUND(100/H68*I68-100,1),IF(ROUND(100/H68*I68-100,1)&gt;999,999,-999)))</f>
        <v>0</v>
      </c>
      <c r="K68" s="196">
        <v>120.77500000000001</v>
      </c>
      <c r="L68" s="393">
        <v>121.3</v>
      </c>
      <c r="M68" s="382">
        <f>IF(K68=0, "    ---- ", IF(ABS(ROUND(100/K68*L68-100,1))&lt;999,ROUND(100/K68*L68-100,1),IF(ROUND(100/K68*L68-100,1)&gt;999,999,-999)))</f>
        <v>0.4</v>
      </c>
      <c r="N68" s="196">
        <v>5</v>
      </c>
      <c r="O68" s="393">
        <v>5</v>
      </c>
      <c r="P68" s="338">
        <f>IF(N68=0, "    ---- ", IF(ABS(ROUND(100/N68*O68-100,1))&lt;999,ROUND(100/N68*O68-100,1),IF(ROUND(100/N68*O68-100,1)&gt;999,999,-999)))</f>
        <v>0</v>
      </c>
      <c r="Q68" s="196">
        <v>14553.649068000001</v>
      </c>
      <c r="R68" s="817">
        <v>16540.246874</v>
      </c>
      <c r="S68" s="338">
        <f t="shared" ref="S68:S79" si="36">IF(Q68=0, "    ---- ", IF(ABS(ROUND(100/Q68*R68-100,1))&lt;999,ROUND(100/Q68*R68-100,1),IF(ROUND(100/Q68*R68-100,1)&gt;999,999,-999)))</f>
        <v>13.7</v>
      </c>
      <c r="T68" s="196">
        <v>741.3</v>
      </c>
      <c r="U68" s="393">
        <v>841.3</v>
      </c>
      <c r="V68" s="338">
        <f>IF(T68=0, "    ---- ", IF(ABS(ROUND(100/T68*U68-100,1))&lt;999,ROUND(100/T68*U68-100,1),IF(ROUND(100/T68*U68-100,1)&gt;999,999,-999)))</f>
        <v>13.5</v>
      </c>
      <c r="W68" s="196">
        <v>1126.76</v>
      </c>
      <c r="X68" s="393">
        <v>1126.76</v>
      </c>
      <c r="Y68" s="338">
        <f t="shared" si="23"/>
        <v>0</v>
      </c>
      <c r="Z68" s="196">
        <v>1430</v>
      </c>
      <c r="AA68" s="393">
        <v>1430</v>
      </c>
      <c r="AB68" s="338">
        <f>IF(Z68=0, "    ---- ", IF(ABS(ROUND(100/Z68*AA68-100,1))&lt;999,ROUND(100/Z68*AA68-100,1),IF(ROUND(100/Z68*AA68-100,1)&gt;999,999,-999)))</f>
        <v>0</v>
      </c>
      <c r="AC68" s="196">
        <v>49</v>
      </c>
      <c r="AD68" s="393">
        <v>48.519831859999996</v>
      </c>
      <c r="AE68" s="338">
        <f>IF(AC68=0, "    ---- ", IF(ABS(ROUND(100/AC68*AD68-100,1))&lt;999,ROUND(100/AC68*AD68-100,1),IF(ROUND(100/AC68*AD68-100,1)&gt;999,999,-999)))</f>
        <v>-1</v>
      </c>
      <c r="AF68" s="196">
        <v>2702.741</v>
      </c>
      <c r="AG68" s="393">
        <v>3352.7420000000002</v>
      </c>
      <c r="AH68" s="338">
        <f t="shared" si="25"/>
        <v>24</v>
      </c>
      <c r="AI68" s="196">
        <v>13335</v>
      </c>
      <c r="AJ68" s="393">
        <v>13850</v>
      </c>
      <c r="AK68" s="338">
        <f t="shared" si="26"/>
        <v>3.9</v>
      </c>
      <c r="AL68" s="391">
        <f t="shared" ref="AL68:AM71" si="37">B68+E68+H68+K68+Q68+T68+W68+Z68+AF68+AI68</f>
        <v>42127.309068000002</v>
      </c>
      <c r="AM68" s="391">
        <f t="shared" si="37"/>
        <v>45479.432873999998</v>
      </c>
      <c r="AN68" s="338">
        <f t="shared" si="20"/>
        <v>8</v>
      </c>
      <c r="AO68" s="391">
        <f t="shared" ref="AO68:AP71" si="38">B68+E68+H68+K68+N68+Q68+T68+W68+Z68+AC68+AF68+AI68</f>
        <v>42181.309068000002</v>
      </c>
      <c r="AP68" s="391">
        <f t="shared" si="38"/>
        <v>45532.95270586</v>
      </c>
      <c r="AQ68" s="394">
        <f t="shared" si="22"/>
        <v>7.9</v>
      </c>
      <c r="AR68" s="442"/>
      <c r="AS68" s="442"/>
      <c r="AT68" s="446"/>
    </row>
    <row r="69" spans="1:46" s="415" customFormat="1" ht="20.100000000000001" customHeight="1" x14ac:dyDescent="0.3">
      <c r="A69" s="409" t="s">
        <v>242</v>
      </c>
      <c r="B69" s="196">
        <v>359.65899999999999</v>
      </c>
      <c r="C69" s="393">
        <v>491.19900000000001</v>
      </c>
      <c r="D69" s="338">
        <f>IF(B69=0, "    ---- ", IF(ABS(ROUND(100/B69*C69-100,1))&lt;999,ROUND(100/B69*C69-100,1),IF(ROUND(100/B69*C69-100,1)&gt;999,999,-999)))</f>
        <v>36.6</v>
      </c>
      <c r="E69" s="196">
        <v>15375.630999999999</v>
      </c>
      <c r="F69" s="393">
        <v>15441.946</v>
      </c>
      <c r="G69" s="338">
        <f t="shared" si="17"/>
        <v>0.4</v>
      </c>
      <c r="H69" s="890">
        <v>155.30000000000001</v>
      </c>
      <c r="I69" s="390">
        <v>236.94300000000001</v>
      </c>
      <c r="J69" s="338">
        <f>IF(H69=0, "    ---- ", IF(ABS(ROUND(100/H69*I69-100,1))&lt;999,ROUND(100/H69*I69-100,1),IF(ROUND(100/H69*I69-100,1)&gt;999,999,-999)))</f>
        <v>52.6</v>
      </c>
      <c r="K69" s="196">
        <v>633.22799999999995</v>
      </c>
      <c r="L69" s="393">
        <v>780.9</v>
      </c>
      <c r="M69" s="382">
        <f>IF(K69=0, "    ---- ", IF(ABS(ROUND(100/K69*L69-100,1))&lt;999,ROUND(100/K69*L69-100,1),IF(ROUND(100/K69*L69-100,1)&gt;999,999,-999)))</f>
        <v>23.3</v>
      </c>
      <c r="N69" s="196">
        <v>84</v>
      </c>
      <c r="O69" s="393">
        <v>87.992475659999997</v>
      </c>
      <c r="P69" s="338">
        <f>IF(N69=0, "    ---- ", IF(ABS(ROUND(100/N69*O69-100,1))&lt;999,ROUND(100/N69*O69-100,1),IF(ROUND(100/N69*O69-100,1)&gt;999,999,-999)))</f>
        <v>4.8</v>
      </c>
      <c r="Q69" s="196">
        <v>19281.17512308</v>
      </c>
      <c r="R69" s="817">
        <v>20778.818152669999</v>
      </c>
      <c r="S69" s="338">
        <f t="shared" si="36"/>
        <v>7.8</v>
      </c>
      <c r="T69" s="196">
        <v>-239.1</v>
      </c>
      <c r="U69" s="393">
        <v>-249.5</v>
      </c>
      <c r="V69" s="338">
        <f>IF(T69=0, "    ---- ", IF(ABS(ROUND(100/T69*U69-100,1))&lt;999,ROUND(100/T69*U69-100,1),IF(ROUND(100/T69*U69-100,1)&gt;999,999,-999)))</f>
        <v>4.3</v>
      </c>
      <c r="W69" s="196">
        <v>6421.95</v>
      </c>
      <c r="X69" s="393">
        <v>6773.35</v>
      </c>
      <c r="Y69" s="338">
        <f t="shared" si="23"/>
        <v>5.5</v>
      </c>
      <c r="Z69" s="196">
        <v>7239</v>
      </c>
      <c r="AA69" s="393">
        <v>8119</v>
      </c>
      <c r="AB69" s="338">
        <f>IF(Z69=0, "    ---- ", IF(ABS(ROUND(100/Z69*AA69-100,1))&lt;999,ROUND(100/Z69*AA69-100,1),IF(ROUND(100/Z69*AA69-100,1)&gt;999,999,-999)))</f>
        <v>12.2</v>
      </c>
      <c r="AC69" s="196">
        <v>4.8595581799999996</v>
      </c>
      <c r="AD69" s="393">
        <v>15.44725452</v>
      </c>
      <c r="AE69" s="338">
        <f>IF(AC69=0, "    ---- ", IF(ABS(ROUND(100/AC69*AD69-100,1))&lt;999,ROUND(100/AC69*AD69-100,1),IF(ROUND(100/AC69*AD69-100,1)&gt;999,999,-999)))</f>
        <v>217.9</v>
      </c>
      <c r="AF69" s="196">
        <v>1560.7940000000001</v>
      </c>
      <c r="AG69" s="393">
        <v>1788.8710000000001</v>
      </c>
      <c r="AH69" s="338">
        <f t="shared" si="25"/>
        <v>14.6</v>
      </c>
      <c r="AI69" s="196">
        <v>12045</v>
      </c>
      <c r="AJ69" s="393">
        <v>11661</v>
      </c>
      <c r="AK69" s="338">
        <f t="shared" si="26"/>
        <v>-3.2</v>
      </c>
      <c r="AL69" s="391">
        <f t="shared" si="37"/>
        <v>62832.63712308</v>
      </c>
      <c r="AM69" s="391">
        <f t="shared" si="37"/>
        <v>65822.527152669994</v>
      </c>
      <c r="AN69" s="338">
        <f t="shared" si="20"/>
        <v>4.8</v>
      </c>
      <c r="AO69" s="391">
        <f t="shared" si="38"/>
        <v>62921.496681259996</v>
      </c>
      <c r="AP69" s="391">
        <f t="shared" si="38"/>
        <v>65925.966882849985</v>
      </c>
      <c r="AQ69" s="394">
        <f t="shared" si="22"/>
        <v>4.8</v>
      </c>
      <c r="AR69" s="442"/>
      <c r="AS69" s="442"/>
      <c r="AT69" s="446"/>
    </row>
    <row r="70" spans="1:46" s="415" customFormat="1" ht="20.100000000000001" customHeight="1" x14ac:dyDescent="0.3">
      <c r="A70" s="409" t="s">
        <v>243</v>
      </c>
      <c r="B70" s="196"/>
      <c r="C70" s="393"/>
      <c r="D70" s="338"/>
      <c r="E70" s="196">
        <v>600.71199999999999</v>
      </c>
      <c r="F70" s="393">
        <v>770.63</v>
      </c>
      <c r="G70" s="338">
        <f>IF(E70=0, "    ---- ", IF(ABS(ROUND(100/E70*F70-100,1))&lt;999,ROUND(100/E70*F70-100,1),IF(ROUND(100/E70*F70-100,1)&gt;999,999,-999)))</f>
        <v>28.3</v>
      </c>
      <c r="H70" s="890"/>
      <c r="I70" s="390"/>
      <c r="J70" s="338"/>
      <c r="K70" s="196">
        <v>15.253</v>
      </c>
      <c r="L70" s="393">
        <v>38</v>
      </c>
      <c r="M70" s="338">
        <f>IF(K70=0, "    ---- ", IF(ABS(ROUND(100/K70*L70-100,1))&lt;999,ROUND(100/K70*L70-100,1),IF(ROUND(100/K70*L70-100,1)&gt;999,999,-999)))</f>
        <v>149.1</v>
      </c>
      <c r="N70" s="196"/>
      <c r="O70" s="393"/>
      <c r="P70" s="338"/>
      <c r="Q70" s="196">
        <v>4793.4912539999996</v>
      </c>
      <c r="R70" s="817">
        <v>5539.9278009999998</v>
      </c>
      <c r="S70" s="338">
        <f t="shared" si="36"/>
        <v>15.6</v>
      </c>
      <c r="T70" s="196">
        <v>3.4</v>
      </c>
      <c r="U70" s="393">
        <v>7.2</v>
      </c>
      <c r="V70" s="338">
        <f>IF(T70=0, "    ---- ", IF(ABS(ROUND(100/T70*U70-100,1))&lt;999,ROUND(100/T70*U70-100,1),IF(ROUND(100/T70*U70-100,1)&gt;999,999,-999)))</f>
        <v>111.8</v>
      </c>
      <c r="W70" s="196">
        <v>66.28</v>
      </c>
      <c r="X70" s="393">
        <v>30.34</v>
      </c>
      <c r="Y70" s="338">
        <f t="shared" si="23"/>
        <v>-54.2</v>
      </c>
      <c r="Z70" s="196">
        <v>1622</v>
      </c>
      <c r="AA70" s="393">
        <v>1656</v>
      </c>
      <c r="AB70" s="338">
        <f>IF(Z70=0, "    ---- ", IF(ABS(ROUND(100/Z70*AA70-100,1))&lt;999,ROUND(100/Z70*AA70-100,1),IF(ROUND(100/Z70*AA70-100,1)&gt;999,999,-999)))</f>
        <v>2.1</v>
      </c>
      <c r="AC70" s="196"/>
      <c r="AD70" s="393"/>
      <c r="AE70" s="338"/>
      <c r="AF70" s="196">
        <v>79.010999999999996</v>
      </c>
      <c r="AG70" s="393">
        <v>116.426</v>
      </c>
      <c r="AH70" s="338">
        <f>IF(AF70=0, "    ---- ", IF(ABS(ROUND(100/AF70*AG70-100,1))&lt;999,ROUND(100/AF70*AG70-100,1),IF(ROUND(100/AF70*AG70-100,1)&gt;999,999,-999)))</f>
        <v>47.4</v>
      </c>
      <c r="AI70" s="196">
        <v>234</v>
      </c>
      <c r="AJ70" s="393">
        <v>466</v>
      </c>
      <c r="AK70" s="338">
        <f t="shared" si="26"/>
        <v>99.1</v>
      </c>
      <c r="AL70" s="391">
        <f t="shared" si="37"/>
        <v>7414.1472539999995</v>
      </c>
      <c r="AM70" s="391">
        <f t="shared" si="37"/>
        <v>8624.5238009999994</v>
      </c>
      <c r="AN70" s="338">
        <f t="shared" si="20"/>
        <v>16.3</v>
      </c>
      <c r="AO70" s="391">
        <f t="shared" si="38"/>
        <v>7414.1472539999995</v>
      </c>
      <c r="AP70" s="391">
        <f t="shared" si="38"/>
        <v>8624.5238009999994</v>
      </c>
      <c r="AQ70" s="394">
        <f t="shared" si="22"/>
        <v>16.3</v>
      </c>
      <c r="AR70" s="442"/>
      <c r="AS70" s="442"/>
      <c r="AT70" s="446"/>
    </row>
    <row r="71" spans="1:46" s="415" customFormat="1" ht="20.100000000000001" customHeight="1" x14ac:dyDescent="0.3">
      <c r="A71" s="409" t="s">
        <v>244</v>
      </c>
      <c r="B71" s="196"/>
      <c r="C71" s="393"/>
      <c r="D71" s="338"/>
      <c r="E71" s="196">
        <v>7000</v>
      </c>
      <c r="F71" s="393">
        <v>7000</v>
      </c>
      <c r="G71" s="338">
        <f t="shared" si="17"/>
        <v>0</v>
      </c>
      <c r="H71" s="890"/>
      <c r="I71" s="390"/>
      <c r="J71" s="338"/>
      <c r="K71" s="196">
        <v>299.68799999999999</v>
      </c>
      <c r="L71" s="393">
        <v>299.8</v>
      </c>
      <c r="M71" s="382">
        <f>IF(K71=0, "    ---- ", IF(ABS(ROUND(100/K71*L71-100,1))&lt;999,ROUND(100/K71*L71-100,1),IF(ROUND(100/K71*L71-100,1)&gt;999,999,-999)))</f>
        <v>0</v>
      </c>
      <c r="N71" s="196"/>
      <c r="O71" s="393"/>
      <c r="P71" s="338"/>
      <c r="Q71" s="196">
        <v>7690.78263126</v>
      </c>
      <c r="R71" s="817">
        <v>7750.4071803000006</v>
      </c>
      <c r="S71" s="338">
        <f t="shared" si="36"/>
        <v>0.8</v>
      </c>
      <c r="T71" s="196"/>
      <c r="U71" s="393"/>
      <c r="V71" s="338"/>
      <c r="W71" s="196">
        <v>2830</v>
      </c>
      <c r="X71" s="393">
        <v>2830</v>
      </c>
      <c r="Y71" s="338">
        <f t="shared" si="23"/>
        <v>0</v>
      </c>
      <c r="Z71" s="196">
        <v>1240</v>
      </c>
      <c r="AA71" s="393">
        <v>1240</v>
      </c>
      <c r="AB71" s="338">
        <f>IF(Z71=0, "    ---- ", IF(ABS(ROUND(100/Z71*AA71-100,1))&lt;999,ROUND(100/Z71*AA71-100,1),IF(ROUND(100/Z71*AA71-100,1)&gt;999,999,-999)))</f>
        <v>0</v>
      </c>
      <c r="AC71" s="196"/>
      <c r="AD71" s="393"/>
      <c r="AE71" s="338"/>
      <c r="AF71" s="196">
        <v>1000</v>
      </c>
      <c r="AG71" s="393">
        <v>1000</v>
      </c>
      <c r="AH71" s="338">
        <f t="shared" si="25"/>
        <v>0</v>
      </c>
      <c r="AI71" s="196">
        <v>7948</v>
      </c>
      <c r="AJ71" s="393">
        <v>8649</v>
      </c>
      <c r="AK71" s="338">
        <f t="shared" si="26"/>
        <v>8.8000000000000007</v>
      </c>
      <c r="AL71" s="391">
        <f t="shared" si="37"/>
        <v>28008.470631259999</v>
      </c>
      <c r="AM71" s="391">
        <f t="shared" si="37"/>
        <v>28769.2071803</v>
      </c>
      <c r="AN71" s="338">
        <f t="shared" si="20"/>
        <v>2.7</v>
      </c>
      <c r="AO71" s="391">
        <f t="shared" si="38"/>
        <v>28008.470631259999</v>
      </c>
      <c r="AP71" s="391">
        <f t="shared" si="38"/>
        <v>28769.2071803</v>
      </c>
      <c r="AQ71" s="394">
        <f t="shared" si="22"/>
        <v>2.7</v>
      </c>
      <c r="AR71" s="442"/>
      <c r="AT71" s="446"/>
    </row>
    <row r="72" spans="1:46" s="415" customFormat="1" ht="20.100000000000001" customHeight="1" x14ac:dyDescent="0.3">
      <c r="A72" s="409" t="s">
        <v>245</v>
      </c>
      <c r="B72" s="196"/>
      <c r="C72" s="393"/>
      <c r="D72" s="338"/>
      <c r="E72" s="196"/>
      <c r="F72" s="393"/>
      <c r="G72" s="338"/>
      <c r="H72" s="890"/>
      <c r="I72" s="390"/>
      <c r="J72" s="338"/>
      <c r="K72" s="196"/>
      <c r="L72" s="393"/>
      <c r="M72" s="382"/>
      <c r="N72" s="196"/>
      <c r="O72" s="393"/>
      <c r="P72" s="338"/>
      <c r="Q72" s="196"/>
      <c r="R72" s="817">
        <v>0</v>
      </c>
      <c r="S72" s="338"/>
      <c r="T72" s="196"/>
      <c r="U72" s="393"/>
      <c r="V72" s="338"/>
      <c r="W72" s="196"/>
      <c r="X72" s="393"/>
      <c r="Y72" s="338"/>
      <c r="Z72" s="196"/>
      <c r="AA72" s="393"/>
      <c r="AB72" s="338"/>
      <c r="AC72" s="196"/>
      <c r="AD72" s="393"/>
      <c r="AE72" s="338"/>
      <c r="AF72" s="196"/>
      <c r="AG72" s="393"/>
      <c r="AH72" s="338"/>
      <c r="AI72" s="196"/>
      <c r="AJ72" s="393"/>
      <c r="AK72" s="338"/>
      <c r="AL72" s="384"/>
      <c r="AM72" s="384"/>
      <c r="AN72" s="338"/>
      <c r="AO72" s="384"/>
      <c r="AP72" s="384"/>
      <c r="AQ72" s="394"/>
      <c r="AR72" s="442"/>
      <c r="AS72" s="442"/>
      <c r="AT72" s="446"/>
    </row>
    <row r="73" spans="1:46" s="415" customFormat="1" ht="20.100000000000001" customHeight="1" x14ac:dyDescent="0.3">
      <c r="A73" s="409" t="s">
        <v>487</v>
      </c>
      <c r="B73" s="196">
        <v>1040.4770000000001</v>
      </c>
      <c r="C73" s="393">
        <v>1045.5029999999999</v>
      </c>
      <c r="D73" s="338">
        <f>IF(B73=0, "    ---- ", IF(ABS(ROUND(100/B73*C73-100,1))&lt;999,ROUND(100/B73*C73-100,1),IF(ROUND(100/B73*C73-100,1)&gt;999,999,-999)))</f>
        <v>0.5</v>
      </c>
      <c r="E73" s="196">
        <v>194741.092</v>
      </c>
      <c r="F73" s="393">
        <v>193496.07399999999</v>
      </c>
      <c r="G73" s="338">
        <f t="shared" si="17"/>
        <v>-0.6</v>
      </c>
      <c r="H73" s="890">
        <v>928.9</v>
      </c>
      <c r="I73" s="390">
        <v>1011.593</v>
      </c>
      <c r="J73" s="338">
        <f>IF(H73=0, "    ---- ", IF(ABS(ROUND(100/H73*I73-100,1))&lt;999,ROUND(100/H73*I73-100,1),IF(ROUND(100/H73*I73-100,1)&gt;999,999,-999)))</f>
        <v>8.9</v>
      </c>
      <c r="K73" s="196">
        <v>6336.2389999999996</v>
      </c>
      <c r="L73" s="393">
        <v>6896.1</v>
      </c>
      <c r="M73" s="382">
        <f>IF(K73=0, "    ---- ", IF(ABS(ROUND(100/K73*L73-100,1))&lt;999,ROUND(100/K73*L73-100,1),IF(ROUND(100/K73*L73-100,1)&gt;999,999,-999)))</f>
        <v>8.8000000000000007</v>
      </c>
      <c r="N73" s="196">
        <v>48</v>
      </c>
      <c r="O73" s="393">
        <v>51.140557059999999</v>
      </c>
      <c r="P73" s="338">
        <f>IF(N73=0, "    ---- ", IF(ABS(ROUND(100/N73*O73-100,1))&lt;999,ROUND(100/N73*O73-100,1),IF(ROUND(100/N73*O73-100,1)&gt;999,999,-999)))</f>
        <v>6.5</v>
      </c>
      <c r="Q73" s="196">
        <v>431153.27171721001</v>
      </c>
      <c r="R73" s="817">
        <v>459342.56241801003</v>
      </c>
      <c r="S73" s="338">
        <f t="shared" si="36"/>
        <v>6.5</v>
      </c>
      <c r="T73" s="196">
        <v>1529.6</v>
      </c>
      <c r="U73" s="393">
        <v>1582.5</v>
      </c>
      <c r="V73" s="338">
        <f>IF(T73=0, "    ---- ", IF(ABS(ROUND(100/T73*U73-100,1))&lt;999,ROUND(100/T73*U73-100,1),IF(ROUND(100/T73*U73-100,1)&gt;999,999,-999)))</f>
        <v>3.5</v>
      </c>
      <c r="W73" s="196">
        <v>46306.426088999993</v>
      </c>
      <c r="X73" s="393">
        <v>46799.934252899999</v>
      </c>
      <c r="Y73" s="338">
        <f t="shared" si="23"/>
        <v>1.1000000000000001</v>
      </c>
      <c r="Z73" s="196">
        <v>63589</v>
      </c>
      <c r="AA73" s="393">
        <v>66898</v>
      </c>
      <c r="AB73" s="338">
        <f>IF(Z73=0, "    ---- ", IF(ABS(ROUND(100/Z73*AA73-100,1))&lt;999,ROUND(100/Z73*AA73-100,1),IF(ROUND(100/Z73*AA73-100,1)&gt;999,999,-999)))</f>
        <v>5.2</v>
      </c>
      <c r="AC73" s="196"/>
      <c r="AD73" s="393"/>
      <c r="AE73" s="338"/>
      <c r="AF73" s="196">
        <v>20470.989000000001</v>
      </c>
      <c r="AG73" s="393">
        <v>22349.538</v>
      </c>
      <c r="AH73" s="338">
        <f t="shared" si="25"/>
        <v>9.1999999999999993</v>
      </c>
      <c r="AI73" s="196">
        <v>171927.4</v>
      </c>
      <c r="AJ73" s="393">
        <v>171973</v>
      </c>
      <c r="AK73" s="338">
        <f t="shared" si="26"/>
        <v>0</v>
      </c>
      <c r="AL73" s="391">
        <f t="shared" ref="AL73:AM79" si="39">B73+E73+H73+K73+Q73+T73+W73+Z73+AF73+AI73</f>
        <v>938023.39480621007</v>
      </c>
      <c r="AM73" s="391">
        <f t="shared" si="39"/>
        <v>971394.80467090989</v>
      </c>
      <c r="AN73" s="338">
        <f t="shared" si="20"/>
        <v>3.6</v>
      </c>
      <c r="AO73" s="391">
        <f t="shared" ref="AO73:AP79" si="40">B73+E73+H73+K73+N73+Q73+T73+W73+Z73+AC73+AF73+AI73</f>
        <v>938071.39480621007</v>
      </c>
      <c r="AP73" s="391">
        <f t="shared" si="40"/>
        <v>971445.9452279699</v>
      </c>
      <c r="AQ73" s="394">
        <f t="shared" si="22"/>
        <v>3.6</v>
      </c>
      <c r="AR73" s="442"/>
      <c r="AS73" s="442"/>
      <c r="AT73" s="446"/>
    </row>
    <row r="74" spans="1:46" s="415" customFormat="1" ht="20.100000000000001" customHeight="1" x14ac:dyDescent="0.3">
      <c r="A74" s="409" t="s">
        <v>246</v>
      </c>
      <c r="B74" s="196">
        <v>15.728999999999999</v>
      </c>
      <c r="C74" s="393">
        <v>22.51</v>
      </c>
      <c r="D74" s="338">
        <f>IF(B74=0, "    ---- ", IF(ABS(ROUND(100/B74*C74-100,1))&lt;999,ROUND(100/B74*C74-100,1),IF(ROUND(100/B74*C74-100,1)&gt;999,999,-999)))</f>
        <v>43.1</v>
      </c>
      <c r="E74" s="196">
        <v>7208.9260000000004</v>
      </c>
      <c r="F74" s="393">
        <v>7082.89</v>
      </c>
      <c r="G74" s="338">
        <f t="shared" si="17"/>
        <v>-1.7</v>
      </c>
      <c r="H74" s="890">
        <v>1.1000000000000001</v>
      </c>
      <c r="I74" s="390">
        <v>7.64</v>
      </c>
      <c r="J74" s="338">
        <f>IF(H74=0, "    ---- ", IF(ABS(ROUND(100/H74*I74-100,1))&lt;999,ROUND(100/H74*I74-100,1),IF(ROUND(100/H74*I74-100,1)&gt;999,999,-999)))</f>
        <v>594.5</v>
      </c>
      <c r="K74" s="196">
        <v>241.46600000000001</v>
      </c>
      <c r="L74" s="393">
        <v>284</v>
      </c>
      <c r="M74" s="382">
        <f>IF(K74=0, "    ---- ", IF(ABS(ROUND(100/K74*L74-100,1))&lt;999,ROUND(100/K74*L74-100,1),IF(ROUND(100/K74*L74-100,1)&gt;999,999,-999)))</f>
        <v>17.600000000000001</v>
      </c>
      <c r="N74" s="196"/>
      <c r="O74" s="393"/>
      <c r="P74" s="338"/>
      <c r="Q74" s="196">
        <v>28206.462697999999</v>
      </c>
      <c r="R74" s="817">
        <v>28105.305421000001</v>
      </c>
      <c r="S74" s="338">
        <f t="shared" si="36"/>
        <v>-0.4</v>
      </c>
      <c r="T74" s="196">
        <v>111.4</v>
      </c>
      <c r="U74" s="393">
        <v>110</v>
      </c>
      <c r="V74" s="338">
        <f>IF(T74=0, "    ---- ", IF(ABS(ROUND(100/T74*U74-100,1))&lt;999,ROUND(100/T74*U74-100,1),IF(ROUND(100/T74*U74-100,1)&gt;999,999,-999)))</f>
        <v>-1.3</v>
      </c>
      <c r="W74" s="196">
        <v>2096.8000000000002</v>
      </c>
      <c r="X74" s="393">
        <v>2509.9899999999998</v>
      </c>
      <c r="Y74" s="338">
        <f t="shared" si="23"/>
        <v>19.7</v>
      </c>
      <c r="Z74" s="196">
        <v>7492</v>
      </c>
      <c r="AA74" s="393">
        <v>7241</v>
      </c>
      <c r="AB74" s="338">
        <f>IF(Z74=0, "    ---- ", IF(ABS(ROUND(100/Z74*AA74-100,1))&lt;999,ROUND(100/Z74*AA74-100,1),IF(ROUND(100/Z74*AA74-100,1)&gt;999,999,-999)))</f>
        <v>-3.4</v>
      </c>
      <c r="AC74" s="196"/>
      <c r="AD74" s="393"/>
      <c r="AE74" s="338"/>
      <c r="AF74" s="196">
        <v>983.89599999999996</v>
      </c>
      <c r="AG74" s="393">
        <v>1336.951</v>
      </c>
      <c r="AH74" s="338">
        <f t="shared" si="25"/>
        <v>35.9</v>
      </c>
      <c r="AI74" s="196">
        <v>8494.4</v>
      </c>
      <c r="AJ74" s="393">
        <v>9023</v>
      </c>
      <c r="AK74" s="338">
        <f t="shared" si="26"/>
        <v>6.2</v>
      </c>
      <c r="AL74" s="391">
        <f t="shared" si="39"/>
        <v>54852.179698000007</v>
      </c>
      <c r="AM74" s="391">
        <f t="shared" si="39"/>
        <v>55723.286421000004</v>
      </c>
      <c r="AN74" s="338">
        <f t="shared" si="20"/>
        <v>1.6</v>
      </c>
      <c r="AO74" s="391">
        <f t="shared" si="40"/>
        <v>54852.179698000007</v>
      </c>
      <c r="AP74" s="391">
        <f t="shared" si="40"/>
        <v>55723.286421000004</v>
      </c>
      <c r="AQ74" s="394">
        <f t="shared" si="22"/>
        <v>1.6</v>
      </c>
      <c r="AR74" s="442"/>
      <c r="AS74" s="442"/>
      <c r="AT74" s="446"/>
    </row>
    <row r="75" spans="1:46" s="415" customFormat="1" ht="20.100000000000001" customHeight="1" x14ac:dyDescent="0.3">
      <c r="A75" s="409" t="s">
        <v>247</v>
      </c>
      <c r="B75" s="196">
        <v>24.704999999999998</v>
      </c>
      <c r="C75" s="393">
        <v>42.593000000000004</v>
      </c>
      <c r="D75" s="338">
        <f>IF(B75=0, "    ---- ", IF(ABS(ROUND(100/B75*C75-100,1))&lt;999,ROUND(100/B75*C75-100,1),IF(ROUND(100/B75*C75-100,1)&gt;999,999,-999)))</f>
        <v>72.400000000000006</v>
      </c>
      <c r="E75" s="196">
        <v>1456.796</v>
      </c>
      <c r="F75" s="393">
        <v>5557.1989999999996</v>
      </c>
      <c r="G75" s="338">
        <f t="shared" si="17"/>
        <v>281.5</v>
      </c>
      <c r="H75" s="890"/>
      <c r="I75" s="390">
        <v>6.88</v>
      </c>
      <c r="J75" s="338" t="str">
        <f>IF(H75=0, "    ---- ", IF(ABS(ROUND(100/H75*I75-100,1))&lt;999,ROUND(100/H75*I75-100,1),IF(ROUND(100/H75*I75-100,1)&gt;999,999,-999)))</f>
        <v xml:space="preserve">    ---- </v>
      </c>
      <c r="K75" s="196">
        <v>5.7329999999999997</v>
      </c>
      <c r="L75" s="393">
        <v>21.2</v>
      </c>
      <c r="M75" s="382">
        <f>IF(K75=0, "    ---- ", IF(ABS(ROUND(100/K75*L75-100,1))&lt;999,ROUND(100/K75*L75-100,1),IF(ROUND(100/K75*L75-100,1)&gt;999,999,-999)))</f>
        <v>269.8</v>
      </c>
      <c r="N75" s="196"/>
      <c r="O75" s="393"/>
      <c r="P75" s="338"/>
      <c r="Q75" s="196">
        <v>33439.041881999998</v>
      </c>
      <c r="R75" s="817">
        <v>55760.941723999997</v>
      </c>
      <c r="S75" s="338">
        <f t="shared" si="36"/>
        <v>66.8</v>
      </c>
      <c r="T75" s="196">
        <v>7.9</v>
      </c>
      <c r="U75" s="393">
        <v>19.100000000000001</v>
      </c>
      <c r="V75" s="338">
        <f>IF(T75=0, "    ---- ", IF(ABS(ROUND(100/T75*U75-100,1))&lt;999,ROUND(100/T75*U75-100,1),IF(ROUND(100/T75*U75-100,1)&gt;999,999,-999)))</f>
        <v>141.80000000000001</v>
      </c>
      <c r="W75" s="196">
        <v>987.07</v>
      </c>
      <c r="X75" s="393">
        <v>1629.85</v>
      </c>
      <c r="Y75" s="338">
        <f t="shared" si="23"/>
        <v>65.099999999999994</v>
      </c>
      <c r="Z75" s="196">
        <v>9304</v>
      </c>
      <c r="AA75" s="393">
        <v>16522</v>
      </c>
      <c r="AB75" s="338">
        <f>IF(Z75=0, "    ---- ", IF(ABS(ROUND(100/Z75*AA75-100,1))&lt;999,ROUND(100/Z75*AA75-100,1),IF(ROUND(100/Z75*AA75-100,1)&gt;999,999,-999)))</f>
        <v>77.599999999999994</v>
      </c>
      <c r="AC75" s="196"/>
      <c r="AD75" s="393"/>
      <c r="AE75" s="338"/>
      <c r="AF75" s="196">
        <v>1544.798</v>
      </c>
      <c r="AG75" s="393">
        <v>2326.306</v>
      </c>
      <c r="AH75" s="338">
        <f t="shared" si="25"/>
        <v>50.6</v>
      </c>
      <c r="AI75" s="196">
        <v>2245</v>
      </c>
      <c r="AJ75" s="393">
        <v>5500</v>
      </c>
      <c r="AK75" s="338">
        <f t="shared" si="26"/>
        <v>145</v>
      </c>
      <c r="AL75" s="391">
        <f t="shared" si="39"/>
        <v>49015.043881999998</v>
      </c>
      <c r="AM75" s="391">
        <f t="shared" si="39"/>
        <v>87386.069723999986</v>
      </c>
      <c r="AN75" s="338">
        <f t="shared" si="20"/>
        <v>78.3</v>
      </c>
      <c r="AO75" s="391">
        <f t="shared" si="40"/>
        <v>49015.043881999998</v>
      </c>
      <c r="AP75" s="391">
        <f t="shared" si="40"/>
        <v>87386.069723999986</v>
      </c>
      <c r="AQ75" s="394">
        <f t="shared" si="22"/>
        <v>78.3</v>
      </c>
      <c r="AR75" s="442"/>
      <c r="AS75" s="442"/>
      <c r="AT75" s="446"/>
    </row>
    <row r="76" spans="1:46" s="415" customFormat="1" ht="20.100000000000001" customHeight="1" x14ac:dyDescent="0.3">
      <c r="A76" s="409" t="s">
        <v>488</v>
      </c>
      <c r="B76" s="196">
        <v>15.872999999999999</v>
      </c>
      <c r="C76" s="393">
        <v>15.064</v>
      </c>
      <c r="D76" s="338">
        <f>IF(B76=0, "    ---- ", IF(ABS(ROUND(100/B76*C76-100,1))&lt;999,ROUND(100/B76*C76-100,1),IF(ROUND(100/B76*C76-100,1)&gt;999,999,-999)))</f>
        <v>-5.0999999999999996</v>
      </c>
      <c r="E76" s="196">
        <v>827.86099999999999</v>
      </c>
      <c r="F76" s="393">
        <v>651.654</v>
      </c>
      <c r="G76" s="338">
        <f t="shared" si="17"/>
        <v>-21.3</v>
      </c>
      <c r="H76" s="890"/>
      <c r="I76" s="390"/>
      <c r="J76" s="338"/>
      <c r="K76" s="196">
        <v>2.94</v>
      </c>
      <c r="L76" s="393">
        <v>2.9</v>
      </c>
      <c r="M76" s="382">
        <f>IF(K76=0, "    ---- ", IF(ABS(ROUND(100/K76*L76-100,1))&lt;999,ROUND(100/K76*L76-100,1),IF(ROUND(100/K76*L76-100,1)&gt;999,999,-999)))</f>
        <v>-1.4</v>
      </c>
      <c r="N76" s="196"/>
      <c r="O76" s="393"/>
      <c r="P76" s="338"/>
      <c r="Q76" s="196">
        <v>12382.765036000001</v>
      </c>
      <c r="R76" s="817">
        <v>20317.302275740003</v>
      </c>
      <c r="S76" s="338">
        <f t="shared" si="36"/>
        <v>64.099999999999994</v>
      </c>
      <c r="T76" s="196">
        <v>34.9</v>
      </c>
      <c r="U76" s="393">
        <v>31.1</v>
      </c>
      <c r="V76" s="338">
        <f>IF(T76=0, "    ---- ", IF(ABS(ROUND(100/T76*U76-100,1))&lt;999,ROUND(100/T76*U76-100,1),IF(ROUND(100/T76*U76-100,1)&gt;999,999,-999)))</f>
        <v>-10.9</v>
      </c>
      <c r="W76" s="196">
        <v>659.95</v>
      </c>
      <c r="X76" s="393">
        <v>732.17</v>
      </c>
      <c r="Y76" s="338">
        <f t="shared" si="23"/>
        <v>10.9</v>
      </c>
      <c r="Z76" s="196"/>
      <c r="AA76" s="393"/>
      <c r="AB76" s="338"/>
      <c r="AC76" s="196"/>
      <c r="AD76" s="393"/>
      <c r="AE76" s="338"/>
      <c r="AF76" s="196">
        <v>205.60499999999999</v>
      </c>
      <c r="AG76" s="393">
        <v>289.29500000000002</v>
      </c>
      <c r="AH76" s="338">
        <f t="shared" si="25"/>
        <v>40.700000000000003</v>
      </c>
      <c r="AI76" s="196">
        <v>2157</v>
      </c>
      <c r="AJ76" s="393">
        <v>2016</v>
      </c>
      <c r="AK76" s="338">
        <f t="shared" si="26"/>
        <v>-6.5</v>
      </c>
      <c r="AL76" s="391">
        <f t="shared" si="39"/>
        <v>16286.894036000002</v>
      </c>
      <c r="AM76" s="391">
        <f t="shared" si="39"/>
        <v>24055.485275739997</v>
      </c>
      <c r="AN76" s="338">
        <f t="shared" si="20"/>
        <v>47.7</v>
      </c>
      <c r="AO76" s="391">
        <f t="shared" si="40"/>
        <v>16286.894036000002</v>
      </c>
      <c r="AP76" s="391">
        <f t="shared" si="40"/>
        <v>24055.485275739997</v>
      </c>
      <c r="AQ76" s="394">
        <f t="shared" si="22"/>
        <v>47.7</v>
      </c>
      <c r="AR76" s="442"/>
      <c r="AS76" s="442"/>
      <c r="AT76" s="446"/>
    </row>
    <row r="77" spans="1:46" s="415" customFormat="1" ht="20.100000000000001" customHeight="1" x14ac:dyDescent="0.3">
      <c r="A77" s="409" t="s">
        <v>368</v>
      </c>
      <c r="B77" s="196">
        <v>48.01</v>
      </c>
      <c r="C77" s="393">
        <v>53.457000000000001</v>
      </c>
      <c r="D77" s="338">
        <f>IF(B77=0, "    ---- ", IF(ABS(ROUND(100/B77*C77-100,1))&lt;999,ROUND(100/B77*C77-100,1),IF(ROUND(100/B77*C77-100,1)&gt;999,999,-999)))</f>
        <v>11.3</v>
      </c>
      <c r="E77" s="196">
        <v>51.488999999999997</v>
      </c>
      <c r="F77" s="393">
        <v>96.135000000000005</v>
      </c>
      <c r="G77" s="338">
        <f t="shared" si="17"/>
        <v>86.7</v>
      </c>
      <c r="H77" s="890">
        <v>26.8</v>
      </c>
      <c r="I77" s="390">
        <v>30.344999999999999</v>
      </c>
      <c r="J77" s="338">
        <f>IF(H77=0, "    ---- ", IF(ABS(ROUND(100/H77*I77-100,1))&lt;999,ROUND(100/H77*I77-100,1),IF(ROUND(100/H77*I77-100,1)&gt;999,999,-999)))</f>
        <v>13.2</v>
      </c>
      <c r="K77" s="196"/>
      <c r="L77" s="393"/>
      <c r="M77" s="382"/>
      <c r="N77" s="196"/>
      <c r="O77" s="393"/>
      <c r="P77" s="338"/>
      <c r="Q77" s="196">
        <v>0</v>
      </c>
      <c r="R77" s="817">
        <v>0</v>
      </c>
      <c r="S77" s="338"/>
      <c r="T77" s="196"/>
      <c r="U77" s="393"/>
      <c r="V77" s="338"/>
      <c r="W77" s="196">
        <v>0</v>
      </c>
      <c r="X77" s="393">
        <v>0</v>
      </c>
      <c r="Y77" s="338" t="str">
        <f t="shared" si="23"/>
        <v xml:space="preserve">    ---- </v>
      </c>
      <c r="Z77" s="196">
        <v>3249</v>
      </c>
      <c r="AA77" s="393">
        <v>1578</v>
      </c>
      <c r="AB77" s="338">
        <f t="shared" ref="AB77:AB78" si="41">IF(Z77=0, "    ---- ", IF(ABS(ROUND(100/Z77*AA77-100,1))&lt;999,ROUND(100/Z77*AA77-100,1),IF(ROUND(100/Z77*AA77-100,1)&gt;999,999,-999)))</f>
        <v>-51.4</v>
      </c>
      <c r="AC77" s="196"/>
      <c r="AD77" s="393"/>
      <c r="AE77" s="338"/>
      <c r="AF77" s="196"/>
      <c r="AG77" s="393"/>
      <c r="AH77" s="338"/>
      <c r="AI77" s="196">
        <v>622</v>
      </c>
      <c r="AJ77" s="393">
        <v>649</v>
      </c>
      <c r="AK77" s="338">
        <f t="shared" si="26"/>
        <v>4.3</v>
      </c>
      <c r="AL77" s="391">
        <f t="shared" si="39"/>
        <v>3997.299</v>
      </c>
      <c r="AM77" s="391">
        <f t="shared" si="39"/>
        <v>2406.9369999999999</v>
      </c>
      <c r="AN77" s="338">
        <f t="shared" si="20"/>
        <v>-39.799999999999997</v>
      </c>
      <c r="AO77" s="391">
        <f t="shared" si="40"/>
        <v>3997.299</v>
      </c>
      <c r="AP77" s="391">
        <f t="shared" si="40"/>
        <v>2406.9369999999999</v>
      </c>
      <c r="AQ77" s="394">
        <f t="shared" si="22"/>
        <v>-39.799999999999997</v>
      </c>
      <c r="AR77" s="442"/>
      <c r="AS77" s="442"/>
      <c r="AT77" s="446"/>
    </row>
    <row r="78" spans="1:46" s="415" customFormat="1" ht="20.100000000000001" customHeight="1" x14ac:dyDescent="0.3">
      <c r="A78" s="409" t="s">
        <v>248</v>
      </c>
      <c r="B78" s="196"/>
      <c r="C78" s="393"/>
      <c r="D78" s="338"/>
      <c r="E78" s="196"/>
      <c r="F78" s="393"/>
      <c r="G78" s="338"/>
      <c r="H78" s="890"/>
      <c r="I78" s="390"/>
      <c r="J78" s="338"/>
      <c r="K78" s="196"/>
      <c r="L78" s="393"/>
      <c r="M78" s="382"/>
      <c r="N78" s="196"/>
      <c r="O78" s="393"/>
      <c r="P78" s="338"/>
      <c r="Q78" s="196">
        <v>0</v>
      </c>
      <c r="R78" s="817">
        <v>0</v>
      </c>
      <c r="S78" s="338" t="str">
        <f t="shared" si="36"/>
        <v xml:space="preserve">    ---- </v>
      </c>
      <c r="T78" s="196"/>
      <c r="U78" s="393"/>
      <c r="V78" s="338"/>
      <c r="W78" s="196"/>
      <c r="X78" s="393"/>
      <c r="Y78" s="338"/>
      <c r="Z78" s="196">
        <v>364</v>
      </c>
      <c r="AA78" s="393">
        <v>350</v>
      </c>
      <c r="AB78" s="338">
        <f t="shared" si="41"/>
        <v>-3.8</v>
      </c>
      <c r="AC78" s="196"/>
      <c r="AD78" s="393"/>
      <c r="AE78" s="338"/>
      <c r="AF78" s="196"/>
      <c r="AG78" s="393"/>
      <c r="AH78" s="338"/>
      <c r="AI78" s="196"/>
      <c r="AJ78" s="393"/>
      <c r="AK78" s="338"/>
      <c r="AL78" s="391">
        <f t="shared" si="39"/>
        <v>364</v>
      </c>
      <c r="AM78" s="391">
        <f t="shared" si="39"/>
        <v>350</v>
      </c>
      <c r="AN78" s="338">
        <f t="shared" si="20"/>
        <v>-3.8</v>
      </c>
      <c r="AO78" s="391">
        <f t="shared" si="40"/>
        <v>364</v>
      </c>
      <c r="AP78" s="391">
        <f t="shared" si="40"/>
        <v>350</v>
      </c>
      <c r="AQ78" s="394">
        <f t="shared" si="22"/>
        <v>-3.8</v>
      </c>
      <c r="AR78" s="442"/>
      <c r="AS78" s="442"/>
      <c r="AT78" s="446"/>
    </row>
    <row r="79" spans="1:46" s="415" customFormat="1" ht="20.100000000000001" customHeight="1" x14ac:dyDescent="0.3">
      <c r="A79" s="410" t="s">
        <v>249</v>
      </c>
      <c r="B79" s="785">
        <v>1144.7940000000001</v>
      </c>
      <c r="C79" s="393">
        <f>SUM(C73:C78)</f>
        <v>1179.1270000000002</v>
      </c>
      <c r="D79" s="338">
        <f>IF(B79=0, "    ---- ", IF(ABS(ROUND(100/B79*C79-100,1))&lt;999,ROUND(100/B79*C79-100,1),IF(ROUND(100/B79*C79-100,1)&gt;999,999,-999)))</f>
        <v>3</v>
      </c>
      <c r="E79" s="196">
        <v>204286.16400000002</v>
      </c>
      <c r="F79" s="393">
        <f>SUM(F73:F78)</f>
        <v>206883.95200000002</v>
      </c>
      <c r="G79" s="338">
        <f t="shared" si="17"/>
        <v>1.3</v>
      </c>
      <c r="H79" s="890">
        <v>956.8</v>
      </c>
      <c r="I79" s="390">
        <f>SUM(I73:I78)</f>
        <v>1056.4580000000001</v>
      </c>
      <c r="J79" s="338">
        <f>IF(H79=0, "    ---- ", IF(ABS(ROUND(100/H79*I79-100,1))&lt;999,ROUND(100/H79*I79-100,1),IF(ROUND(100/H79*I79-100,1)&gt;999,999,-999)))</f>
        <v>10.4</v>
      </c>
      <c r="K79" s="196">
        <v>6586.3779999999997</v>
      </c>
      <c r="L79" s="393">
        <f>SUM(L73:L78)</f>
        <v>7204.2</v>
      </c>
      <c r="M79" s="382">
        <f>IF(K79=0, "    ---- ", IF(ABS(ROUND(100/K79*L79-100,1))&lt;999,ROUND(100/K79*L79-100,1),IF(ROUND(100/K79*L79-100,1)&gt;999,999,-999)))</f>
        <v>9.4</v>
      </c>
      <c r="N79" s="196">
        <v>48</v>
      </c>
      <c r="O79" s="393">
        <f>SUM(O73:O78)</f>
        <v>51.140557059999999</v>
      </c>
      <c r="P79" s="338">
        <f>IF(N79=0, "    ---- ", IF(ABS(ROUND(100/N79*O79-100,1))&lt;999,ROUND(100/N79*O79-100,1),IF(ROUND(100/N79*O79-100,1)&gt;999,999,-999)))</f>
        <v>6.5</v>
      </c>
      <c r="Q79" s="196">
        <v>505181.54133321001</v>
      </c>
      <c r="R79" s="393">
        <f>SUM(R73:R78)</f>
        <v>563526.11183874996</v>
      </c>
      <c r="S79" s="338">
        <f t="shared" si="36"/>
        <v>11.5</v>
      </c>
      <c r="T79" s="196">
        <v>1683.8000000000002</v>
      </c>
      <c r="U79" s="393">
        <f>SUM(U73:U78)</f>
        <v>1742.6999999999998</v>
      </c>
      <c r="V79" s="338">
        <f>IF(T79=0, "    ---- ", IF(ABS(ROUND(100/T79*U79-100,1))&lt;999,ROUND(100/T79*U79-100,1),IF(ROUND(100/T79*U79-100,1)&gt;999,999,-999)))</f>
        <v>3.5</v>
      </c>
      <c r="W79" s="196">
        <v>50050.246088999993</v>
      </c>
      <c r="X79" s="393">
        <f>SUM(X73:X78)</f>
        <v>51671.944252899993</v>
      </c>
      <c r="Y79" s="338">
        <f t="shared" si="23"/>
        <v>3.2</v>
      </c>
      <c r="Z79" s="196">
        <v>83998</v>
      </c>
      <c r="AA79" s="393">
        <f>SUM(AA73:AA78)</f>
        <v>92589</v>
      </c>
      <c r="AB79" s="338">
        <f>IF(Z79=0, "    ---- ", IF(ABS(ROUND(100/Z79*AA79-100,1))&lt;999,ROUND(100/Z79*AA79-100,1),IF(ROUND(100/Z79*AA79-100,1)&gt;999,999,-999)))</f>
        <v>10.199999999999999</v>
      </c>
      <c r="AC79" s="196"/>
      <c r="AD79" s="393"/>
      <c r="AE79" s="338"/>
      <c r="AF79" s="196">
        <v>23205.288</v>
      </c>
      <c r="AG79" s="393">
        <f>SUM(AG73:AG78)</f>
        <v>26302.09</v>
      </c>
      <c r="AH79" s="338">
        <f t="shared" si="25"/>
        <v>13.3</v>
      </c>
      <c r="AI79" s="196">
        <v>185445.8</v>
      </c>
      <c r="AJ79" s="393">
        <f>SUM(AJ73:AJ78)</f>
        <v>189161</v>
      </c>
      <c r="AK79" s="338">
        <f t="shared" si="26"/>
        <v>2</v>
      </c>
      <c r="AL79" s="391">
        <f t="shared" si="39"/>
        <v>1062538.8114222102</v>
      </c>
      <c r="AM79" s="391">
        <f t="shared" si="39"/>
        <v>1141316.5830916499</v>
      </c>
      <c r="AN79" s="338">
        <f t="shared" si="20"/>
        <v>7.4</v>
      </c>
      <c r="AO79" s="391">
        <f t="shared" si="40"/>
        <v>1062586.8114222102</v>
      </c>
      <c r="AP79" s="391">
        <f t="shared" si="40"/>
        <v>1141367.7236487099</v>
      </c>
      <c r="AQ79" s="394">
        <f t="shared" si="22"/>
        <v>7.4</v>
      </c>
      <c r="AR79" s="442"/>
      <c r="AS79" s="442"/>
      <c r="AT79" s="446"/>
    </row>
    <row r="80" spans="1:46" s="415" customFormat="1" ht="20.100000000000001" customHeight="1" x14ac:dyDescent="0.3">
      <c r="A80" s="409" t="s">
        <v>250</v>
      </c>
      <c r="B80" s="196"/>
      <c r="C80" s="393"/>
      <c r="D80" s="338"/>
      <c r="E80" s="196"/>
      <c r="F80" s="393"/>
      <c r="G80" s="338"/>
      <c r="H80" s="890"/>
      <c r="I80" s="390"/>
      <c r="J80" s="338"/>
      <c r="K80" s="196"/>
      <c r="L80" s="393"/>
      <c r="M80" s="382"/>
      <c r="N80" s="196"/>
      <c r="O80" s="393"/>
      <c r="P80" s="338"/>
      <c r="Q80" s="196"/>
      <c r="R80" s="393"/>
      <c r="S80" s="338"/>
      <c r="T80" s="196"/>
      <c r="U80" s="393"/>
      <c r="V80" s="338"/>
      <c r="W80" s="196"/>
      <c r="X80" s="393"/>
      <c r="Y80" s="338"/>
      <c r="Z80" s="196"/>
      <c r="AA80" s="393"/>
      <c r="AB80" s="338"/>
      <c r="AC80" s="196"/>
      <c r="AD80" s="393"/>
      <c r="AE80" s="338"/>
      <c r="AF80" s="196"/>
      <c r="AG80" s="393"/>
      <c r="AH80" s="338"/>
      <c r="AI80" s="196"/>
      <c r="AJ80" s="393"/>
      <c r="AK80" s="338"/>
      <c r="AL80" s="384"/>
      <c r="AM80" s="384"/>
      <c r="AN80" s="338"/>
      <c r="AO80" s="384"/>
      <c r="AP80" s="384"/>
      <c r="AQ80" s="394"/>
      <c r="AR80" s="442"/>
      <c r="AS80" s="442"/>
      <c r="AT80" s="446"/>
    </row>
    <row r="81" spans="1:46" s="415" customFormat="1" ht="20.100000000000001" customHeight="1" x14ac:dyDescent="0.3">
      <c r="A81" s="409" t="s">
        <v>489</v>
      </c>
      <c r="B81" s="196">
        <v>16794.102999999999</v>
      </c>
      <c r="C81" s="393">
        <v>20672.887999999999</v>
      </c>
      <c r="D81" s="338">
        <f>IF(B81=0, "    ---- ", IF(ABS(ROUND(100/B81*C81-100,1))&lt;999,ROUND(100/B81*C81-100,1),IF(ROUND(100/B81*C81-100,1)&gt;999,999,-999)))</f>
        <v>23.1</v>
      </c>
      <c r="E81" s="196">
        <v>76559.721000000005</v>
      </c>
      <c r="F81" s="393">
        <v>98362.77</v>
      </c>
      <c r="G81" s="338">
        <f t="shared" si="17"/>
        <v>28.5</v>
      </c>
      <c r="H81" s="890">
        <v>3327.2</v>
      </c>
      <c r="I81" s="390">
        <v>4266.1270000000004</v>
      </c>
      <c r="J81" s="338">
        <f>IF(H81=0, "    ---- ", IF(ABS(ROUND(100/H81*I81-100,1))&lt;999,ROUND(100/H81*I81-100,1),IF(ROUND(100/H81*I81-100,1)&gt;999,999,-999)))</f>
        <v>28.2</v>
      </c>
      <c r="K81" s="196">
        <v>23796.228999999999</v>
      </c>
      <c r="L81" s="393">
        <v>29843.5</v>
      </c>
      <c r="M81" s="382">
        <f>IF(K81=0, "    ---- ", IF(ABS(ROUND(100/K81*L81-100,1))&lt;999,ROUND(100/K81*L81-100,1),IF(ROUND(100/K81*L81-100,1)&gt;999,999,-999)))</f>
        <v>25.4</v>
      </c>
      <c r="N81" s="196"/>
      <c r="O81" s="393"/>
      <c r="P81" s="338"/>
      <c r="Q81" s="196">
        <v>1940.9515251500002</v>
      </c>
      <c r="R81" s="817">
        <v>2063.5082241499999</v>
      </c>
      <c r="S81" s="338">
        <f t="shared" ref="S81:S91" si="42">IF(Q81=0, "    ---- ", IF(ABS(ROUND(100/Q81*R81-100,1))&lt;999,ROUND(100/Q81*R81-100,1),IF(ROUND(100/Q81*R81-100,1)&gt;999,999,-999)))</f>
        <v>6.3</v>
      </c>
      <c r="T81" s="196">
        <v>3376.8</v>
      </c>
      <c r="U81" s="393">
        <v>4891.8999999999996</v>
      </c>
      <c r="V81" s="338">
        <f>IF(T81=0, "    ---- ", IF(ABS(ROUND(100/T81*U81-100,1))&lt;999,ROUND(100/T81*U81-100,1),IF(ROUND(100/T81*U81-100,1)&gt;999,999,-999)))</f>
        <v>44.9</v>
      </c>
      <c r="W81" s="196">
        <v>59037.75</v>
      </c>
      <c r="X81" s="393">
        <v>77977.13</v>
      </c>
      <c r="Y81" s="338">
        <f t="shared" si="23"/>
        <v>32.1</v>
      </c>
      <c r="Z81" s="196"/>
      <c r="AA81" s="393"/>
      <c r="AB81" s="338"/>
      <c r="AC81" s="196">
        <v>2076.5099131799998</v>
      </c>
      <c r="AD81" s="393">
        <v>2541.1866050899998</v>
      </c>
      <c r="AE81" s="338">
        <f>IF(AC81=0, "    ---- ", IF(ABS(ROUND(100/AC81*AD81-100,1))&lt;999,ROUND(100/AC81*AD81-100,1),IF(ROUND(100/AC81*AD81-100,1)&gt;999,999,-999)))</f>
        <v>22.4</v>
      </c>
      <c r="AF81" s="196">
        <v>27153.928</v>
      </c>
      <c r="AG81" s="393">
        <v>35399.911</v>
      </c>
      <c r="AH81" s="338">
        <f t="shared" si="25"/>
        <v>30.4</v>
      </c>
      <c r="AI81" s="196">
        <v>93441</v>
      </c>
      <c r="AJ81" s="393">
        <v>114538</v>
      </c>
      <c r="AK81" s="338">
        <f t="shared" si="26"/>
        <v>22.6</v>
      </c>
      <c r="AL81" s="391">
        <f t="shared" ref="AL81:AM89" si="43">B81+E81+H81+K81+Q81+T81+W81+Z81+AF81+AI81</f>
        <v>305427.68252515001</v>
      </c>
      <c r="AM81" s="391">
        <f t="shared" si="43"/>
        <v>388015.73422415002</v>
      </c>
      <c r="AN81" s="338">
        <f t="shared" si="20"/>
        <v>27</v>
      </c>
      <c r="AO81" s="391">
        <f t="shared" ref="AO81:AP89" si="44">B81+E81+H81+K81+N81+Q81+T81+W81+Z81+AC81+AF81+AI81</f>
        <v>307504.19243832998</v>
      </c>
      <c r="AP81" s="391">
        <f t="shared" si="44"/>
        <v>390556.92082924</v>
      </c>
      <c r="AQ81" s="394">
        <f t="shared" si="22"/>
        <v>27</v>
      </c>
      <c r="AR81" s="442"/>
      <c r="AS81" s="442"/>
      <c r="AT81" s="446"/>
    </row>
    <row r="82" spans="1:46" s="415" customFormat="1" ht="20.100000000000001" customHeight="1" x14ac:dyDescent="0.3">
      <c r="A82" s="409" t="s">
        <v>490</v>
      </c>
      <c r="B82" s="196"/>
      <c r="C82" s="393"/>
      <c r="D82" s="338"/>
      <c r="E82" s="196"/>
      <c r="F82" s="393"/>
      <c r="G82" s="338"/>
      <c r="H82" s="890"/>
      <c r="I82" s="390"/>
      <c r="J82" s="338"/>
      <c r="K82" s="196"/>
      <c r="L82" s="393"/>
      <c r="M82" s="338"/>
      <c r="N82" s="196"/>
      <c r="O82" s="393"/>
      <c r="P82" s="338"/>
      <c r="Q82" s="196">
        <v>99.874432999999996</v>
      </c>
      <c r="R82" s="817">
        <v>103.898577</v>
      </c>
      <c r="S82" s="338">
        <f t="shared" si="42"/>
        <v>4</v>
      </c>
      <c r="T82" s="196"/>
      <c r="U82" s="393"/>
      <c r="V82" s="338"/>
      <c r="W82" s="196">
        <v>0</v>
      </c>
      <c r="X82" s="393">
        <v>0</v>
      </c>
      <c r="Y82" s="338" t="str">
        <f t="shared" si="23"/>
        <v xml:space="preserve">    ---- </v>
      </c>
      <c r="Z82" s="196"/>
      <c r="AA82" s="393"/>
      <c r="AB82" s="338"/>
      <c r="AC82" s="196"/>
      <c r="AD82" s="393"/>
      <c r="AE82" s="338"/>
      <c r="AF82" s="196"/>
      <c r="AG82" s="393"/>
      <c r="AH82" s="338"/>
      <c r="AI82" s="196"/>
      <c r="AJ82" s="393"/>
      <c r="AK82" s="338"/>
      <c r="AL82" s="391">
        <f t="shared" si="43"/>
        <v>99.874432999999996</v>
      </c>
      <c r="AM82" s="391">
        <f t="shared" si="43"/>
        <v>103.898577</v>
      </c>
      <c r="AN82" s="338">
        <f t="shared" si="20"/>
        <v>4</v>
      </c>
      <c r="AO82" s="391">
        <f t="shared" si="44"/>
        <v>99.874432999999996</v>
      </c>
      <c r="AP82" s="391">
        <f t="shared" si="44"/>
        <v>103.898577</v>
      </c>
      <c r="AQ82" s="394">
        <f t="shared" si="22"/>
        <v>4</v>
      </c>
      <c r="AR82" s="442"/>
      <c r="AS82" s="442"/>
      <c r="AT82" s="446"/>
    </row>
    <row r="83" spans="1:46" s="415" customFormat="1" ht="20.100000000000001" customHeight="1" x14ac:dyDescent="0.3">
      <c r="A83" s="409" t="s">
        <v>491</v>
      </c>
      <c r="B83" s="786">
        <v>62.942999999999998</v>
      </c>
      <c r="C83" s="338">
        <v>59.975999999999999</v>
      </c>
      <c r="D83" s="338">
        <f>IF(B83=0, "    ---- ", IF(ABS(ROUND(100/B83*C83-100,1))&lt;999,ROUND(100/B83*C83-100,1),IF(ROUND(100/B83*C83-100,1)&gt;999,999,-999)))</f>
        <v>-4.7</v>
      </c>
      <c r="E83" s="786">
        <v>681.62099999999998</v>
      </c>
      <c r="F83" s="338">
        <v>580.23500000000001</v>
      </c>
      <c r="G83" s="338">
        <f t="shared" si="17"/>
        <v>-14.9</v>
      </c>
      <c r="H83" s="890"/>
      <c r="I83" s="390"/>
      <c r="J83" s="338"/>
      <c r="K83" s="786">
        <v>305.55099999999999</v>
      </c>
      <c r="L83" s="338">
        <v>287.39999999999998</v>
      </c>
      <c r="M83" s="338">
        <f>IF(K83=0, "    ---- ", IF(ABS(ROUND(100/K83*L83-100,1))&lt;999,ROUND(100/K83*L83-100,1),IF(ROUND(100/K83*L83-100,1)&gt;999,999,-999)))</f>
        <v>-5.9</v>
      </c>
      <c r="N83" s="786"/>
      <c r="O83" s="338"/>
      <c r="P83" s="338"/>
      <c r="Q83" s="786">
        <v>377.869282</v>
      </c>
      <c r="R83" s="817">
        <v>536.35202649999997</v>
      </c>
      <c r="S83" s="338">
        <f t="shared" si="42"/>
        <v>41.9</v>
      </c>
      <c r="T83" s="786">
        <v>19.600000000000001</v>
      </c>
      <c r="U83" s="338">
        <v>14.4</v>
      </c>
      <c r="V83" s="338">
        <f>IF(T83=0, "    ---- ", IF(ABS(ROUND(100/T83*U83-100,1))&lt;999,ROUND(100/T83*U83-100,1),IF(ROUND(100/T83*U83-100,1)&gt;999,999,-999)))</f>
        <v>-26.5</v>
      </c>
      <c r="W83" s="786">
        <v>0</v>
      </c>
      <c r="X83" s="338">
        <v>0</v>
      </c>
      <c r="Y83" s="338" t="str">
        <f t="shared" si="23"/>
        <v xml:space="preserve">    ---- </v>
      </c>
      <c r="Z83" s="786"/>
      <c r="AA83" s="338"/>
      <c r="AB83" s="338"/>
      <c r="AC83" s="786"/>
      <c r="AD83" s="338"/>
      <c r="AE83" s="338"/>
      <c r="AF83" s="786">
        <v>516.46900000000005</v>
      </c>
      <c r="AG83" s="338">
        <v>520.79899999999998</v>
      </c>
      <c r="AH83" s="338">
        <f t="shared" si="25"/>
        <v>0.8</v>
      </c>
      <c r="AI83" s="786"/>
      <c r="AJ83" s="338"/>
      <c r="AK83" s="338"/>
      <c r="AL83" s="391">
        <f t="shared" si="43"/>
        <v>1964.0532819999999</v>
      </c>
      <c r="AM83" s="391">
        <f t="shared" si="43"/>
        <v>1999.1620265000001</v>
      </c>
      <c r="AN83" s="338">
        <f t="shared" si="20"/>
        <v>1.8</v>
      </c>
      <c r="AO83" s="391">
        <f t="shared" si="44"/>
        <v>1964.0532819999999</v>
      </c>
      <c r="AP83" s="391">
        <f t="shared" si="44"/>
        <v>1999.1620265000001</v>
      </c>
      <c r="AQ83" s="394">
        <f t="shared" si="22"/>
        <v>1.8</v>
      </c>
      <c r="AR83" s="442"/>
      <c r="AS83" s="442"/>
      <c r="AT83" s="446"/>
    </row>
    <row r="84" spans="1:46" s="415" customFormat="1" ht="20.100000000000001" customHeight="1" x14ac:dyDescent="0.3">
      <c r="A84" s="409" t="s">
        <v>248</v>
      </c>
      <c r="B84" s="196"/>
      <c r="C84" s="393"/>
      <c r="D84" s="393"/>
      <c r="E84" s="196"/>
      <c r="F84" s="393"/>
      <c r="G84" s="393"/>
      <c r="H84" s="890"/>
      <c r="I84" s="390"/>
      <c r="J84" s="393"/>
      <c r="K84" s="196"/>
      <c r="L84" s="393"/>
      <c r="M84" s="382"/>
      <c r="N84" s="196"/>
      <c r="O84" s="393"/>
      <c r="P84" s="338"/>
      <c r="Q84" s="196"/>
      <c r="R84" s="393"/>
      <c r="S84" s="338" t="str">
        <f t="shared" si="42"/>
        <v xml:space="preserve">    ---- </v>
      </c>
      <c r="T84" s="196"/>
      <c r="U84" s="393"/>
      <c r="V84" s="338"/>
      <c r="W84" s="196"/>
      <c r="X84" s="393"/>
      <c r="Y84" s="338"/>
      <c r="Z84" s="196"/>
      <c r="AA84" s="393"/>
      <c r="AB84" s="338"/>
      <c r="AC84" s="196"/>
      <c r="AD84" s="393"/>
      <c r="AE84" s="393"/>
      <c r="AF84" s="196"/>
      <c r="AG84" s="393"/>
      <c r="AH84" s="338"/>
      <c r="AI84" s="196"/>
      <c r="AJ84" s="393"/>
      <c r="AK84" s="338"/>
      <c r="AL84" s="391">
        <f t="shared" si="43"/>
        <v>0</v>
      </c>
      <c r="AM84" s="391">
        <f t="shared" si="43"/>
        <v>0</v>
      </c>
      <c r="AN84" s="338" t="str">
        <f t="shared" si="20"/>
        <v xml:space="preserve">    ---- </v>
      </c>
      <c r="AO84" s="391">
        <f t="shared" si="44"/>
        <v>0</v>
      </c>
      <c r="AP84" s="391">
        <f t="shared" si="44"/>
        <v>0</v>
      </c>
      <c r="AQ84" s="394" t="str">
        <f t="shared" si="22"/>
        <v xml:space="preserve">    ---- </v>
      </c>
      <c r="AR84" s="442"/>
      <c r="AS84" s="442"/>
      <c r="AT84" s="446"/>
    </row>
    <row r="85" spans="1:46" s="415" customFormat="1" ht="20.100000000000001" customHeight="1" x14ac:dyDescent="0.3">
      <c r="A85" s="410" t="s">
        <v>251</v>
      </c>
      <c r="B85" s="785">
        <v>16857.045999999998</v>
      </c>
      <c r="C85" s="393">
        <f>SUM(C81:C84)</f>
        <v>20732.863999999998</v>
      </c>
      <c r="D85" s="393">
        <f>IF(B85=0, "    ---- ", IF(ABS(ROUND(100/B85*C85-100,1))&lt;999,ROUND(100/B85*C85-100,1),IF(ROUND(100/B85*C85-100,1)&gt;999,999,-999)))</f>
        <v>23</v>
      </c>
      <c r="E85" s="196">
        <v>77241.342000000004</v>
      </c>
      <c r="F85" s="393">
        <f>SUM(F81:F84)</f>
        <v>98943.005000000005</v>
      </c>
      <c r="G85" s="393">
        <f t="shared" si="17"/>
        <v>28.1</v>
      </c>
      <c r="H85" s="890">
        <v>3327.2</v>
      </c>
      <c r="I85" s="390">
        <f>SUM(I81:I84)</f>
        <v>4266.1270000000004</v>
      </c>
      <c r="J85" s="393">
        <f>IF(H85=0, "    ---- ", IF(ABS(ROUND(100/H85*I85-100,1))&lt;999,ROUND(100/H85*I85-100,1),IF(ROUND(100/H85*I85-100,1)&gt;999,999,-999)))</f>
        <v>28.2</v>
      </c>
      <c r="K85" s="196">
        <v>24101.78</v>
      </c>
      <c r="L85" s="393">
        <f>SUM(L81:L84)</f>
        <v>30130.9</v>
      </c>
      <c r="M85" s="382">
        <f>IF(K85=0, "    ---- ", IF(ABS(ROUND(100/K85*L85-100,1))&lt;999,ROUND(100/K85*L85-100,1),IF(ROUND(100/K85*L85-100,1)&gt;999,999,-999)))</f>
        <v>25</v>
      </c>
      <c r="N85" s="196"/>
      <c r="O85" s="393"/>
      <c r="P85" s="338"/>
      <c r="Q85" s="196">
        <v>2418.6952401500002</v>
      </c>
      <c r="R85" s="393">
        <f>SUM(R81:R84)</f>
        <v>2703.7588276500001</v>
      </c>
      <c r="S85" s="338">
        <f t="shared" si="42"/>
        <v>11.8</v>
      </c>
      <c r="T85" s="196">
        <v>3396.4</v>
      </c>
      <c r="U85" s="393">
        <f>SUM(U81:U84)</f>
        <v>4906.2999999999993</v>
      </c>
      <c r="V85" s="338">
        <f>IF(T85=0, "    ---- ", IF(ABS(ROUND(100/T85*U85-100,1))&lt;999,ROUND(100/T85*U85-100,1),IF(ROUND(100/T85*U85-100,1)&gt;999,999,-999)))</f>
        <v>44.5</v>
      </c>
      <c r="W85" s="196">
        <v>59037.75</v>
      </c>
      <c r="X85" s="393">
        <f>SUM(X81:X84)</f>
        <v>77977.13</v>
      </c>
      <c r="Y85" s="338">
        <f t="shared" si="23"/>
        <v>32.1</v>
      </c>
      <c r="Z85" s="196"/>
      <c r="AA85" s="393"/>
      <c r="AB85" s="338"/>
      <c r="AC85" s="196">
        <v>2076.5099131799998</v>
      </c>
      <c r="AD85" s="393">
        <f>SUM(AD81:AD84)</f>
        <v>2541.1866050899998</v>
      </c>
      <c r="AE85" s="393">
        <f>IF(AC85=0, "    ---- ", IF(ABS(ROUND(100/AC85*AD85-100,1))&lt;999,ROUND(100/AC85*AD85-100,1),IF(ROUND(100/AC85*AD85-100,1)&gt;999,999,-999)))</f>
        <v>22.4</v>
      </c>
      <c r="AF85" s="196">
        <v>27670.397000000001</v>
      </c>
      <c r="AG85" s="393">
        <f>SUM(AG81:AG84)</f>
        <v>35920.71</v>
      </c>
      <c r="AH85" s="338">
        <f t="shared" si="25"/>
        <v>29.8</v>
      </c>
      <c r="AI85" s="196">
        <v>93441</v>
      </c>
      <c r="AJ85" s="393">
        <f>SUM(AJ81:AJ84)</f>
        <v>114538</v>
      </c>
      <c r="AK85" s="338">
        <f t="shared" si="26"/>
        <v>22.6</v>
      </c>
      <c r="AL85" s="391">
        <f t="shared" si="43"/>
        <v>307491.61024015001</v>
      </c>
      <c r="AM85" s="391">
        <f t="shared" si="43"/>
        <v>390118.79482765001</v>
      </c>
      <c r="AN85" s="338">
        <f t="shared" si="20"/>
        <v>26.9</v>
      </c>
      <c r="AO85" s="391">
        <f t="shared" si="44"/>
        <v>309568.12015333003</v>
      </c>
      <c r="AP85" s="391">
        <f t="shared" si="44"/>
        <v>392659.98143273999</v>
      </c>
      <c r="AQ85" s="394">
        <f t="shared" si="22"/>
        <v>26.8</v>
      </c>
      <c r="AR85" s="442"/>
      <c r="AS85" s="442"/>
      <c r="AT85" s="446"/>
    </row>
    <row r="86" spans="1:46" s="415" customFormat="1" ht="20.100000000000001" customHeight="1" x14ac:dyDescent="0.3">
      <c r="A86" s="409" t="s">
        <v>252</v>
      </c>
      <c r="B86" s="196">
        <v>29.866</v>
      </c>
      <c r="C86" s="393">
        <v>70.144999999999996</v>
      </c>
      <c r="D86" s="338">
        <f>IF(B86=0, "    ---- ", IF(ABS(ROUND(100/B86*C86-100,1))&lt;999,ROUND(100/B86*C86-100,1),IF(ROUND(100/B86*C86-100,1)&gt;999,999,-999)))</f>
        <v>134.9</v>
      </c>
      <c r="E86" s="196">
        <v>1028.759</v>
      </c>
      <c r="F86" s="393">
        <v>1441.732</v>
      </c>
      <c r="G86" s="338">
        <f t="shared" si="17"/>
        <v>40.1</v>
      </c>
      <c r="H86" s="890">
        <v>29</v>
      </c>
      <c r="I86" s="390">
        <v>53.517000000000003</v>
      </c>
      <c r="J86" s="338">
        <f>IF(H86=0, "    ---- ", IF(ABS(ROUND(100/H86*I86-100,1))&lt;999,ROUND(100/H86*I86-100,1),IF(ROUND(100/H86*I86-100,1)&gt;999,999,-999)))</f>
        <v>84.5</v>
      </c>
      <c r="K86" s="196">
        <v>63.832999999999998</v>
      </c>
      <c r="L86" s="393">
        <v>99.4</v>
      </c>
      <c r="M86" s="338">
        <f>IF(K86=0, "    ---- ", IF(ABS(ROUND(100/K86*L86-100,1))&lt;999,ROUND(100/K86*L86-100,1),IF(ROUND(100/K86*L86-100,1)&gt;999,999,-999)))</f>
        <v>55.7</v>
      </c>
      <c r="N86" s="196"/>
      <c r="O86" s="393"/>
      <c r="P86" s="338"/>
      <c r="Q86" s="196">
        <v>1472.86873285</v>
      </c>
      <c r="R86" s="817">
        <v>2000.70327875</v>
      </c>
      <c r="S86" s="338">
        <f t="shared" si="42"/>
        <v>35.799999999999997</v>
      </c>
      <c r="T86" s="196">
        <v>8.6999999999999993</v>
      </c>
      <c r="U86" s="393">
        <v>6.4</v>
      </c>
      <c r="V86" s="338">
        <f>IF(T86=0, "    ---- ", IF(ABS(ROUND(100/T86*U86-100,1))&lt;999,ROUND(100/T86*U86-100,1),IF(ROUND(100/T86*U86-100,1)&gt;999,999,-999)))</f>
        <v>-26.4</v>
      </c>
      <c r="W86" s="196">
        <v>629.86</v>
      </c>
      <c r="X86" s="393">
        <v>903.98</v>
      </c>
      <c r="Y86" s="338">
        <f t="shared" si="23"/>
        <v>43.5</v>
      </c>
      <c r="Z86" s="196">
        <v>1123</v>
      </c>
      <c r="AA86" s="393">
        <v>1022</v>
      </c>
      <c r="AB86" s="338">
        <f>IF(Z86=0, "    ---- ", IF(ABS(ROUND(100/Z86*AA86-100,1))&lt;999,ROUND(100/Z86*AA86-100,1),IF(ROUND(100/Z86*AA86-100,1)&gt;999,999,-999)))</f>
        <v>-9</v>
      </c>
      <c r="AC86" s="196"/>
      <c r="AD86" s="393"/>
      <c r="AE86" s="338"/>
      <c r="AF86" s="196">
        <v>796.07399999999996</v>
      </c>
      <c r="AG86" s="393">
        <v>859.31399999999996</v>
      </c>
      <c r="AH86" s="338">
        <f t="shared" si="25"/>
        <v>7.9</v>
      </c>
      <c r="AI86" s="196">
        <v>12</v>
      </c>
      <c r="AJ86" s="393">
        <v>7</v>
      </c>
      <c r="AK86" s="338">
        <f t="shared" si="26"/>
        <v>-41.7</v>
      </c>
      <c r="AL86" s="391">
        <f t="shared" si="43"/>
        <v>5193.9607328499997</v>
      </c>
      <c r="AM86" s="391">
        <f t="shared" si="43"/>
        <v>6464.1912787500005</v>
      </c>
      <c r="AN86" s="338">
        <f t="shared" si="20"/>
        <v>24.5</v>
      </c>
      <c r="AO86" s="391">
        <f t="shared" si="44"/>
        <v>5193.9607328499997</v>
      </c>
      <c r="AP86" s="391">
        <f t="shared" si="44"/>
        <v>6464.1912787500005</v>
      </c>
      <c r="AQ86" s="394">
        <f t="shared" si="22"/>
        <v>24.5</v>
      </c>
      <c r="AR86" s="442"/>
      <c r="AS86" s="442"/>
      <c r="AT86" s="446"/>
    </row>
    <row r="87" spans="1:46" s="415" customFormat="1" ht="20.100000000000001" customHeight="1" x14ac:dyDescent="0.3">
      <c r="A87" s="409" t="s">
        <v>253</v>
      </c>
      <c r="B87" s="196"/>
      <c r="C87" s="393"/>
      <c r="D87" s="338"/>
      <c r="E87" s="196"/>
      <c r="F87" s="393"/>
      <c r="G87" s="338"/>
      <c r="H87" s="890"/>
      <c r="I87" s="390"/>
      <c r="J87" s="338"/>
      <c r="K87" s="196"/>
      <c r="L87" s="393"/>
      <c r="M87" s="338"/>
      <c r="N87" s="196"/>
      <c r="O87" s="393"/>
      <c r="P87" s="338"/>
      <c r="Q87" s="196"/>
      <c r="R87" s="393"/>
      <c r="S87" s="338"/>
      <c r="T87" s="196"/>
      <c r="U87" s="393"/>
      <c r="V87" s="338"/>
      <c r="W87" s="196">
        <v>0</v>
      </c>
      <c r="X87" s="393">
        <v>0</v>
      </c>
      <c r="Y87" s="338" t="str">
        <f t="shared" si="23"/>
        <v xml:space="preserve">    ---- </v>
      </c>
      <c r="Z87" s="196"/>
      <c r="AA87" s="393"/>
      <c r="AB87" s="338"/>
      <c r="AC87" s="196"/>
      <c r="AD87" s="393"/>
      <c r="AE87" s="338"/>
      <c r="AF87" s="196">
        <v>286.411</v>
      </c>
      <c r="AG87" s="393">
        <v>360.58600000000001</v>
      </c>
      <c r="AH87" s="338">
        <f t="shared" si="25"/>
        <v>25.9</v>
      </c>
      <c r="AI87" s="196"/>
      <c r="AJ87" s="393"/>
      <c r="AK87" s="338"/>
      <c r="AL87" s="391">
        <f t="shared" si="43"/>
        <v>286.411</v>
      </c>
      <c r="AM87" s="391">
        <f t="shared" si="43"/>
        <v>360.58600000000001</v>
      </c>
      <c r="AN87" s="338">
        <f t="shared" si="20"/>
        <v>25.9</v>
      </c>
      <c r="AO87" s="391">
        <f t="shared" si="44"/>
        <v>286.411</v>
      </c>
      <c r="AP87" s="391">
        <f t="shared" si="44"/>
        <v>360.58600000000001</v>
      </c>
      <c r="AQ87" s="394">
        <f t="shared" si="22"/>
        <v>25.9</v>
      </c>
      <c r="AR87" s="442"/>
      <c r="AS87" s="442"/>
      <c r="AT87" s="446"/>
    </row>
    <row r="88" spans="1:46" s="415" customFormat="1" ht="20.100000000000001" customHeight="1" x14ac:dyDescent="0.3">
      <c r="A88" s="409" t="s">
        <v>254</v>
      </c>
      <c r="B88" s="196">
        <v>63.442</v>
      </c>
      <c r="C88" s="393">
        <v>88.766000000000005</v>
      </c>
      <c r="D88" s="393">
        <f>IF(B88=0, "    ---- ", IF(ABS(ROUND(100/B88*C88-100,1))&lt;999,ROUND(100/B88*C88-100,1),IF(ROUND(100/B88*C88-100,1)&gt;999,999,-999)))</f>
        <v>39.9</v>
      </c>
      <c r="E88" s="196">
        <v>2215.8629999999998</v>
      </c>
      <c r="F88" s="393">
        <f>1169.68+85.575</f>
        <v>1255.2550000000001</v>
      </c>
      <c r="G88" s="393">
        <f t="shared" si="17"/>
        <v>-43.4</v>
      </c>
      <c r="H88" s="890">
        <v>70.099999999999994</v>
      </c>
      <c r="I88" s="390">
        <v>57.533000000000001</v>
      </c>
      <c r="J88" s="393"/>
      <c r="K88" s="196">
        <v>551.57000000000005</v>
      </c>
      <c r="L88" s="393">
        <v>162.5</v>
      </c>
      <c r="M88" s="382">
        <f>IF(K88=0, "    ---- ", IF(ABS(ROUND(100/K88*L88-100,1))&lt;999,ROUND(100/K88*L88-100,1),IF(ROUND(100/K88*L88-100,1)&gt;999,999,-999)))</f>
        <v>-70.5</v>
      </c>
      <c r="N88" s="196">
        <v>6.6934581499999997</v>
      </c>
      <c r="O88" s="393">
        <v>3.0064970400000002</v>
      </c>
      <c r="P88" s="338">
        <f>IF(N88=0, "    ---- ", IF(ABS(ROUND(100/N88*O88-100,1))&lt;999,ROUND(100/N88*O88-100,1),IF(ROUND(100/N88*O88-100,1)&gt;999,999,-999)))</f>
        <v>-55.1</v>
      </c>
      <c r="Q88" s="196">
        <v>7895.3134976000001</v>
      </c>
      <c r="R88" s="817">
        <v>7998.9354489099996</v>
      </c>
      <c r="S88" s="338">
        <f t="shared" si="42"/>
        <v>1.3</v>
      </c>
      <c r="T88" s="196">
        <v>7.2</v>
      </c>
      <c r="U88" s="393">
        <v>8.1</v>
      </c>
      <c r="V88" s="338">
        <f>IF(T88=0, "    ---- ", IF(ABS(ROUND(100/T88*U88-100,1))&lt;999,ROUND(100/T88*U88-100,1),IF(ROUND(100/T88*U88-100,1)&gt;999,999,-999)))</f>
        <v>12.5</v>
      </c>
      <c r="W88" s="196">
        <v>408.49</v>
      </c>
      <c r="X88" s="393">
        <v>377.24</v>
      </c>
      <c r="Y88" s="338">
        <f t="shared" si="23"/>
        <v>-7.7</v>
      </c>
      <c r="Z88" s="196">
        <v>952</v>
      </c>
      <c r="AA88" s="393">
        <v>85</v>
      </c>
      <c r="AB88" s="338">
        <f>IF(Z88=0, "    ---- ", IF(ABS(ROUND(100/Z88*AA88-100,1))&lt;999,ROUND(100/Z88*AA88-100,1),IF(ROUND(100/Z88*AA88-100,1)&gt;999,999,-999)))</f>
        <v>-91.1</v>
      </c>
      <c r="AC88" s="196">
        <v>13.530858970000001</v>
      </c>
      <c r="AD88" s="393">
        <v>23.066620570000001</v>
      </c>
      <c r="AE88" s="338">
        <f>IF(AC88=0, "    ---- ", IF(ABS(ROUND(100/AC88*AD88-100,1))&lt;999,ROUND(100/AC88*AD88-100,1),IF(ROUND(100/AC88*AD88-100,1)&gt;999,999,-999)))</f>
        <v>70.5</v>
      </c>
      <c r="AF88" s="196">
        <v>1154.6389999999999</v>
      </c>
      <c r="AG88" s="393">
        <v>591.92899999999997</v>
      </c>
      <c r="AH88" s="338">
        <f t="shared" si="25"/>
        <v>-48.7</v>
      </c>
      <c r="AI88" s="196">
        <v>8585</v>
      </c>
      <c r="AJ88" s="393">
        <v>4886</v>
      </c>
      <c r="AK88" s="338">
        <f t="shared" si="26"/>
        <v>-43.1</v>
      </c>
      <c r="AL88" s="391">
        <f t="shared" si="43"/>
        <v>21903.6174976</v>
      </c>
      <c r="AM88" s="391">
        <f t="shared" si="43"/>
        <v>15511.258448910001</v>
      </c>
      <c r="AN88" s="338">
        <f t="shared" si="20"/>
        <v>-29.2</v>
      </c>
      <c r="AO88" s="391">
        <f t="shared" si="44"/>
        <v>21923.841814719999</v>
      </c>
      <c r="AP88" s="391">
        <f t="shared" si="44"/>
        <v>15537.331566520001</v>
      </c>
      <c r="AQ88" s="394">
        <f t="shared" si="22"/>
        <v>-29.1</v>
      </c>
      <c r="AR88" s="442"/>
      <c r="AS88" s="442"/>
      <c r="AT88" s="446"/>
    </row>
    <row r="89" spans="1:46" s="415" customFormat="1" ht="20.100000000000001" customHeight="1" x14ac:dyDescent="0.3">
      <c r="A89" s="409" t="s">
        <v>255</v>
      </c>
      <c r="B89" s="196">
        <v>39.56</v>
      </c>
      <c r="C89" s="393">
        <v>33.012</v>
      </c>
      <c r="D89" s="393">
        <f>IF(B89=0, "    ---- ", IF(ABS(ROUND(100/B89*C89-100,1))&lt;999,ROUND(100/B89*C89-100,1),IF(ROUND(100/B89*C89-100,1)&gt;999,999,-999)))</f>
        <v>-16.600000000000001</v>
      </c>
      <c r="E89" s="196">
        <v>200.81100000000001</v>
      </c>
      <c r="F89" s="393">
        <v>153.35</v>
      </c>
      <c r="G89" s="393">
        <f t="shared" si="17"/>
        <v>-23.6</v>
      </c>
      <c r="H89" s="890">
        <v>25.1</v>
      </c>
      <c r="I89" s="390">
        <v>22.835999999999999</v>
      </c>
      <c r="J89" s="393">
        <f>IF(H89=0, "    ---- ", IF(ABS(ROUND(100/H89*I89-100,1))&lt;999,ROUND(100/H89*I89-100,1),IF(ROUND(100/H89*I89-100,1)&gt;999,999,-999)))</f>
        <v>-9</v>
      </c>
      <c r="K89" s="196">
        <v>13.09</v>
      </c>
      <c r="L89" s="393">
        <v>16.5</v>
      </c>
      <c r="M89" s="338">
        <f>IF(K89=0, "    ---- ", IF(ABS(ROUND(100/K89*L89-100,1))&lt;999,ROUND(100/K89*L89-100,1),IF(ROUND(100/K89*L89-100,1)&gt;999,999,-999)))</f>
        <v>26.1</v>
      </c>
      <c r="N89" s="196">
        <v>1.4770941399999999</v>
      </c>
      <c r="O89" s="393">
        <v>0.94617494000000002</v>
      </c>
      <c r="P89" s="338">
        <f>IF(N89=0, "    ---- ", IF(ABS(ROUND(100/N89*O89-100,1))&lt;999,ROUND(100/N89*O89-100,1),IF(ROUND(100/N89*O89-100,1)&gt;999,999,-999)))</f>
        <v>-35.9</v>
      </c>
      <c r="Q89" s="196">
        <v>225.20565593000001</v>
      </c>
      <c r="R89" s="817">
        <v>218.68290691999999</v>
      </c>
      <c r="S89" s="338">
        <f t="shared" si="42"/>
        <v>-2.9</v>
      </c>
      <c r="T89" s="196">
        <v>2.8</v>
      </c>
      <c r="U89" s="393">
        <v>4.2</v>
      </c>
      <c r="V89" s="338">
        <f>IF(T89=0, "    ---- ", IF(ABS(ROUND(100/T89*U89-100,1))&lt;999,ROUND(100/T89*U89-100,1),IF(ROUND(100/T89*U89-100,1)&gt;999,999,-999)))</f>
        <v>50</v>
      </c>
      <c r="W89" s="196">
        <v>31.54</v>
      </c>
      <c r="X89" s="393">
        <v>34.659999999999997</v>
      </c>
      <c r="Y89" s="338">
        <f t="shared" si="23"/>
        <v>9.9</v>
      </c>
      <c r="Z89" s="196">
        <v>43</v>
      </c>
      <c r="AA89" s="393">
        <v>96</v>
      </c>
      <c r="AB89" s="338">
        <f>IF(Z89=0, "    ---- ", IF(ABS(ROUND(100/Z89*AA89-100,1))&lt;999,ROUND(100/Z89*AA89-100,1),IF(ROUND(100/Z89*AA89-100,1)&gt;999,999,-999)))</f>
        <v>123.3</v>
      </c>
      <c r="AC89" s="196"/>
      <c r="AD89" s="393">
        <v>0.31797940000000002</v>
      </c>
      <c r="AE89" s="338" t="str">
        <f>IF(AC89=0, "    ---- ", IF(ABS(ROUND(100/AC89*AD89-100,1))&lt;999,ROUND(100/AC89*AD89-100,1),IF(ROUND(100/AC89*AD89-100,1)&gt;999,999,-999)))</f>
        <v xml:space="preserve">    ---- </v>
      </c>
      <c r="AF89" s="196">
        <v>184.93100000000001</v>
      </c>
      <c r="AG89" s="393">
        <v>95.161000000000001</v>
      </c>
      <c r="AH89" s="338">
        <f t="shared" si="25"/>
        <v>-48.5</v>
      </c>
      <c r="AI89" s="196">
        <v>139</v>
      </c>
      <c r="AJ89" s="393">
        <v>305</v>
      </c>
      <c r="AK89" s="338">
        <f t="shared" si="26"/>
        <v>119.4</v>
      </c>
      <c r="AL89" s="391">
        <f t="shared" si="43"/>
        <v>905.03765593000003</v>
      </c>
      <c r="AM89" s="391">
        <f t="shared" si="43"/>
        <v>979.40190691999987</v>
      </c>
      <c r="AN89" s="338">
        <f t="shared" si="20"/>
        <v>8.1999999999999993</v>
      </c>
      <c r="AO89" s="391">
        <f t="shared" si="44"/>
        <v>906.5147500700001</v>
      </c>
      <c r="AP89" s="391">
        <f t="shared" si="44"/>
        <v>980.66606125999988</v>
      </c>
      <c r="AQ89" s="394">
        <f t="shared" si="22"/>
        <v>8.1999999999999993</v>
      </c>
      <c r="AR89" s="442"/>
      <c r="AS89" s="442"/>
      <c r="AT89" s="446"/>
    </row>
    <row r="90" spans="1:46" s="415" customFormat="1" ht="20.100000000000001" customHeight="1" x14ac:dyDescent="0.3">
      <c r="A90" s="409"/>
      <c r="B90" s="196"/>
      <c r="C90" s="393"/>
      <c r="D90" s="338"/>
      <c r="E90" s="196"/>
      <c r="F90" s="393"/>
      <c r="G90" s="338"/>
      <c r="H90" s="890"/>
      <c r="I90" s="390"/>
      <c r="J90" s="338"/>
      <c r="K90" s="196"/>
      <c r="L90" s="393"/>
      <c r="M90" s="338"/>
      <c r="N90" s="196"/>
      <c r="O90" s="393"/>
      <c r="P90" s="338"/>
      <c r="Q90" s="196"/>
      <c r="R90" s="393"/>
      <c r="S90" s="338"/>
      <c r="T90" s="196"/>
      <c r="U90" s="393"/>
      <c r="V90" s="338"/>
      <c r="W90" s="196"/>
      <c r="X90" s="393"/>
      <c r="Y90" s="338"/>
      <c r="Z90" s="196"/>
      <c r="AA90" s="393"/>
      <c r="AB90" s="338"/>
      <c r="AC90" s="196"/>
      <c r="AD90" s="393"/>
      <c r="AE90" s="338"/>
      <c r="AF90" s="196"/>
      <c r="AG90" s="393"/>
      <c r="AH90" s="338"/>
      <c r="AI90" s="196"/>
      <c r="AJ90" s="393"/>
      <c r="AK90" s="338"/>
      <c r="AL90" s="384"/>
      <c r="AM90" s="384"/>
      <c r="AN90" s="338"/>
      <c r="AO90" s="384"/>
      <c r="AP90" s="384"/>
      <c r="AQ90" s="394"/>
      <c r="AR90" s="442"/>
      <c r="AS90" s="442"/>
      <c r="AT90" s="446"/>
    </row>
    <row r="91" spans="1:46" s="450" customFormat="1" ht="20.100000000000001" customHeight="1" x14ac:dyDescent="0.3">
      <c r="A91" s="412" t="s">
        <v>256</v>
      </c>
      <c r="B91" s="847">
        <v>18635.527000000002</v>
      </c>
      <c r="C91" s="399">
        <f>SUM(C68+C69+C71+C79+C85+C86+C87+C88+C89)</f>
        <v>22836.272999999997</v>
      </c>
      <c r="D91" s="400">
        <f>IF(B91=0, "    ---- ", IF(ABS(ROUND(100/B91*C91-100,1))&lt;999,ROUND(100/B91*C91-100,1),IF(ROUND(100/B91*C91-100,1)&gt;999,999,-999)))</f>
        <v>22.5</v>
      </c>
      <c r="E91" s="199">
        <v>315114.49400000001</v>
      </c>
      <c r="F91" s="399">
        <f>SUM(F68+F69+F71+F79+F85+F86+F87+F88+F89)</f>
        <v>338885.16400000005</v>
      </c>
      <c r="G91" s="400">
        <f t="shared" si="17"/>
        <v>7.5</v>
      </c>
      <c r="H91" s="759">
        <f>SUM(H68+H69+H71+H79+H85+H86+H87+H88+H89)</f>
        <v>4773.5</v>
      </c>
      <c r="I91" s="759">
        <f>SUM(I68+I69+I71+I79+I85+I86+I87+I88+I89)</f>
        <v>5903.4140000000007</v>
      </c>
      <c r="J91" s="400">
        <f>IF(H91=0, "    ---- ", IF(ABS(ROUND(100/H91*I91-100,1))&lt;999,ROUND(100/H91*I91-100,1),IF(ROUND(100/H91*I91-100,1)&gt;999,999,-999)))</f>
        <v>23.7</v>
      </c>
      <c r="K91" s="199">
        <v>32370.341999999997</v>
      </c>
      <c r="L91" s="399">
        <f>SUM(L68+L69+L71+L79+L85+L86+L87+L88+L89)</f>
        <v>38815.500000000007</v>
      </c>
      <c r="M91" s="400">
        <f>IF(K91=0, "    ---- ", IF(ABS(ROUND(100/K91*L91-100,1))&lt;999,ROUND(100/K91*L91-100,1),IF(ROUND(100/K91*L91-100,1)&gt;999,999,-999)))</f>
        <v>19.899999999999999</v>
      </c>
      <c r="N91" s="199">
        <v>145.17055228999999</v>
      </c>
      <c r="O91" s="399">
        <f>SUM(O68+O69+O71+O79+O85+O86+O87+O88+O89)</f>
        <v>148.08570469999998</v>
      </c>
      <c r="P91" s="400">
        <f>IF(N91=0, "    ---- ", IF(ABS(ROUND(100/N91*O91-100,1))&lt;999,ROUND(100/N91*O91-100,1),IF(ROUND(100/N91*O91-100,1)&gt;999,999,-999)))</f>
        <v>2</v>
      </c>
      <c r="Q91" s="199">
        <v>558719.23128207994</v>
      </c>
      <c r="R91" s="399">
        <f>SUM(R68+R69+R71+R79+R85+R86+R87+R88+R89)</f>
        <v>621517.66450794984</v>
      </c>
      <c r="S91" s="400">
        <f t="shared" si="42"/>
        <v>11.2</v>
      </c>
      <c r="T91" s="199">
        <v>5601.0999999999995</v>
      </c>
      <c r="U91" s="399">
        <f>SUM(U68+U69+U71+U79+U85+U86+U87+U88+U89)</f>
        <v>7259.4999999999991</v>
      </c>
      <c r="V91" s="400">
        <f>IF(T91=0, "    ---- ", IF(ABS(ROUND(100/T91*U91-100,1))&lt;999,ROUND(100/T91*U91-100,1),IF(ROUND(100/T91*U91-100,1)&gt;999,999,-999)))</f>
        <v>29.6</v>
      </c>
      <c r="W91" s="199">
        <v>120536.59608899998</v>
      </c>
      <c r="X91" s="399">
        <f>SUM(X68+X69+X71+X79+X85+X86+X87+X88+X89)</f>
        <v>141695.06425290002</v>
      </c>
      <c r="Y91" s="400">
        <f t="shared" si="23"/>
        <v>17.600000000000001</v>
      </c>
      <c r="Z91" s="199">
        <v>96025</v>
      </c>
      <c r="AA91" s="399">
        <f>SUM(AA68+AA69+AA71+AA79+AA85+AA86+AA87+AA88+AA89)</f>
        <v>104581</v>
      </c>
      <c r="AB91" s="400">
        <f>IF(Z91=0, "    ---- ", IF(ABS(ROUND(100/Z91*AA91-100,1))&lt;999,ROUND(100/Z91*AA91-100,1),IF(ROUND(100/Z91*AA91-100,1)&gt;999,999,-999)))</f>
        <v>8.9</v>
      </c>
      <c r="AC91" s="199">
        <v>2143.9003303299996</v>
      </c>
      <c r="AD91" s="399">
        <f>SUM(AD68+AD69+AD71+AD79+AD85+AD86+AD87+AD88+AD89)</f>
        <v>2628.5382914399997</v>
      </c>
      <c r="AE91" s="400">
        <f>IF(AC91=0, "    ---- ", IF(ABS(ROUND(100/AC91*AD91-100,1))&lt;999,ROUND(100/AC91*AD91-100,1),IF(ROUND(100/AC91*AD91-100,1)&gt;999,999,-999)))</f>
        <v>22.6</v>
      </c>
      <c r="AF91" s="199">
        <v>58561.275000000001</v>
      </c>
      <c r="AG91" s="399">
        <f>SUM(AG68+AG69+AG71+AG79+AG85+AG86+AG87+AG88+AG89)</f>
        <v>70271.402999999991</v>
      </c>
      <c r="AH91" s="400">
        <f t="shared" si="25"/>
        <v>20</v>
      </c>
      <c r="AI91" s="199">
        <v>320950.8</v>
      </c>
      <c r="AJ91" s="399">
        <f>SUM(AJ68+AJ69+AJ71+AJ79+AJ85+AJ86+AJ87+AJ88+AJ89)</f>
        <v>343057</v>
      </c>
      <c r="AK91" s="400">
        <f t="shared" si="26"/>
        <v>6.9</v>
      </c>
      <c r="AL91" s="401">
        <f>B91+E91+H91+K91+Q91+T91+W91+Z91+AF91+AI91</f>
        <v>1531287.8653710799</v>
      </c>
      <c r="AM91" s="401">
        <f>C91+F91+I91+L91+R91+U91+X91+AA91+AG91+AJ91</f>
        <v>1694821.9827608499</v>
      </c>
      <c r="AN91" s="400">
        <f t="shared" si="20"/>
        <v>10.7</v>
      </c>
      <c r="AO91" s="402">
        <f>B91+E91+H91+K91+N91+Q91+T91+W91+Z91+AC91+AF91+AI91</f>
        <v>1533576.9362536999</v>
      </c>
      <c r="AP91" s="402">
        <f>C91+F91+I91+L91+O91+R91+U91+X91+AA91+AD91+AG91+AJ91</f>
        <v>1697598.6067569898</v>
      </c>
      <c r="AQ91" s="403">
        <f t="shared" si="22"/>
        <v>10.7</v>
      </c>
      <c r="AR91" s="448"/>
      <c r="AS91" s="442"/>
      <c r="AT91" s="446"/>
    </row>
    <row r="92" spans="1:46" ht="18.75" customHeight="1" x14ac:dyDescent="0.3">
      <c r="A92" s="413" t="s">
        <v>257</v>
      </c>
      <c r="B92" s="413"/>
      <c r="Q92" s="413"/>
      <c r="R92" s="415"/>
      <c r="X92" s="416"/>
      <c r="Y92" s="416"/>
      <c r="Z92" s="416"/>
      <c r="AA92" s="416"/>
      <c r="AB92" s="416"/>
      <c r="AC92" s="416"/>
      <c r="AD92" s="416"/>
      <c r="AE92" s="416"/>
      <c r="AF92" s="413"/>
      <c r="AI92" s="413"/>
    </row>
    <row r="93" spans="1:46" ht="18.75" customHeight="1" x14ac:dyDescent="0.3">
      <c r="A93" s="413" t="s">
        <v>258</v>
      </c>
      <c r="Q93" s="413"/>
      <c r="R93" s="415"/>
      <c r="X93" s="416"/>
      <c r="Y93" s="416"/>
      <c r="Z93" s="416"/>
      <c r="AA93" s="416"/>
      <c r="AB93" s="416"/>
      <c r="AC93" s="416"/>
      <c r="AD93" s="416"/>
      <c r="AE93" s="416"/>
      <c r="AF93" s="413"/>
      <c r="AI93" s="413"/>
    </row>
    <row r="94" spans="1:46" s="417" customFormat="1" ht="18.75" customHeight="1" x14ac:dyDescent="0.3">
      <c r="A94" s="413" t="s">
        <v>259</v>
      </c>
      <c r="Q94" s="413"/>
      <c r="R94" s="413"/>
      <c r="Y94" s="418"/>
      <c r="Z94" s="418"/>
      <c r="AA94" s="418"/>
      <c r="AB94" s="418"/>
      <c r="AC94" s="418"/>
      <c r="AD94" s="418"/>
      <c r="AE94" s="418"/>
      <c r="AR94" s="451"/>
      <c r="AS94" s="451"/>
    </row>
    <row r="95" spans="1:46" s="417" customFormat="1" ht="18.75" x14ac:dyDescent="0.3">
      <c r="Q95" s="413"/>
      <c r="R95" s="413"/>
      <c r="AR95" s="451"/>
      <c r="AS95" s="451"/>
    </row>
    <row r="96" spans="1:46" s="417" customFormat="1" ht="18.75" x14ac:dyDescent="0.3">
      <c r="Q96" s="413"/>
      <c r="R96" s="413"/>
    </row>
    <row r="97" spans="17:18" s="417" customFormat="1" ht="18.75" x14ac:dyDescent="0.3">
      <c r="Q97" s="413"/>
      <c r="R97" s="413"/>
    </row>
    <row r="98" spans="17:18" s="417" customFormat="1" ht="18.75" x14ac:dyDescent="0.3">
      <c r="Q98" s="413"/>
      <c r="R98" s="413"/>
    </row>
    <row r="99" spans="17:18" s="417" customFormat="1" ht="18.75" x14ac:dyDescent="0.3">
      <c r="Q99" s="413"/>
      <c r="R99" s="413"/>
    </row>
    <row r="100" spans="17:18" s="417" customFormat="1" ht="18.75" x14ac:dyDescent="0.3">
      <c r="Q100" s="413"/>
      <c r="R100" s="413"/>
    </row>
    <row r="101" spans="17:18" s="417" customFormat="1" ht="18.75" x14ac:dyDescent="0.3">
      <c r="Q101" s="413"/>
      <c r="R101" s="413"/>
    </row>
    <row r="102" spans="17:18" s="417" customFormat="1" ht="18.75" x14ac:dyDescent="0.3">
      <c r="Q102" s="413"/>
      <c r="R102" s="413"/>
    </row>
    <row r="103" spans="17:18" s="417" customFormat="1" ht="18.75" x14ac:dyDescent="0.3">
      <c r="Q103" s="413"/>
      <c r="R103" s="413"/>
    </row>
    <row r="104" spans="17:18" s="417" customFormat="1" ht="18.75" x14ac:dyDescent="0.3">
      <c r="Q104" s="413"/>
      <c r="R104" s="413"/>
    </row>
    <row r="105" spans="17:18" s="417" customFormat="1" ht="18.75" x14ac:dyDescent="0.3">
      <c r="Q105" s="413"/>
      <c r="R105" s="413"/>
    </row>
    <row r="106" spans="17:18" s="417" customFormat="1" ht="18.75" x14ac:dyDescent="0.3">
      <c r="Q106" s="413"/>
      <c r="R106" s="413"/>
    </row>
    <row r="107" spans="17:18" s="417" customFormat="1" ht="18.75" x14ac:dyDescent="0.3">
      <c r="Q107" s="413"/>
      <c r="R107" s="413"/>
    </row>
    <row r="108" spans="17:18" s="417" customFormat="1" ht="18.75" x14ac:dyDescent="0.3">
      <c r="Q108" s="413"/>
      <c r="R108" s="413"/>
    </row>
    <row r="109" spans="17:18" s="417" customFormat="1" ht="18.75" x14ac:dyDescent="0.3">
      <c r="Q109" s="413"/>
      <c r="R109" s="413"/>
    </row>
    <row r="110" spans="17:18" s="417" customFormat="1" ht="18.75" x14ac:dyDescent="0.3">
      <c r="Q110" s="413"/>
      <c r="R110" s="413"/>
    </row>
    <row r="111" spans="17:18" s="417" customFormat="1" ht="18.75" x14ac:dyDescent="0.3">
      <c r="Q111" s="413"/>
      <c r="R111" s="413"/>
    </row>
    <row r="112" spans="17:18" s="453" customFormat="1" ht="15.75" x14ac:dyDescent="0.25">
      <c r="Q112" s="452"/>
      <c r="R112" s="452"/>
    </row>
    <row r="113" spans="17:18" s="453" customFormat="1" ht="15.75" x14ac:dyDescent="0.25">
      <c r="Q113" s="452"/>
      <c r="R113" s="452"/>
    </row>
    <row r="114" spans="17:18" x14ac:dyDescent="0.2">
      <c r="Q114" s="415"/>
      <c r="R114" s="415"/>
    </row>
    <row r="115" spans="17:18" x14ac:dyDescent="0.2">
      <c r="Q115" s="415"/>
      <c r="R115" s="415"/>
    </row>
    <row r="116" spans="17:18" x14ac:dyDescent="0.2">
      <c r="Q116" s="415"/>
      <c r="R116" s="415"/>
    </row>
    <row r="117" spans="17:18" x14ac:dyDescent="0.2">
      <c r="Q117" s="415"/>
      <c r="R117" s="415"/>
    </row>
    <row r="118" spans="17:18" x14ac:dyDescent="0.2">
      <c r="Q118" s="415"/>
      <c r="R118" s="415"/>
    </row>
    <row r="119" spans="17:18" x14ac:dyDescent="0.2">
      <c r="Q119" s="415"/>
      <c r="R119" s="415"/>
    </row>
    <row r="120" spans="17:18" x14ac:dyDescent="0.2">
      <c r="Q120" s="415"/>
      <c r="R120" s="415"/>
    </row>
    <row r="121" spans="17:18" x14ac:dyDescent="0.2">
      <c r="Q121" s="415"/>
      <c r="R121" s="415"/>
    </row>
    <row r="122" spans="17:18" x14ac:dyDescent="0.2">
      <c r="Q122" s="415"/>
      <c r="R122" s="415"/>
    </row>
    <row r="123" spans="17:18" x14ac:dyDescent="0.2">
      <c r="Q123" s="415"/>
      <c r="R123" s="415"/>
    </row>
    <row r="124" spans="17:18" x14ac:dyDescent="0.2">
      <c r="Q124" s="415"/>
      <c r="R124" s="415"/>
    </row>
    <row r="125" spans="17:18" x14ac:dyDescent="0.2">
      <c r="Q125" s="415"/>
      <c r="R125" s="415"/>
    </row>
    <row r="126" spans="17:18" x14ac:dyDescent="0.2">
      <c r="Q126" s="415"/>
      <c r="R126" s="415"/>
    </row>
    <row r="127" spans="17:18" x14ac:dyDescent="0.2">
      <c r="Q127" s="415"/>
      <c r="R127" s="415"/>
    </row>
    <row r="128" spans="17:18" x14ac:dyDescent="0.2">
      <c r="Q128" s="415"/>
      <c r="R128" s="415"/>
    </row>
    <row r="129" spans="17:18" x14ac:dyDescent="0.2">
      <c r="Q129" s="415"/>
      <c r="R129" s="415"/>
    </row>
    <row r="130" spans="17:18" x14ac:dyDescent="0.2">
      <c r="Q130" s="415"/>
      <c r="R130" s="415"/>
    </row>
    <row r="131" spans="17:18" x14ac:dyDescent="0.2">
      <c r="Q131" s="415"/>
      <c r="R131" s="415"/>
    </row>
  </sheetData>
  <mergeCells count="35">
    <mergeCell ref="T5:V5"/>
    <mergeCell ref="BF5:BH5"/>
    <mergeCell ref="Z5:AB5"/>
    <mergeCell ref="AF5:AH5"/>
    <mergeCell ref="AI5:AK5"/>
    <mergeCell ref="AL5:AN5"/>
    <mergeCell ref="AO5:AQ5"/>
    <mergeCell ref="K6:M6"/>
    <mergeCell ref="N6:P6"/>
    <mergeCell ref="H5:J5"/>
    <mergeCell ref="K5:M5"/>
    <mergeCell ref="N5:P5"/>
    <mergeCell ref="B5:D5"/>
    <mergeCell ref="E5:G5"/>
    <mergeCell ref="AZ5:BB5"/>
    <mergeCell ref="BC5:BE5"/>
    <mergeCell ref="Q6:S6"/>
    <mergeCell ref="T6:V6"/>
    <mergeCell ref="W6:Y6"/>
    <mergeCell ref="Z6:AB6"/>
    <mergeCell ref="AC6:AE6"/>
    <mergeCell ref="AZ6:BB6"/>
    <mergeCell ref="BC6:BE6"/>
    <mergeCell ref="AT5:AV5"/>
    <mergeCell ref="AW5:AY5"/>
    <mergeCell ref="B6:D6"/>
    <mergeCell ref="E6:G6"/>
    <mergeCell ref="H6:J6"/>
    <mergeCell ref="BF6:BH6"/>
    <mergeCell ref="AF6:AH6"/>
    <mergeCell ref="AI6:AK6"/>
    <mergeCell ref="AL6:AN6"/>
    <mergeCell ref="AO6:AQ6"/>
    <mergeCell ref="AT6:AV6"/>
    <mergeCell ref="AW6:AY6"/>
  </mergeCells>
  <conditionalFormatting sqref="K91:L91 B91:C91 Z91:AA91 AI91:AJ91 W91:X91 E91:F91 H91:I91 N91:O91 AC91:AD91 T91:U91 AF91:AG91 AL91:AM91 AO91:AP91">
    <cfRule type="expression" dxfId="46" priority="1478">
      <formula>#REF! = "64≠94"</formula>
    </cfRule>
  </conditionalFormatting>
  <conditionalFormatting sqref="K91:L91 B91:C91 Z91:AA91 AI91:AJ91 W91:X91 E91:F91 H91:I91 N91:O91 AC91:AD91 T91:U91 AF91:AG91 AL91:AM91 AO91:AP91">
    <cfRule type="expression" dxfId="45" priority="1480">
      <formula>#REF! = "94≠68+69+71+80+88+89+90+91+92"</formula>
    </cfRule>
  </conditionalFormatting>
  <conditionalFormatting sqref="K35:L35 B35:C35 Z35:AA35 AI35:AJ35 W35:X35 E35:F35 H35:I35 N35:O35 AC35:AD35 T35:U35 AF35:AG35">
    <cfRule type="expression" dxfId="44" priority="1482">
      <formula>#REF! ="35≠36+38"</formula>
    </cfRule>
  </conditionalFormatting>
  <conditionalFormatting sqref="K39:L39 B39:C39 Z39:AA39 AI39:AJ39 W39:X39 E39:F39 H39:I39 N39:O39 AC39:AD39 T39:U39 AF39:AG39">
    <cfRule type="expression" dxfId="43" priority="1483">
      <formula>#REF! ="39≠40+41+42+43+44"</formula>
    </cfRule>
  </conditionalFormatting>
  <conditionalFormatting sqref="K45:L45 B45:C45 Z45:AA45 AI45:AJ45 W45:X45 E45:F45 H45:I45 N45:O45 AC45:AD45 T45:U45 AF45:AG45">
    <cfRule type="expression" dxfId="42" priority="1484">
      <formula>#REF! ="45≠33+34+35+39"</formula>
    </cfRule>
  </conditionalFormatting>
  <conditionalFormatting sqref="K50:L50 B50:C50 Z50:AA50 AI50:AJ50 W50:X50 E50:F50 H50:I50 N50:O50 AC50:AD50 T50:U50 AF50:AG50">
    <cfRule type="expression" dxfId="41" priority="1485">
      <formula>#REF! ="50≠51+53"</formula>
    </cfRule>
  </conditionalFormatting>
  <conditionalFormatting sqref="K54:L54 B54:C54 Z54:AA54 AI54:AJ54 W54:X54 E54:F54 H54:I54 N54:O54 AC54:AD54 T54:U54 AF54:AG54">
    <cfRule type="expression" dxfId="40" priority="1486">
      <formula>#REF! ="54≠55+56+57+58+59"</formula>
    </cfRule>
  </conditionalFormatting>
  <conditionalFormatting sqref="K60:L60 B60:C60 Z60:AA60 AI60:AJ60 W60:X60 E60:F60 H60:I60 N60:O60 AC60:AD60 T60:U60 AF60:AG60">
    <cfRule type="expression" dxfId="39" priority="1487">
      <formula>#REF! ="60≠48+49+50+54"</formula>
    </cfRule>
  </conditionalFormatting>
  <conditionalFormatting sqref="K62:L62 B62:C62 Z62:AA62 AI62:AJ62 W62:X62 E62:F62 H62:I62 N62:O62 AC62:AD62 T62:U62 AF62:AG62">
    <cfRule type="expression" dxfId="38" priority="1488">
      <formula>#REF! ="62≠45+46+60+61"</formula>
    </cfRule>
  </conditionalFormatting>
  <conditionalFormatting sqref="K64:L64 B64:C64 Z64:AA64 AI64:AJ64 W64:X64 E64:F64 H64:I64 N64:O64 AC64:AD64 T64:U64 AF64:AG64">
    <cfRule type="expression" dxfId="37" priority="1489">
      <formula>#REF! ="64≠29+62"</formula>
    </cfRule>
  </conditionalFormatting>
  <conditionalFormatting sqref="K79:L79 B79:C79 Z79:AA79 AI79:AJ79 W79:X79 E79:F79 H79:I79 N79:O79 AC79:AD79 T79:U79 AF79:AG79">
    <cfRule type="expression" dxfId="36" priority="1490">
      <formula>#REF! ="80≠73+74+75+76+77+78+79"</formula>
    </cfRule>
  </conditionalFormatting>
  <conditionalFormatting sqref="K85:L85 B85:C85 Z85:AA85 AI85:AJ85 W85:X85 E85:F85 H85:I85 N85:O85 AC85:AD85 T85:U85 AF85:AG85">
    <cfRule type="expression" dxfId="35" priority="1491">
      <formula>#REF! ="88≠82+83+84+85+86+87"</formula>
    </cfRule>
  </conditionalFormatting>
  <conditionalFormatting sqref="Q91:R91">
    <cfRule type="expression" dxfId="34" priority="1">
      <formula>Q$106 = "94≠68+69+71+80+88+89+90+91+92"</formula>
    </cfRule>
  </conditionalFormatting>
  <conditionalFormatting sqref="Q35:R35">
    <cfRule type="expression" dxfId="33" priority="12">
      <formula>Q$96 ="35≠36+38"</formula>
    </cfRule>
  </conditionalFormatting>
  <conditionalFormatting sqref="Q39:R39">
    <cfRule type="expression" dxfId="32" priority="11">
      <formula>Q$97 ="39≠40+41+42+43+44"</formula>
    </cfRule>
  </conditionalFormatting>
  <conditionalFormatting sqref="Q45:R45">
    <cfRule type="expression" dxfId="31" priority="10">
      <formula>Q$98 ="45≠33+34+35+39"</formula>
    </cfRule>
  </conditionalFormatting>
  <conditionalFormatting sqref="Q50:R50">
    <cfRule type="expression" dxfId="30" priority="9">
      <formula>Q$99 ="50≠51+53"</formula>
    </cfRule>
  </conditionalFormatting>
  <conditionalFormatting sqref="Q54:R54">
    <cfRule type="expression" dxfId="29" priority="8">
      <formula>Q$100 ="54≠55+56+57+58+59"</formula>
    </cfRule>
  </conditionalFormatting>
  <conditionalFormatting sqref="Q60:R60">
    <cfRule type="expression" dxfId="28" priority="7">
      <formula>Q$101 ="60≠48+49+50+54"</formula>
    </cfRule>
  </conditionalFormatting>
  <conditionalFormatting sqref="Q62:R62">
    <cfRule type="expression" dxfId="27" priority="6">
      <formula>Q$102 ="62≠45+46+60+61"</formula>
    </cfRule>
  </conditionalFormatting>
  <conditionalFormatting sqref="Q64:R64">
    <cfRule type="expression" dxfId="26" priority="5">
      <formula>Q$103 ="64≠29+62"</formula>
    </cfRule>
  </conditionalFormatting>
  <conditionalFormatting sqref="Q79:R79">
    <cfRule type="expression" dxfId="25" priority="4">
      <formula>Q$104 ="80≠73+74+75+76+77+78+79"</formula>
    </cfRule>
  </conditionalFormatting>
  <conditionalFormatting sqref="Q85:R85">
    <cfRule type="expression" dxfId="24" priority="3">
      <formula>Q$105 ="88≠82+83+84+85+86+87"</formula>
    </cfRule>
  </conditionalFormatting>
  <conditionalFormatting sqref="Q91:R91">
    <cfRule type="expression" dxfId="23" priority="2">
      <formula>Q$107 = "64≠94"</formula>
    </cfRule>
  </conditionalFormatting>
  <hyperlinks>
    <hyperlink ref="B1" location="Innhold!A1" display="Tilbake" xr:uid="{00000000-0004-0000-22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B86"/>
  <sheetViews>
    <sheetView showGridLines="0" zoomScale="70" zoomScaleNormal="7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84.5703125" style="641" customWidth="1"/>
    <col min="2" max="34" width="11.7109375" style="641" customWidth="1"/>
    <col min="35" max="36" width="13" style="641" bestFit="1" customWidth="1"/>
    <col min="37" max="37" width="11.7109375" style="641" customWidth="1"/>
    <col min="38" max="38" width="12.140625" style="641" bestFit="1" customWidth="1"/>
    <col min="39" max="16384" width="11.42578125" style="641"/>
  </cols>
  <sheetData>
    <row r="1" spans="1:54" ht="20.25" customHeight="1" x14ac:dyDescent="0.3">
      <c r="A1" s="640" t="s">
        <v>176</v>
      </c>
      <c r="B1" s="420" t="s">
        <v>52</v>
      </c>
      <c r="AL1" s="642"/>
    </row>
    <row r="2" spans="1:54" ht="20.100000000000001" customHeight="1" x14ac:dyDescent="0.3">
      <c r="A2" s="640" t="s">
        <v>409</v>
      </c>
      <c r="AL2" s="642"/>
    </row>
    <row r="3" spans="1:54" ht="20.100000000000001" customHeight="1" x14ac:dyDescent="0.3">
      <c r="A3" s="643" t="s">
        <v>410</v>
      </c>
      <c r="AL3" s="644"/>
    </row>
    <row r="4" spans="1:54" ht="18.75" customHeight="1" x14ac:dyDescent="0.25">
      <c r="A4" s="645" t="s">
        <v>367</v>
      </c>
      <c r="B4" s="646"/>
      <c r="C4" s="647"/>
      <c r="D4" s="648"/>
      <c r="E4" s="647"/>
      <c r="F4" s="647"/>
      <c r="G4" s="647"/>
      <c r="H4" s="647"/>
      <c r="I4" s="647"/>
      <c r="J4" s="648"/>
      <c r="K4" s="646"/>
      <c r="L4" s="647"/>
      <c r="M4" s="648"/>
      <c r="N4" s="646"/>
      <c r="O4" s="647"/>
      <c r="P4" s="648"/>
      <c r="Q4" s="646"/>
      <c r="R4" s="647"/>
      <c r="S4" s="648"/>
      <c r="T4" s="646"/>
      <c r="U4" s="647"/>
      <c r="V4" s="648"/>
      <c r="W4" s="646"/>
      <c r="X4" s="647"/>
      <c r="Y4" s="648"/>
      <c r="Z4" s="646"/>
      <c r="AA4" s="647"/>
      <c r="AB4" s="648"/>
      <c r="AC4" s="646"/>
      <c r="AD4" s="647"/>
      <c r="AE4" s="648"/>
      <c r="AF4" s="646"/>
      <c r="AG4" s="647"/>
      <c r="AH4" s="648"/>
      <c r="AI4" s="646"/>
      <c r="AJ4" s="647"/>
      <c r="AK4" s="648"/>
      <c r="AL4" s="649"/>
      <c r="AM4" s="650"/>
      <c r="AN4" s="650"/>
      <c r="AO4" s="650"/>
      <c r="AP4" s="650"/>
      <c r="AQ4" s="650"/>
      <c r="AR4" s="650"/>
      <c r="AS4" s="650"/>
      <c r="AT4" s="650"/>
      <c r="AU4" s="650"/>
      <c r="AV4" s="650"/>
      <c r="AW4" s="650"/>
      <c r="AX4" s="650"/>
      <c r="AY4" s="650"/>
      <c r="AZ4" s="650"/>
      <c r="BA4" s="650"/>
      <c r="BB4" s="650"/>
    </row>
    <row r="5" spans="1:54" ht="18.75" customHeight="1" x14ac:dyDescent="0.3">
      <c r="A5" s="471" t="s">
        <v>411</v>
      </c>
      <c r="B5" s="979" t="s">
        <v>179</v>
      </c>
      <c r="C5" s="980"/>
      <c r="D5" s="981"/>
      <c r="E5" s="979" t="s">
        <v>180</v>
      </c>
      <c r="F5" s="980"/>
      <c r="G5" s="981"/>
      <c r="H5" s="979" t="s">
        <v>181</v>
      </c>
      <c r="I5" s="980"/>
      <c r="J5" s="981"/>
      <c r="K5" s="979" t="s">
        <v>182</v>
      </c>
      <c r="L5" s="980"/>
      <c r="M5" s="981"/>
      <c r="N5" s="979" t="s">
        <v>183</v>
      </c>
      <c r="O5" s="980"/>
      <c r="P5" s="981"/>
      <c r="Q5" s="931" t="s">
        <v>183</v>
      </c>
      <c r="R5" s="932"/>
      <c r="S5" s="933"/>
      <c r="T5" s="979" t="s">
        <v>63</v>
      </c>
      <c r="U5" s="980"/>
      <c r="V5" s="981"/>
      <c r="W5" s="852"/>
      <c r="X5" s="853"/>
      <c r="Y5" s="854"/>
      <c r="Z5" s="979" t="s">
        <v>184</v>
      </c>
      <c r="AA5" s="980"/>
      <c r="AB5" s="981"/>
      <c r="AC5" s="979"/>
      <c r="AD5" s="980"/>
      <c r="AE5" s="981"/>
      <c r="AF5" s="979" t="s">
        <v>75</v>
      </c>
      <c r="AG5" s="980"/>
      <c r="AH5" s="981"/>
      <c r="AI5" s="979" t="s">
        <v>412</v>
      </c>
      <c r="AJ5" s="980"/>
      <c r="AK5" s="981"/>
      <c r="AL5" s="651"/>
      <c r="AM5" s="652"/>
      <c r="AN5" s="1013"/>
      <c r="AO5" s="1013"/>
      <c r="AP5" s="1013"/>
      <c r="AQ5" s="1013"/>
      <c r="AR5" s="1013"/>
      <c r="AS5" s="1013"/>
      <c r="AT5" s="1013"/>
      <c r="AU5" s="1013"/>
      <c r="AV5" s="1013"/>
      <c r="AW5" s="1013"/>
      <c r="AX5" s="1013"/>
      <c r="AY5" s="1013"/>
      <c r="AZ5" s="1013"/>
      <c r="BA5" s="1013"/>
      <c r="BB5" s="1013"/>
    </row>
    <row r="6" spans="1:54" ht="18.75" customHeight="1" x14ac:dyDescent="0.3">
      <c r="A6" s="472" t="s">
        <v>413</v>
      </c>
      <c r="B6" s="982" t="s">
        <v>185</v>
      </c>
      <c r="C6" s="983"/>
      <c r="D6" s="984"/>
      <c r="E6" s="982" t="s">
        <v>186</v>
      </c>
      <c r="F6" s="983"/>
      <c r="G6" s="984"/>
      <c r="H6" s="982" t="s">
        <v>186</v>
      </c>
      <c r="I6" s="983"/>
      <c r="J6" s="984"/>
      <c r="K6" s="982" t="s">
        <v>187</v>
      </c>
      <c r="L6" s="983"/>
      <c r="M6" s="984"/>
      <c r="N6" s="982" t="s">
        <v>93</v>
      </c>
      <c r="O6" s="983"/>
      <c r="P6" s="984"/>
      <c r="Q6" s="982" t="s">
        <v>63</v>
      </c>
      <c r="R6" s="983"/>
      <c r="S6" s="984"/>
      <c r="T6" s="982" t="s">
        <v>188</v>
      </c>
      <c r="U6" s="983"/>
      <c r="V6" s="984"/>
      <c r="W6" s="982" t="s">
        <v>68</v>
      </c>
      <c r="X6" s="983"/>
      <c r="Y6" s="984"/>
      <c r="Z6" s="982" t="s">
        <v>185</v>
      </c>
      <c r="AA6" s="983"/>
      <c r="AB6" s="984"/>
      <c r="AC6" s="982" t="s">
        <v>70</v>
      </c>
      <c r="AD6" s="983"/>
      <c r="AE6" s="984"/>
      <c r="AF6" s="982" t="s">
        <v>186</v>
      </c>
      <c r="AG6" s="983"/>
      <c r="AH6" s="984"/>
      <c r="AI6" s="982" t="s">
        <v>414</v>
      </c>
      <c r="AJ6" s="983"/>
      <c r="AK6" s="984"/>
      <c r="AL6" s="651"/>
      <c r="AM6" s="652"/>
      <c r="AN6" s="1013"/>
      <c r="AO6" s="1013"/>
      <c r="AP6" s="1013"/>
      <c r="AQ6" s="1013"/>
      <c r="AR6" s="1013"/>
      <c r="AS6" s="1013"/>
      <c r="AT6" s="1013"/>
      <c r="AU6" s="1013"/>
      <c r="AV6" s="1013"/>
      <c r="AW6" s="1013"/>
      <c r="AX6" s="1013"/>
      <c r="AY6" s="1013"/>
      <c r="AZ6" s="1013"/>
      <c r="BA6" s="1013"/>
      <c r="BB6" s="1013"/>
    </row>
    <row r="7" spans="1:54" ht="18.75" customHeight="1" x14ac:dyDescent="0.3">
      <c r="A7" s="472"/>
      <c r="B7" s="653"/>
      <c r="C7" s="653"/>
      <c r="D7" s="473" t="s">
        <v>83</v>
      </c>
      <c r="E7" s="653"/>
      <c r="F7" s="653"/>
      <c r="G7" s="473" t="s">
        <v>83</v>
      </c>
      <c r="H7" s="653"/>
      <c r="I7" s="653"/>
      <c r="J7" s="473" t="s">
        <v>83</v>
      </c>
      <c r="K7" s="653"/>
      <c r="L7" s="653"/>
      <c r="M7" s="473" t="s">
        <v>83</v>
      </c>
      <c r="N7" s="653"/>
      <c r="O7" s="653"/>
      <c r="P7" s="473" t="s">
        <v>83</v>
      </c>
      <c r="Q7" s="653"/>
      <c r="R7" s="653"/>
      <c r="S7" s="473" t="s">
        <v>83</v>
      </c>
      <c r="T7" s="653"/>
      <c r="U7" s="653"/>
      <c r="V7" s="473" t="s">
        <v>83</v>
      </c>
      <c r="W7" s="653"/>
      <c r="X7" s="653"/>
      <c r="Y7" s="473" t="s">
        <v>83</v>
      </c>
      <c r="Z7" s="653"/>
      <c r="AA7" s="653"/>
      <c r="AB7" s="473" t="s">
        <v>83</v>
      </c>
      <c r="AC7" s="653"/>
      <c r="AD7" s="653"/>
      <c r="AE7" s="473" t="s">
        <v>83</v>
      </c>
      <c r="AF7" s="653"/>
      <c r="AG7" s="653"/>
      <c r="AH7" s="473" t="s">
        <v>83</v>
      </c>
      <c r="AI7" s="653"/>
      <c r="AJ7" s="653"/>
      <c r="AK7" s="473" t="s">
        <v>83</v>
      </c>
      <c r="AL7" s="651"/>
      <c r="AM7" s="652"/>
      <c r="AN7" s="652"/>
      <c r="AO7" s="652"/>
      <c r="AP7" s="652"/>
      <c r="AQ7" s="652"/>
      <c r="AR7" s="652"/>
      <c r="AS7" s="652"/>
      <c r="AT7" s="652"/>
      <c r="AU7" s="652"/>
      <c r="AV7" s="652"/>
      <c r="AW7" s="652"/>
      <c r="AX7" s="652"/>
      <c r="AY7" s="652"/>
      <c r="AZ7" s="652"/>
      <c r="BA7" s="652"/>
      <c r="BB7" s="652"/>
    </row>
    <row r="8" spans="1:54" ht="18.75" customHeight="1" x14ac:dyDescent="0.25">
      <c r="A8" s="654" t="s">
        <v>293</v>
      </c>
      <c r="B8" s="842">
        <v>2018</v>
      </c>
      <c r="C8" s="842">
        <v>2019</v>
      </c>
      <c r="D8" s="475" t="s">
        <v>85</v>
      </c>
      <c r="E8" s="842">
        <v>2018</v>
      </c>
      <c r="F8" s="842">
        <v>2019</v>
      </c>
      <c r="G8" s="475" t="s">
        <v>85</v>
      </c>
      <c r="H8" s="914">
        <v>2018</v>
      </c>
      <c r="I8" s="842">
        <v>2019</v>
      </c>
      <c r="J8" s="475" t="s">
        <v>85</v>
      </c>
      <c r="K8" s="655">
        <v>2018</v>
      </c>
      <c r="L8" s="655">
        <v>2019</v>
      </c>
      <c r="M8" s="475" t="s">
        <v>85</v>
      </c>
      <c r="N8" s="842">
        <v>2018</v>
      </c>
      <c r="O8" s="842">
        <v>2019</v>
      </c>
      <c r="P8" s="475" t="s">
        <v>85</v>
      </c>
      <c r="Q8" s="842">
        <v>2018</v>
      </c>
      <c r="R8" s="655">
        <v>2019</v>
      </c>
      <c r="S8" s="475" t="s">
        <v>85</v>
      </c>
      <c r="T8" s="842">
        <v>2018</v>
      </c>
      <c r="U8" s="842">
        <v>2019</v>
      </c>
      <c r="V8" s="475" t="s">
        <v>85</v>
      </c>
      <c r="W8" s="842">
        <v>2018</v>
      </c>
      <c r="X8" s="842">
        <v>2019</v>
      </c>
      <c r="Y8" s="475" t="s">
        <v>85</v>
      </c>
      <c r="Z8" s="842">
        <v>2018</v>
      </c>
      <c r="AA8" s="842">
        <v>2019</v>
      </c>
      <c r="AB8" s="475" t="s">
        <v>85</v>
      </c>
      <c r="AC8" s="842">
        <v>2018</v>
      </c>
      <c r="AD8" s="842">
        <v>2019</v>
      </c>
      <c r="AE8" s="475" t="s">
        <v>85</v>
      </c>
      <c r="AF8" s="842">
        <v>2018</v>
      </c>
      <c r="AG8" s="842">
        <v>2019</v>
      </c>
      <c r="AH8" s="475" t="s">
        <v>85</v>
      </c>
      <c r="AI8" s="842">
        <v>2018</v>
      </c>
      <c r="AJ8" s="842">
        <v>2019</v>
      </c>
      <c r="AK8" s="475" t="s">
        <v>85</v>
      </c>
      <c r="AL8" s="651"/>
      <c r="AM8" s="656"/>
      <c r="AN8" s="657"/>
      <c r="AO8" s="657"/>
      <c r="AP8" s="656"/>
      <c r="AQ8" s="657"/>
      <c r="AR8" s="657"/>
      <c r="AS8" s="656"/>
      <c r="AT8" s="657"/>
      <c r="AU8" s="657"/>
      <c r="AV8" s="656"/>
      <c r="AW8" s="657"/>
      <c r="AX8" s="657"/>
      <c r="AY8" s="656"/>
      <c r="AZ8" s="657"/>
      <c r="BA8" s="657"/>
      <c r="BB8" s="656"/>
    </row>
    <row r="9" spans="1:54" s="494" customFormat="1" ht="18.75" customHeight="1" x14ac:dyDescent="0.3">
      <c r="A9" s="498"/>
      <c r="B9" s="800"/>
      <c r="C9" s="799"/>
      <c r="D9" s="486"/>
      <c r="E9" s="824"/>
      <c r="F9" s="825"/>
      <c r="G9" s="486"/>
      <c r="H9" s="824"/>
      <c r="I9" s="825"/>
      <c r="J9" s="486"/>
      <c r="K9" s="818"/>
      <c r="L9" s="819"/>
      <c r="M9" s="659"/>
      <c r="N9" s="919"/>
      <c r="O9" s="920"/>
      <c r="P9" s="486"/>
      <c r="Q9" s="800"/>
      <c r="R9" s="565"/>
      <c r="S9" s="486"/>
      <c r="T9" s="824"/>
      <c r="U9" s="825"/>
      <c r="V9" s="486"/>
      <c r="W9" s="824"/>
      <c r="X9" s="825"/>
      <c r="Y9" s="486"/>
      <c r="Z9" s="824"/>
      <c r="AA9" s="825"/>
      <c r="AB9" s="486"/>
      <c r="AC9" s="800"/>
      <c r="AD9" s="799"/>
      <c r="AE9" s="486"/>
      <c r="AF9" s="800"/>
      <c r="AG9" s="799"/>
      <c r="AH9" s="486"/>
      <c r="AI9" s="658"/>
      <c r="AJ9" s="658"/>
      <c r="AK9" s="486"/>
      <c r="AL9" s="660"/>
      <c r="AM9" s="660"/>
    </row>
    <row r="10" spans="1:54" s="494" customFormat="1" ht="18.75" customHeight="1" x14ac:dyDescent="0.3">
      <c r="A10" s="498" t="s">
        <v>415</v>
      </c>
      <c r="B10" s="824"/>
      <c r="C10" s="825"/>
      <c r="D10" s="486"/>
      <c r="E10" s="824"/>
      <c r="F10" s="825"/>
      <c r="G10" s="486"/>
      <c r="H10" s="824"/>
      <c r="I10" s="825"/>
      <c r="J10" s="486"/>
      <c r="K10" s="820"/>
      <c r="L10" s="821"/>
      <c r="M10" s="661"/>
      <c r="N10" s="921"/>
      <c r="O10" s="922"/>
      <c r="P10" s="486"/>
      <c r="Q10" s="824"/>
      <c r="R10" s="565"/>
      <c r="S10" s="486"/>
      <c r="T10" s="824"/>
      <c r="U10" s="825"/>
      <c r="V10" s="486"/>
      <c r="W10" s="824"/>
      <c r="X10" s="825"/>
      <c r="Y10" s="486"/>
      <c r="Z10" s="824"/>
      <c r="AA10" s="825"/>
      <c r="AB10" s="486"/>
      <c r="AC10" s="824"/>
      <c r="AD10" s="825"/>
      <c r="AE10" s="486"/>
      <c r="AF10" s="824"/>
      <c r="AG10" s="825"/>
      <c r="AH10" s="486"/>
      <c r="AI10" s="658"/>
      <c r="AJ10" s="658"/>
      <c r="AK10" s="486"/>
      <c r="AL10" s="660"/>
      <c r="AM10" s="660"/>
    </row>
    <row r="11" spans="1:54" s="668" customFormat="1" ht="18.75" customHeight="1" x14ac:dyDescent="0.3">
      <c r="A11" s="662" t="s">
        <v>416</v>
      </c>
      <c r="B11" s="822">
        <v>1088.4880000000001</v>
      </c>
      <c r="C11" s="823">
        <f>SUM(C12+C15+C18+C19+C21+C22)</f>
        <v>1098.96</v>
      </c>
      <c r="D11" s="663">
        <f>IF(B11=0, "    ---- ", IF(ABS(ROUND(100/B11*C11-100,1))&lt;999,ROUND(100/B11*C11-100,1),IF(ROUND(100/B11*C11-100,1)&gt;999,999,-999)))</f>
        <v>1</v>
      </c>
      <c r="E11" s="822">
        <v>194741.092</v>
      </c>
      <c r="F11" s="823">
        <f>SUM(F12+F15+F18+F19+F21+F22)</f>
        <v>193496.07400000002</v>
      </c>
      <c r="G11" s="663">
        <f t="shared" ref="G11:G54" si="0">IF(E11=0, "    ---- ", IF(ABS(ROUND(100/E11*F11-100,1))&lt;999,ROUND(100/E11*F11-100,1),IF(ROUND(100/E11*F11-100,1)&gt;999,999,-999)))</f>
        <v>-0.6</v>
      </c>
      <c r="H11" s="822">
        <v>928.9</v>
      </c>
      <c r="I11" s="823">
        <f>SUM(I12+I15+I18+I19+I21+I22)</f>
        <v>1011.5930000000001</v>
      </c>
      <c r="J11" s="663">
        <f>IF(H11=0, "    ---- ", IF(ABS(ROUND(100/H11*I11-100,1))&lt;999,ROUND(100/H11*I11-100,1),IF(ROUND(100/H11*I11-100,1)&gt;999,999,-999)))</f>
        <v>8.9</v>
      </c>
      <c r="K11" s="822">
        <v>6336.2389999999996</v>
      </c>
      <c r="L11" s="823">
        <f>SUM(L12+L15+L18+L19+L21+L22)</f>
        <v>6896.1</v>
      </c>
      <c r="M11" s="664">
        <f>IF(K11=0, "    ---- ", IF(ABS(ROUND(100/K11*L11-100,1))&lt;999,ROUND(100/K11*L11-100,1),IF(ROUND(100/K11*L11-100,1)&gt;999,999,-999)))</f>
        <v>8.8000000000000007</v>
      </c>
      <c r="N11" s="822">
        <v>47.753438629999998</v>
      </c>
      <c r="O11" s="823">
        <f>SUM(O12+O15+O18+O19+O21+O22)</f>
        <v>51.045821430000004</v>
      </c>
      <c r="P11" s="663">
        <f t="shared" ref="P11:P12" si="1">IF(N11=0, "    ---- ", IF(ABS(ROUND(100/N11*O11-100,1))&lt;999,ROUND(100/N11*O11-100,1),IF(ROUND(100/N11*O11-100,1)&gt;999,999,-999)))</f>
        <v>6.9</v>
      </c>
      <c r="Q11" s="822">
        <v>431169.30602305999</v>
      </c>
      <c r="R11" s="567"/>
      <c r="S11" s="663">
        <f>IF(Q11=0, "    ---- ", IF(ABS(ROUND(100/Q11*R11-100,1))&lt;999,ROUND(100/Q11*R11-100,1),IF(ROUND(100/Q11*R11-100,1)&gt;999,999,-999)))</f>
        <v>-100</v>
      </c>
      <c r="T11" s="822">
        <v>1529.6</v>
      </c>
      <c r="U11" s="823">
        <f>SUM(U12+U15+U18+U19+U21+U22)</f>
        <v>1582.5</v>
      </c>
      <c r="V11" s="663">
        <f>IF(T11=0, "    ---- ", IF(ABS(ROUND(100/T11*U11-100,1))&lt;999,ROUND(100/T11*U11-100,1),IF(ROUND(100/T11*U11-100,1)&gt;999,999,-999)))</f>
        <v>3.5</v>
      </c>
      <c r="W11" s="822">
        <v>46312.841056845115</v>
      </c>
      <c r="X11" s="823">
        <f>SUM(X12+X15+X18+X19+X21+X22)</f>
        <v>46799.979532076228</v>
      </c>
      <c r="Y11" s="663">
        <f t="shared" ref="Y11:Y54" si="2">IF(W11=0, "    ---- ", IF(ABS(ROUND(100/W11*X11-100,1))&lt;999,ROUND(100/W11*X11-100,1),IF(ROUND(100/W11*X11-100,1)&gt;999,999,-999)))</f>
        <v>1.1000000000000001</v>
      </c>
      <c r="Z11" s="822">
        <v>63588</v>
      </c>
      <c r="AA11" s="823">
        <f>SUM(AA12+AA15+AA18+AA19+AA21+AA22)</f>
        <v>66898</v>
      </c>
      <c r="AB11" s="663">
        <f>IF(Z11=0, "    ---- ", IF(ABS(ROUND(100/Z11*AA11-100,1))&lt;999,ROUND(100/Z11*AA11-100,1),IF(ROUND(100/Z11*AA11-100,1)&gt;999,999,-999)))</f>
        <v>5.2</v>
      </c>
      <c r="AC11" s="822">
        <v>19716.665000000001</v>
      </c>
      <c r="AD11" s="823">
        <f>SUM(AD12+AD15+AD18+AD19+AD21+AD22)</f>
        <v>22350</v>
      </c>
      <c r="AE11" s="663">
        <f t="shared" ref="AE11:AE54" si="3">IF(AC11=0, "    ---- ", IF(ABS(ROUND(100/AC11*AD11-100,1))&lt;999,ROUND(100/AC11*AD11-100,1),IF(ROUND(100/AC11*AD11-100,1)&gt;999,999,-999)))</f>
        <v>13.4</v>
      </c>
      <c r="AF11" s="822">
        <v>171927.1</v>
      </c>
      <c r="AG11" s="823">
        <f>SUM(AG12+AG15+AG18+AG19+AG21+AG22)</f>
        <v>171963</v>
      </c>
      <c r="AH11" s="663">
        <f t="shared" ref="AH11:AH45" si="4">IF(AF11=0, "    ---- ", IF(ABS(ROUND(100/AF11*AG11-100,1))&lt;999,ROUND(100/AF11*AG11-100,1),IF(ROUND(100/AF11*AG11-100,1)&gt;999,999,-999)))</f>
        <v>0</v>
      </c>
      <c r="AI11" s="580">
        <f>+B11+E11+H11+K11+N11+Q11+T11+W11+Z11+AC11+AF11</f>
        <v>937385.9845185352</v>
      </c>
      <c r="AJ11" s="580">
        <f>+C11+F11+I11+L11+O11+R11+U11+X11+AA11+AD11+AG11</f>
        <v>512147.25235350622</v>
      </c>
      <c r="AK11" s="663">
        <f>IF(AI11=0, "    ---- ", IF(ABS(ROUND(100/AI11*AJ11-100,1))&lt;999,ROUND(100/AI11*AJ11-100,1),IF(ROUND(100/AI11*AJ11-100,1)&gt;999,999,-999)))</f>
        <v>-45.4</v>
      </c>
      <c r="AL11" s="666"/>
      <c r="AM11" s="667"/>
    </row>
    <row r="12" spans="1:54" s="494" customFormat="1" ht="18.75" customHeight="1" x14ac:dyDescent="0.3">
      <c r="A12" s="480" t="s">
        <v>417</v>
      </c>
      <c r="B12" s="824">
        <v>277.10599999999999</v>
      </c>
      <c r="C12" s="799">
        <v>245.244</v>
      </c>
      <c r="D12" s="486">
        <f>IF(B12=0, "    ---- ", IF(ABS(ROUND(100/B12*C12-100,1))&lt;999,ROUND(100/B12*C12-100,1),IF(ROUND(100/B12*C12-100,1)&gt;999,999,-999)))</f>
        <v>-11.5</v>
      </c>
      <c r="E12" s="824">
        <v>13570.986000000001</v>
      </c>
      <c r="F12" s="825">
        <v>12461.545</v>
      </c>
      <c r="G12" s="486">
        <f t="shared" si="0"/>
        <v>-8.1999999999999993</v>
      </c>
      <c r="H12" s="824">
        <v>75.099999999999994</v>
      </c>
      <c r="I12" s="825">
        <v>60.503</v>
      </c>
      <c r="J12" s="486">
        <f>IF(H12=0, "    ---- ", IF(ABS(ROUND(100/H12*I12-100,1))&lt;999,ROUND(100/H12*I12-100,1),IF(ROUND(100/H12*I12-100,1)&gt;999,999,-999)))</f>
        <v>-19.399999999999999</v>
      </c>
      <c r="K12" s="824"/>
      <c r="L12" s="825"/>
      <c r="M12" s="661"/>
      <c r="N12" s="824">
        <v>20.964048999999999</v>
      </c>
      <c r="O12" s="825">
        <v>25.141164</v>
      </c>
      <c r="P12" s="486">
        <f t="shared" si="1"/>
        <v>19.899999999999999</v>
      </c>
      <c r="Q12" s="824"/>
      <c r="R12" s="565"/>
      <c r="S12" s="486"/>
      <c r="T12" s="824"/>
      <c r="U12" s="825"/>
      <c r="V12" s="486"/>
      <c r="W12" s="824">
        <v>802.18136731816094</v>
      </c>
      <c r="X12" s="825">
        <v>756.57448278113054</v>
      </c>
      <c r="Y12" s="486">
        <f t="shared" si="2"/>
        <v>-5.7</v>
      </c>
      <c r="Z12" s="824"/>
      <c r="AA12" s="825"/>
      <c r="AB12" s="486"/>
      <c r="AC12" s="824">
        <v>833.62599999999998</v>
      </c>
      <c r="AD12" s="825">
        <v>846</v>
      </c>
      <c r="AE12" s="486">
        <f t="shared" si="3"/>
        <v>1.5</v>
      </c>
      <c r="AF12" s="824">
        <v>3870.1000000000004</v>
      </c>
      <c r="AG12" s="825">
        <f>2149+1692</f>
        <v>3841</v>
      </c>
      <c r="AH12" s="486">
        <f t="shared" si="4"/>
        <v>-0.8</v>
      </c>
      <c r="AI12" s="658">
        <f t="shared" ref="AI12:AJ45" si="5">+B12+E12+H12+K12+N12+Q12+T12+W12+Z12+AC12+AF12</f>
        <v>19450.06341631816</v>
      </c>
      <c r="AJ12" s="658">
        <f t="shared" si="5"/>
        <v>18236.00764678113</v>
      </c>
      <c r="AK12" s="486">
        <f t="shared" ref="AK12:AK54" si="6">IF(AI12=0, "    ---- ", IF(ABS(ROUND(100/AI12*AJ12-100,1))&lt;999,ROUND(100/AI12*AJ12-100,1),IF(ROUND(100/AI12*AJ12-100,1)&gt;999,999,-999)))</f>
        <v>-6.2</v>
      </c>
      <c r="AL12" s="660"/>
      <c r="AM12" s="660"/>
    </row>
    <row r="13" spans="1:54" s="494" customFormat="1" ht="18.75" customHeight="1" x14ac:dyDescent="0.3">
      <c r="A13" s="480" t="s">
        <v>418</v>
      </c>
      <c r="B13" s="800"/>
      <c r="C13" s="799"/>
      <c r="D13" s="486"/>
      <c r="E13" s="800">
        <v>3741.8760000000002</v>
      </c>
      <c r="F13" s="799">
        <v>3532.2539999999999</v>
      </c>
      <c r="G13" s="557">
        <f t="shared" si="0"/>
        <v>-5.6</v>
      </c>
      <c r="H13" s="800"/>
      <c r="I13" s="799"/>
      <c r="J13" s="486"/>
      <c r="K13" s="824"/>
      <c r="L13" s="825"/>
      <c r="M13" s="661"/>
      <c r="N13" s="800"/>
      <c r="O13" s="799"/>
      <c r="P13" s="486"/>
      <c r="Q13" s="800"/>
      <c r="R13" s="564"/>
      <c r="S13" s="486"/>
      <c r="T13" s="800"/>
      <c r="U13" s="799"/>
      <c r="V13" s="486"/>
      <c r="W13" s="800">
        <v>482.78547983935812</v>
      </c>
      <c r="X13" s="799">
        <v>447.42914819467677</v>
      </c>
      <c r="Y13" s="486">
        <f t="shared" si="2"/>
        <v>-7.3</v>
      </c>
      <c r="Z13" s="800"/>
      <c r="AA13" s="799"/>
      <c r="AB13" s="486"/>
      <c r="AC13" s="800">
        <v>341.74</v>
      </c>
      <c r="AD13" s="799">
        <v>314</v>
      </c>
      <c r="AE13" s="486">
        <f t="shared" si="3"/>
        <v>-8.1</v>
      </c>
      <c r="AF13" s="800">
        <v>2234</v>
      </c>
      <c r="AG13" s="799">
        <v>2149</v>
      </c>
      <c r="AH13" s="486">
        <f t="shared" si="4"/>
        <v>-3.8</v>
      </c>
      <c r="AI13" s="658">
        <f t="shared" si="5"/>
        <v>6800.4014798393582</v>
      </c>
      <c r="AJ13" s="658">
        <f t="shared" si="5"/>
        <v>6442.6831481946765</v>
      </c>
      <c r="AK13" s="486">
        <f t="shared" si="6"/>
        <v>-5.3</v>
      </c>
      <c r="AL13" s="660"/>
      <c r="AM13" s="660"/>
    </row>
    <row r="14" spans="1:54" s="494" customFormat="1" ht="18.75" customHeight="1" x14ac:dyDescent="0.3">
      <c r="A14" s="480" t="s">
        <v>419</v>
      </c>
      <c r="B14" s="800">
        <v>277.10599999999999</v>
      </c>
      <c r="C14" s="799">
        <v>245.244</v>
      </c>
      <c r="D14" s="486">
        <f t="shared" ref="D14:D15" si="7">IF(B14=0, "    ---- ", IF(ABS(ROUND(100/B14*C14-100,1))&lt;999,ROUND(100/B14*C14-100,1),IF(ROUND(100/B14*C14-100,1)&gt;999,999,-999)))</f>
        <v>-11.5</v>
      </c>
      <c r="E14" s="800">
        <v>9829.11</v>
      </c>
      <c r="F14" s="799">
        <v>9359.5820000000003</v>
      </c>
      <c r="G14" s="557">
        <f t="shared" si="0"/>
        <v>-4.8</v>
      </c>
      <c r="H14" s="800"/>
      <c r="I14" s="799"/>
      <c r="J14" s="486"/>
      <c r="K14" s="800"/>
      <c r="L14" s="799"/>
      <c r="M14" s="486"/>
      <c r="N14" s="800"/>
      <c r="O14" s="799"/>
      <c r="P14" s="486"/>
      <c r="Q14" s="800"/>
      <c r="R14" s="564"/>
      <c r="S14" s="486"/>
      <c r="T14" s="800"/>
      <c r="U14" s="799"/>
      <c r="V14" s="486"/>
      <c r="W14" s="800">
        <v>81.718682760000007</v>
      </c>
      <c r="X14" s="799">
        <v>55.028700439999994</v>
      </c>
      <c r="Y14" s="486">
        <f t="shared" si="2"/>
        <v>-32.700000000000003</v>
      </c>
      <c r="Z14" s="800"/>
      <c r="AA14" s="799"/>
      <c r="AB14" s="486"/>
      <c r="AC14" s="800">
        <v>153.749</v>
      </c>
      <c r="AD14" s="799">
        <v>144</v>
      </c>
      <c r="AE14" s="486">
        <f t="shared" si="3"/>
        <v>-6.3</v>
      </c>
      <c r="AF14" s="800"/>
      <c r="AG14" s="799"/>
      <c r="AH14" s="486"/>
      <c r="AI14" s="658">
        <f t="shared" si="5"/>
        <v>10341.68368276</v>
      </c>
      <c r="AJ14" s="658">
        <f t="shared" si="5"/>
        <v>9803.8547004400007</v>
      </c>
      <c r="AK14" s="486">
        <f t="shared" si="6"/>
        <v>-5.2</v>
      </c>
      <c r="AL14" s="660"/>
      <c r="AM14" s="660"/>
    </row>
    <row r="15" spans="1:54" s="494" customFormat="1" ht="18.75" customHeight="1" x14ac:dyDescent="0.3">
      <c r="A15" s="480" t="s">
        <v>420</v>
      </c>
      <c r="B15" s="824">
        <v>128.09100000000001</v>
      </c>
      <c r="C15" s="825">
        <f>65.923+41.934</f>
        <v>107.857</v>
      </c>
      <c r="D15" s="486">
        <f t="shared" si="7"/>
        <v>-15.8</v>
      </c>
      <c r="E15" s="824">
        <v>25192.583999999999</v>
      </c>
      <c r="F15" s="825">
        <v>24313.884999999998</v>
      </c>
      <c r="G15" s="661">
        <f t="shared" si="0"/>
        <v>-3.5</v>
      </c>
      <c r="H15" s="824">
        <v>514.4</v>
      </c>
      <c r="I15" s="825">
        <v>588.95500000000004</v>
      </c>
      <c r="J15" s="486">
        <f>IF(H15=0, "    ---- ", IF(ABS(ROUND(100/H15*I15-100,1))&lt;999,ROUND(100/H15*I15-100,1),IF(ROUND(100/H15*I15-100,1)&gt;999,999,-999)))</f>
        <v>14.5</v>
      </c>
      <c r="K15" s="824">
        <v>1583.442</v>
      </c>
      <c r="L15" s="825">
        <v>1906.4</v>
      </c>
      <c r="M15" s="486">
        <f>IF(K15=0, "    ---- ", IF(ABS(ROUND(100/K15*L15-100,1))&lt;999,ROUND(100/K15*L15-100,1),IF(ROUND(100/K15*L15-100,1)&gt;999,999,-999)))</f>
        <v>20.399999999999999</v>
      </c>
      <c r="N15" s="824">
        <v>2.4609589999999999</v>
      </c>
      <c r="O15" s="825">
        <v>2.4544589999999999</v>
      </c>
      <c r="P15" s="486">
        <f>IF(N15=0, "    ---- ", IF(ABS(ROUND(100/N15*O15-100,1))&lt;999,ROUND(100/N15*O15-100,1),IF(ROUND(100/N15*O15-100,1)&gt;999,999,-999)))</f>
        <v>-0.3</v>
      </c>
      <c r="Q15" s="824"/>
      <c r="R15" s="565"/>
      <c r="S15" s="486"/>
      <c r="T15" s="824"/>
      <c r="U15" s="825"/>
      <c r="V15" s="486"/>
      <c r="W15" s="824">
        <v>3691.3588488539567</v>
      </c>
      <c r="X15" s="825">
        <v>3581.3747481607747</v>
      </c>
      <c r="Y15" s="486">
        <f t="shared" si="2"/>
        <v>-3</v>
      </c>
      <c r="Z15" s="824"/>
      <c r="AA15" s="825"/>
      <c r="AB15" s="661"/>
      <c r="AC15" s="824">
        <v>5126.3540000000003</v>
      </c>
      <c r="AD15" s="825">
        <v>5379</v>
      </c>
      <c r="AE15" s="486">
        <f t="shared" si="3"/>
        <v>4.9000000000000004</v>
      </c>
      <c r="AF15" s="824">
        <v>9583</v>
      </c>
      <c r="AG15" s="825">
        <v>8951</v>
      </c>
      <c r="AH15" s="486">
        <f t="shared" si="4"/>
        <v>-6.6</v>
      </c>
      <c r="AI15" s="658">
        <f t="shared" si="5"/>
        <v>45821.690807853956</v>
      </c>
      <c r="AJ15" s="658">
        <f t="shared" si="5"/>
        <v>44830.926207160781</v>
      </c>
      <c r="AK15" s="486">
        <f t="shared" si="6"/>
        <v>-2.2000000000000002</v>
      </c>
      <c r="AL15" s="660"/>
      <c r="AM15" s="660"/>
    </row>
    <row r="16" spans="1:54" s="494" customFormat="1" ht="18.75" customHeight="1" x14ac:dyDescent="0.3">
      <c r="A16" s="480" t="s">
        <v>418</v>
      </c>
      <c r="B16" s="824"/>
      <c r="C16" s="825"/>
      <c r="D16" s="486"/>
      <c r="E16" s="824">
        <v>22386.673999999999</v>
      </c>
      <c r="F16" s="825">
        <v>21403.684000000001</v>
      </c>
      <c r="G16" s="661">
        <f t="shared" si="0"/>
        <v>-4.4000000000000004</v>
      </c>
      <c r="H16" s="824"/>
      <c r="I16" s="825"/>
      <c r="J16" s="486"/>
      <c r="K16" s="824"/>
      <c r="L16" s="825"/>
      <c r="M16" s="486"/>
      <c r="N16" s="824"/>
      <c r="O16" s="825"/>
      <c r="P16" s="486"/>
      <c r="Q16" s="824"/>
      <c r="R16" s="565"/>
      <c r="S16" s="486"/>
      <c r="T16" s="824"/>
      <c r="U16" s="825"/>
      <c r="V16" s="486"/>
      <c r="W16" s="824">
        <v>2696.028278183499</v>
      </c>
      <c r="X16" s="825">
        <v>2543.7600636753677</v>
      </c>
      <c r="Y16" s="486">
        <f t="shared" si="2"/>
        <v>-5.6</v>
      </c>
      <c r="Z16" s="824"/>
      <c r="AA16" s="825"/>
      <c r="AB16" s="661"/>
      <c r="AC16" s="824">
        <v>2659.74</v>
      </c>
      <c r="AD16" s="825">
        <v>2602</v>
      </c>
      <c r="AE16" s="486">
        <f t="shared" si="3"/>
        <v>-2.2000000000000002</v>
      </c>
      <c r="AF16" s="824">
        <v>9583</v>
      </c>
      <c r="AG16" s="825">
        <v>8951</v>
      </c>
      <c r="AH16" s="486">
        <f t="shared" si="4"/>
        <v>-6.6</v>
      </c>
      <c r="AI16" s="658">
        <f t="shared" si="5"/>
        <v>37325.442278183495</v>
      </c>
      <c r="AJ16" s="658">
        <f t="shared" si="5"/>
        <v>35500.444063675372</v>
      </c>
      <c r="AK16" s="486">
        <f t="shared" si="6"/>
        <v>-4.9000000000000004</v>
      </c>
      <c r="AL16" s="660"/>
      <c r="AM16" s="660"/>
    </row>
    <row r="17" spans="1:39" s="494" customFormat="1" ht="18.75" customHeight="1" x14ac:dyDescent="0.3">
      <c r="A17" s="480" t="s">
        <v>419</v>
      </c>
      <c r="B17" s="824">
        <v>128.09100000000001</v>
      </c>
      <c r="C17" s="825">
        <f>65.923+41.934</f>
        <v>107.857</v>
      </c>
      <c r="D17" s="486">
        <f t="shared" ref="D17:D20" si="8">IF(B17=0, "    ---- ", IF(ABS(ROUND(100/B17*C17-100,1))&lt;999,ROUND(100/B17*C17-100,1),IF(ROUND(100/B17*C17-100,1)&gt;999,999,-999)))</f>
        <v>-15.8</v>
      </c>
      <c r="E17" s="824">
        <v>2805.91</v>
      </c>
      <c r="F17" s="825">
        <v>3047.239</v>
      </c>
      <c r="G17" s="661">
        <f t="shared" si="0"/>
        <v>8.6</v>
      </c>
      <c r="H17" s="824"/>
      <c r="I17" s="825"/>
      <c r="J17" s="486"/>
      <c r="K17" s="824">
        <v>1583.442</v>
      </c>
      <c r="L17" s="825">
        <v>1906.4</v>
      </c>
      <c r="M17" s="486">
        <f>IF(K17=0, "    ---- ", IF(ABS(ROUND(100/K17*L17-100,1))&lt;999,ROUND(100/K17*L17-100,1),IF(ROUND(100/K17*L17-100,1)&gt;999,999,-999)))</f>
        <v>20.399999999999999</v>
      </c>
      <c r="N17" s="824"/>
      <c r="O17" s="825"/>
      <c r="P17" s="486"/>
      <c r="Q17" s="824"/>
      <c r="R17" s="565"/>
      <c r="S17" s="486"/>
      <c r="T17" s="824"/>
      <c r="U17" s="825"/>
      <c r="V17" s="486"/>
      <c r="W17" s="824">
        <v>485.95625757602227</v>
      </c>
      <c r="X17" s="825">
        <v>492.35386825202244</v>
      </c>
      <c r="Y17" s="486">
        <f t="shared" si="2"/>
        <v>1.3</v>
      </c>
      <c r="Z17" s="824"/>
      <c r="AA17" s="825"/>
      <c r="AB17" s="661"/>
      <c r="AC17" s="824">
        <v>85.55</v>
      </c>
      <c r="AD17" s="825">
        <v>164</v>
      </c>
      <c r="AE17" s="486">
        <f t="shared" si="3"/>
        <v>91.7</v>
      </c>
      <c r="AF17" s="824"/>
      <c r="AG17" s="825"/>
      <c r="AH17" s="486"/>
      <c r="AI17" s="658">
        <f t="shared" si="5"/>
        <v>5088.9492575760214</v>
      </c>
      <c r="AJ17" s="658">
        <f t="shared" si="5"/>
        <v>5717.8498682520221</v>
      </c>
      <c r="AK17" s="486">
        <f t="shared" si="6"/>
        <v>12.4</v>
      </c>
      <c r="AL17" s="660"/>
      <c r="AM17" s="660"/>
    </row>
    <row r="18" spans="1:39" s="494" customFormat="1" ht="18.75" customHeight="1" x14ac:dyDescent="0.3">
      <c r="A18" s="480" t="s">
        <v>421</v>
      </c>
      <c r="B18" s="824">
        <v>1.9530000000000001</v>
      </c>
      <c r="C18" s="825">
        <v>0.51100000000000001</v>
      </c>
      <c r="D18" s="486">
        <f t="shared" si="8"/>
        <v>-73.8</v>
      </c>
      <c r="E18" s="824">
        <v>739.02800000000002</v>
      </c>
      <c r="F18" s="825">
        <f>868.681+6.336</f>
        <v>875.01700000000005</v>
      </c>
      <c r="G18" s="661">
        <f t="shared" si="0"/>
        <v>18.399999999999999</v>
      </c>
      <c r="H18" s="824">
        <v>49</v>
      </c>
      <c r="I18" s="825">
        <v>43.573999999999998</v>
      </c>
      <c r="J18" s="486">
        <f>IF(H18=0, "    ---- ", IF(ABS(ROUND(100/H18*I18-100,1))&lt;999,ROUND(100/H18*I18-100,1),IF(ROUND(100/H18*I18-100,1)&gt;999,999,-999)))</f>
        <v>-11.1</v>
      </c>
      <c r="K18" s="824"/>
      <c r="L18" s="825"/>
      <c r="M18" s="486"/>
      <c r="N18" s="824">
        <v>24.32843063</v>
      </c>
      <c r="O18" s="825">
        <v>23.45019843</v>
      </c>
      <c r="P18" s="486">
        <f>IF(N18=0, "    ---- ", IF(ABS(ROUND(100/N18*O18-100,1))&lt;999,ROUND(100/N18*O18-100,1),IF(ROUND(100/N18*O18-100,1)&gt;999,999,-999)))</f>
        <v>-3.6</v>
      </c>
      <c r="Q18" s="824">
        <v>16.033253999999999</v>
      </c>
      <c r="R18" s="565"/>
      <c r="S18" s="486">
        <f>IF(Q18=0, "    ---- ", IF(ABS(ROUND(100/Q18*R18-100,1))&lt;999,ROUND(100/Q18*R18-100,1),IF(ROUND(100/Q18*R18-100,1)&gt;999,999,-999)))</f>
        <v>-100</v>
      </c>
      <c r="T18" s="824"/>
      <c r="U18" s="825"/>
      <c r="V18" s="486"/>
      <c r="W18" s="824"/>
      <c r="X18" s="825"/>
      <c r="Y18" s="486"/>
      <c r="Z18" s="824"/>
      <c r="AA18" s="825"/>
      <c r="AB18" s="661"/>
      <c r="AC18" s="824">
        <v>1428.1130000000001</v>
      </c>
      <c r="AD18" s="825">
        <v>1550</v>
      </c>
      <c r="AE18" s="486">
        <f t="shared" si="3"/>
        <v>8.5</v>
      </c>
      <c r="AF18" s="824">
        <v>1376</v>
      </c>
      <c r="AG18" s="825">
        <v>1353</v>
      </c>
      <c r="AH18" s="486">
        <f t="shared" si="4"/>
        <v>-1.7</v>
      </c>
      <c r="AI18" s="658">
        <f t="shared" si="5"/>
        <v>3634.4556846300002</v>
      </c>
      <c r="AJ18" s="658">
        <f t="shared" si="5"/>
        <v>3845.5521984299999</v>
      </c>
      <c r="AK18" s="486">
        <f t="shared" si="6"/>
        <v>5.8</v>
      </c>
      <c r="AL18" s="660"/>
      <c r="AM18" s="660"/>
    </row>
    <row r="19" spans="1:39" s="494" customFormat="1" ht="18.75" customHeight="1" x14ac:dyDescent="0.3">
      <c r="A19" s="480" t="s">
        <v>422</v>
      </c>
      <c r="B19" s="824">
        <v>633.32799999999997</v>
      </c>
      <c r="C19" s="825">
        <v>691.89099999999996</v>
      </c>
      <c r="D19" s="486">
        <f t="shared" si="8"/>
        <v>9.1999999999999993</v>
      </c>
      <c r="E19" s="824">
        <v>150372.16</v>
      </c>
      <c r="F19" s="825">
        <v>151008.274</v>
      </c>
      <c r="G19" s="661">
        <f t="shared" si="0"/>
        <v>0.4</v>
      </c>
      <c r="H19" s="824">
        <v>147.9</v>
      </c>
      <c r="I19" s="825">
        <v>161.70400000000001</v>
      </c>
      <c r="J19" s="486">
        <f>IF(H19=0, "    ---- ", IF(ABS(ROUND(100/H19*I19-100,1))&lt;999,ROUND(100/H19*I19-100,1),IF(ROUND(100/H19*I19-100,1)&gt;999,999,-999)))</f>
        <v>9.3000000000000007</v>
      </c>
      <c r="K19" s="824">
        <v>4752.7969999999996</v>
      </c>
      <c r="L19" s="825">
        <v>4989.7</v>
      </c>
      <c r="M19" s="486">
        <f>IF(K19=0, "    ---- ", IF(ABS(ROUND(100/K19*L19-100,1))&lt;999,ROUND(100/K19*L19-100,1),IF(ROUND(100/K19*L19-100,1)&gt;999,999,-999)))</f>
        <v>5</v>
      </c>
      <c r="N19" s="824"/>
      <c r="O19" s="825"/>
      <c r="P19" s="486"/>
      <c r="Q19" s="824"/>
      <c r="R19" s="565"/>
      <c r="S19" s="486"/>
      <c r="T19" s="824">
        <v>1529.6</v>
      </c>
      <c r="U19" s="825">
        <v>1582.5</v>
      </c>
      <c r="V19" s="486">
        <f>IF(T19=0, "    ---- ", IF(ABS(ROUND(100/T19*U19-100,1))&lt;999,ROUND(100/T19*U19-100,1),IF(ROUND(100/T19*U19-100,1)&gt;999,999,-999)))</f>
        <v>3.5</v>
      </c>
      <c r="W19" s="824">
        <v>41775.061413580414</v>
      </c>
      <c r="X19" s="825">
        <v>42414.442553334622</v>
      </c>
      <c r="Y19" s="486">
        <f t="shared" si="2"/>
        <v>1.5</v>
      </c>
      <c r="Z19" s="824"/>
      <c r="AA19" s="825"/>
      <c r="AB19" s="661"/>
      <c r="AC19" s="824">
        <v>11867.14</v>
      </c>
      <c r="AD19" s="825">
        <v>14132</v>
      </c>
      <c r="AE19" s="486">
        <f t="shared" si="3"/>
        <v>19.100000000000001</v>
      </c>
      <c r="AF19" s="824">
        <v>154585</v>
      </c>
      <c r="AG19" s="825">
        <f>23340+127889+1941+1809+245+88</f>
        <v>155312</v>
      </c>
      <c r="AH19" s="486">
        <f t="shared" si="4"/>
        <v>0.5</v>
      </c>
      <c r="AI19" s="658">
        <f t="shared" si="5"/>
        <v>365662.98641358042</v>
      </c>
      <c r="AJ19" s="658">
        <f t="shared" si="5"/>
        <v>370292.51155333465</v>
      </c>
      <c r="AK19" s="486">
        <f t="shared" si="6"/>
        <v>1.3</v>
      </c>
      <c r="AL19" s="660"/>
      <c r="AM19" s="660"/>
    </row>
    <row r="20" spans="1:39" s="494" customFormat="1" ht="18.75" customHeight="1" x14ac:dyDescent="0.3">
      <c r="A20" s="480" t="s">
        <v>423</v>
      </c>
      <c r="B20" s="824">
        <v>270.10500000000002</v>
      </c>
      <c r="C20" s="825">
        <v>176.779</v>
      </c>
      <c r="D20" s="486">
        <f t="shared" si="8"/>
        <v>-34.6</v>
      </c>
      <c r="E20" s="824">
        <v>127155.83</v>
      </c>
      <c r="F20" s="825">
        <v>129100.084</v>
      </c>
      <c r="G20" s="661">
        <f t="shared" si="0"/>
        <v>1.5</v>
      </c>
      <c r="H20" s="824"/>
      <c r="I20" s="825"/>
      <c r="J20" s="486"/>
      <c r="K20" s="824">
        <v>3853.8159999999998</v>
      </c>
      <c r="L20" s="825">
        <v>3869.8</v>
      </c>
      <c r="M20" s="486">
        <f>IF(K20=0, "    ---- ", IF(ABS(ROUND(100/K20*L20-100,1))&lt;999,ROUND(100/K20*L20-100,1),IF(ROUND(100/K20*L20-100,1)&gt;999,999,-999)))</f>
        <v>0.4</v>
      </c>
      <c r="N20" s="824"/>
      <c r="O20" s="825"/>
      <c r="P20" s="486"/>
      <c r="Q20" s="824"/>
      <c r="R20" s="565"/>
      <c r="S20" s="486"/>
      <c r="T20" s="824">
        <v>932.2</v>
      </c>
      <c r="U20" s="825">
        <v>956.9</v>
      </c>
      <c r="V20" s="486">
        <f>IF(T20=0, "    ---- ", IF(ABS(ROUND(100/T20*U20-100,1))&lt;999,ROUND(100/T20*U20-100,1),IF(ROUND(100/T20*U20-100,1)&gt;999,999,-999)))</f>
        <v>2.6</v>
      </c>
      <c r="W20" s="824">
        <v>33881.987982544124</v>
      </c>
      <c r="X20" s="825">
        <v>34556.870683454836</v>
      </c>
      <c r="Y20" s="486">
        <f t="shared" si="2"/>
        <v>2</v>
      </c>
      <c r="Z20" s="824"/>
      <c r="AA20" s="825"/>
      <c r="AB20" s="661"/>
      <c r="AC20" s="824">
        <v>8356.5010000000002</v>
      </c>
      <c r="AD20" s="825">
        <v>9024</v>
      </c>
      <c r="AE20" s="486">
        <f t="shared" si="3"/>
        <v>8</v>
      </c>
      <c r="AF20" s="824">
        <v>126659</v>
      </c>
      <c r="AG20" s="825">
        <v>127889</v>
      </c>
      <c r="AH20" s="486">
        <f t="shared" si="4"/>
        <v>1</v>
      </c>
      <c r="AI20" s="658">
        <f t="shared" si="5"/>
        <v>301109.43998254411</v>
      </c>
      <c r="AJ20" s="658">
        <f t="shared" si="5"/>
        <v>305573.43368345482</v>
      </c>
      <c r="AK20" s="486">
        <f t="shared" si="6"/>
        <v>1.5</v>
      </c>
      <c r="AL20" s="660"/>
      <c r="AM20" s="660"/>
    </row>
    <row r="21" spans="1:39" s="494" customFormat="1" ht="18.75" customHeight="1" x14ac:dyDescent="0.3">
      <c r="A21" s="480" t="s">
        <v>424</v>
      </c>
      <c r="B21" s="824"/>
      <c r="C21" s="825"/>
      <c r="D21" s="486"/>
      <c r="E21" s="824"/>
      <c r="F21" s="825"/>
      <c r="G21" s="661"/>
      <c r="H21" s="824"/>
      <c r="I21" s="825"/>
      <c r="J21" s="486"/>
      <c r="K21" s="824"/>
      <c r="L21" s="825"/>
      <c r="M21" s="486"/>
      <c r="N21" s="824"/>
      <c r="O21" s="825"/>
      <c r="P21" s="486"/>
      <c r="Q21" s="824">
        <v>431153.27276905999</v>
      </c>
      <c r="R21" s="565"/>
      <c r="S21" s="486">
        <f>IF(Q21=0, "    ---- ", IF(ABS(ROUND(100/Q21*R21-100,1))&lt;999,ROUND(100/Q21*R21-100,1),IF(ROUND(100/Q21*R21-100,1)&gt;999,999,-999)))</f>
        <v>-100</v>
      </c>
      <c r="T21" s="824"/>
      <c r="U21" s="825"/>
      <c r="V21" s="486"/>
      <c r="W21" s="824"/>
      <c r="X21" s="825"/>
      <c r="Y21" s="486"/>
      <c r="Z21" s="824">
        <v>63588</v>
      </c>
      <c r="AA21" s="825">
        <v>66898</v>
      </c>
      <c r="AB21" s="661">
        <f>IF(Z21=0, "    ---- ", IF(ABS(ROUND(100/Z21*AA21-100,1))&lt;999,ROUND(100/Z21*AA21-100,1),IF(ROUND(100/Z21*AA21-100,1)&gt;999,999,-999)))</f>
        <v>5.2</v>
      </c>
      <c r="AC21" s="824"/>
      <c r="AD21" s="825"/>
      <c r="AE21" s="486"/>
      <c r="AF21" s="824">
        <v>2513</v>
      </c>
      <c r="AG21" s="825">
        <v>2506</v>
      </c>
      <c r="AH21" s="486">
        <f t="shared" si="4"/>
        <v>-0.3</v>
      </c>
      <c r="AI21" s="658">
        <f t="shared" si="5"/>
        <v>497254.27276905999</v>
      </c>
      <c r="AJ21" s="658">
        <f t="shared" si="5"/>
        <v>69404</v>
      </c>
      <c r="AK21" s="486">
        <f t="shared" si="6"/>
        <v>-86</v>
      </c>
      <c r="AL21" s="660"/>
      <c r="AM21" s="660"/>
    </row>
    <row r="22" spans="1:39" s="494" customFormat="1" ht="18.75" customHeight="1" x14ac:dyDescent="0.3">
      <c r="A22" s="480" t="s">
        <v>425</v>
      </c>
      <c r="B22" s="824">
        <v>48.01</v>
      </c>
      <c r="C22" s="825">
        <v>53.457000000000001</v>
      </c>
      <c r="D22" s="486">
        <f>IF(B22=0, "    ---- ", IF(ABS(ROUND(100/B22*C22-100,1))&lt;999,ROUND(100/B22*C22-100,1),IF(ROUND(100/B22*C22-100,1)&gt;999,999,-999)))</f>
        <v>11.3</v>
      </c>
      <c r="E22" s="824">
        <v>4866.3339999999998</v>
      </c>
      <c r="F22" s="825">
        <f>4624.762+212.591</f>
        <v>4837.3530000000001</v>
      </c>
      <c r="G22" s="661">
        <f t="shared" si="0"/>
        <v>-0.6</v>
      </c>
      <c r="H22" s="824">
        <v>142.5</v>
      </c>
      <c r="I22" s="825">
        <v>156.857</v>
      </c>
      <c r="J22" s="486"/>
      <c r="K22" s="824"/>
      <c r="L22" s="825"/>
      <c r="M22" s="486"/>
      <c r="N22" s="824"/>
      <c r="O22" s="825"/>
      <c r="P22" s="486"/>
      <c r="Q22" s="824"/>
      <c r="R22" s="565"/>
      <c r="S22" s="486"/>
      <c r="T22" s="824"/>
      <c r="U22" s="825"/>
      <c r="V22" s="486"/>
      <c r="W22" s="824">
        <v>44.239427092579376</v>
      </c>
      <c r="X22" s="825">
        <v>47.587747799700011</v>
      </c>
      <c r="Y22" s="486">
        <f t="shared" si="2"/>
        <v>7.6</v>
      </c>
      <c r="Z22" s="824"/>
      <c r="AA22" s="825"/>
      <c r="AB22" s="661"/>
      <c r="AC22" s="824">
        <v>461.43200000000002</v>
      </c>
      <c r="AD22" s="825">
        <v>443</v>
      </c>
      <c r="AE22" s="486">
        <f t="shared" si="3"/>
        <v>-4</v>
      </c>
      <c r="AF22" s="824"/>
      <c r="AG22" s="825"/>
      <c r="AH22" s="486"/>
      <c r="AI22" s="658">
        <f t="shared" si="5"/>
        <v>5562.5154270925796</v>
      </c>
      <c r="AJ22" s="658">
        <f t="shared" si="5"/>
        <v>5538.2547477997005</v>
      </c>
      <c r="AK22" s="486">
        <f t="shared" si="6"/>
        <v>-0.4</v>
      </c>
      <c r="AL22" s="660"/>
      <c r="AM22" s="660"/>
    </row>
    <row r="23" spans="1:39" s="668" customFormat="1" ht="18.75" customHeight="1" x14ac:dyDescent="0.3">
      <c r="A23" s="662" t="s">
        <v>426</v>
      </c>
      <c r="B23" s="801">
        <v>1088.4880000000001</v>
      </c>
      <c r="C23" s="823">
        <f>SUM(C24+C27+C30+C31+C33+C34)</f>
        <v>1098.96</v>
      </c>
      <c r="D23" s="663">
        <f>IF(B23=0, "    ---- ", IF(ABS(ROUND(100/B23*C23-100,1))&lt;999,ROUND(100/B23*C23-100,1),IF(ROUND(100/B23*C23-100,1)&gt;999,999,-999)))</f>
        <v>1</v>
      </c>
      <c r="E23" s="822">
        <v>194741.092</v>
      </c>
      <c r="F23" s="823">
        <f>SUM(F24+F27+F30+F31+F33+F34)</f>
        <v>193496.07400000002</v>
      </c>
      <c r="G23" s="664">
        <f t="shared" si="0"/>
        <v>-0.6</v>
      </c>
      <c r="H23" s="822">
        <v>809.3</v>
      </c>
      <c r="I23" s="823">
        <f>SUM(I24+I27+I30+I31+I33+I34)</f>
        <v>931.94100000000003</v>
      </c>
      <c r="J23" s="663">
        <f>IF(H23=0, "    ---- ", IF(ABS(ROUND(100/H23*I23-100,1))&lt;999,ROUND(100/H23*I23-100,1),IF(ROUND(100/H23*I23-100,1)&gt;999,999,-999)))</f>
        <v>15.2</v>
      </c>
      <c r="K23" s="822">
        <v>5945.9079999999994</v>
      </c>
      <c r="L23" s="823">
        <f>SUM(L24+L27+L30+L31+L33+L34)</f>
        <v>6442</v>
      </c>
      <c r="M23" s="663">
        <f>IF(K23=0, "    ---- ", IF(ABS(ROUND(100/K23*L23-100,1))&lt;999,ROUND(100/K23*L23-100,1),IF(ROUND(100/K23*L23-100,1)&gt;999,999,-999)))</f>
        <v>8.3000000000000007</v>
      </c>
      <c r="N23" s="822"/>
      <c r="O23" s="823"/>
      <c r="P23" s="663"/>
      <c r="Q23" s="822">
        <v>431169.30602305999</v>
      </c>
      <c r="R23" s="567"/>
      <c r="S23" s="663">
        <f>IF(Q23=0, "    ---- ", IF(ABS(ROUND(100/Q23*R23-100,1))&lt;999,ROUND(100/Q23*R23-100,1),IF(ROUND(100/Q23*R23-100,1)&gt;999,999,-999)))</f>
        <v>-100</v>
      </c>
      <c r="T23" s="822"/>
      <c r="U23" s="823"/>
      <c r="V23" s="663"/>
      <c r="W23" s="822">
        <v>46312.841056845115</v>
      </c>
      <c r="X23" s="823">
        <f>SUM(X24+X27+X30+X31+X33+X34)</f>
        <v>46799.979532076228</v>
      </c>
      <c r="Y23" s="663">
        <f t="shared" si="2"/>
        <v>1.1000000000000001</v>
      </c>
      <c r="Z23" s="822"/>
      <c r="AA23" s="823"/>
      <c r="AB23" s="664"/>
      <c r="AC23" s="822">
        <v>19716.665000000001</v>
      </c>
      <c r="AD23" s="823">
        <f>SUM(AD24+AD27+AD30+AD31+AD33+AD34)</f>
        <v>22350</v>
      </c>
      <c r="AE23" s="663">
        <f t="shared" si="3"/>
        <v>13.4</v>
      </c>
      <c r="AF23" s="822">
        <v>171927</v>
      </c>
      <c r="AG23" s="823">
        <f>SUM(AG24+AG27+AG30+AG31+AG33+AG34)</f>
        <v>171963</v>
      </c>
      <c r="AH23" s="663">
        <f t="shared" si="4"/>
        <v>0</v>
      </c>
      <c r="AI23" s="580">
        <f t="shared" si="5"/>
        <v>871710.60007990524</v>
      </c>
      <c r="AJ23" s="580">
        <f t="shared" si="5"/>
        <v>443081.95453207626</v>
      </c>
      <c r="AK23" s="663">
        <f t="shared" si="6"/>
        <v>-49.2</v>
      </c>
      <c r="AL23" s="666"/>
      <c r="AM23" s="667"/>
    </row>
    <row r="24" spans="1:39" s="494" customFormat="1" ht="18.75" customHeight="1" x14ac:dyDescent="0.3">
      <c r="A24" s="480" t="s">
        <v>417</v>
      </c>
      <c r="B24" s="824">
        <v>277.10599999999999</v>
      </c>
      <c r="C24" s="825">
        <v>245.244</v>
      </c>
      <c r="D24" s="486">
        <f>IF(B24=0, "    ---- ", IF(ABS(ROUND(100/B24*C24-100,1))&lt;999,ROUND(100/B24*C24-100,1),IF(ROUND(100/B24*C24-100,1)&gt;999,999,-999)))</f>
        <v>-11.5</v>
      </c>
      <c r="E24" s="824">
        <v>13570.986000000001</v>
      </c>
      <c r="F24" s="825">
        <v>12461.545</v>
      </c>
      <c r="G24" s="661">
        <f t="shared" si="0"/>
        <v>-8.1999999999999993</v>
      </c>
      <c r="H24" s="824">
        <v>74.400000000000006</v>
      </c>
      <c r="I24" s="825">
        <v>60.127000000000002</v>
      </c>
      <c r="J24" s="486">
        <f>IF(H24=0, "    ---- ", IF(ABS(ROUND(100/H24*I24-100,1))&lt;999,ROUND(100/H24*I24-100,1),IF(ROUND(100/H24*I24-100,1)&gt;999,999,-999)))</f>
        <v>-19.2</v>
      </c>
      <c r="K24" s="824"/>
      <c r="L24" s="825"/>
      <c r="M24" s="486"/>
      <c r="N24" s="824"/>
      <c r="O24" s="825"/>
      <c r="P24" s="486"/>
      <c r="Q24" s="824"/>
      <c r="R24" s="565"/>
      <c r="S24" s="486"/>
      <c r="T24" s="824"/>
      <c r="U24" s="825"/>
      <c r="V24" s="486"/>
      <c r="W24" s="824">
        <v>802.18136731816094</v>
      </c>
      <c r="X24" s="825">
        <v>756.57448278113054</v>
      </c>
      <c r="Y24" s="486">
        <f t="shared" si="2"/>
        <v>-5.7</v>
      </c>
      <c r="Z24" s="824"/>
      <c r="AA24" s="825"/>
      <c r="AB24" s="661"/>
      <c r="AC24" s="824">
        <v>833.62599999999998</v>
      </c>
      <c r="AD24" s="825">
        <v>846</v>
      </c>
      <c r="AE24" s="486">
        <f t="shared" si="3"/>
        <v>1.5</v>
      </c>
      <c r="AF24" s="824">
        <v>3870</v>
      </c>
      <c r="AG24" s="825">
        <f>+AG12</f>
        <v>3841</v>
      </c>
      <c r="AH24" s="486">
        <f t="shared" si="4"/>
        <v>-0.7</v>
      </c>
      <c r="AI24" s="658">
        <f t="shared" si="5"/>
        <v>19428.299367318163</v>
      </c>
      <c r="AJ24" s="658">
        <f t="shared" si="5"/>
        <v>18210.490482781133</v>
      </c>
      <c r="AK24" s="486">
        <f t="shared" si="6"/>
        <v>-6.3</v>
      </c>
      <c r="AL24" s="660"/>
      <c r="AM24" s="660"/>
    </row>
    <row r="25" spans="1:39" s="494" customFormat="1" ht="18.75" customHeight="1" x14ac:dyDescent="0.3">
      <c r="A25" s="480" t="s">
        <v>418</v>
      </c>
      <c r="B25" s="824"/>
      <c r="C25" s="825"/>
      <c r="D25" s="486"/>
      <c r="E25" s="824">
        <v>3741.8760000000002</v>
      </c>
      <c r="F25" s="799">
        <v>3532.2539999999999</v>
      </c>
      <c r="G25" s="661">
        <f t="shared" si="0"/>
        <v>-5.6</v>
      </c>
      <c r="H25" s="824"/>
      <c r="I25" s="825"/>
      <c r="J25" s="486"/>
      <c r="K25" s="824"/>
      <c r="L25" s="825"/>
      <c r="M25" s="486"/>
      <c r="N25" s="824"/>
      <c r="O25" s="825"/>
      <c r="P25" s="486"/>
      <c r="Q25" s="824"/>
      <c r="R25" s="565"/>
      <c r="S25" s="486"/>
      <c r="T25" s="824"/>
      <c r="U25" s="825"/>
      <c r="V25" s="486"/>
      <c r="W25" s="824">
        <v>482.78547983935812</v>
      </c>
      <c r="X25" s="825">
        <v>447.42914819467677</v>
      </c>
      <c r="Y25" s="486">
        <f t="shared" si="2"/>
        <v>-7.3</v>
      </c>
      <c r="Z25" s="824"/>
      <c r="AA25" s="825"/>
      <c r="AB25" s="661"/>
      <c r="AC25" s="824">
        <v>341.74</v>
      </c>
      <c r="AD25" s="799">
        <v>314</v>
      </c>
      <c r="AE25" s="486">
        <f t="shared" si="3"/>
        <v>-8.1</v>
      </c>
      <c r="AF25" s="824">
        <v>2234</v>
      </c>
      <c r="AG25" s="825">
        <f>+AG13</f>
        <v>2149</v>
      </c>
      <c r="AH25" s="486">
        <f t="shared" si="4"/>
        <v>-3.8</v>
      </c>
      <c r="AI25" s="658">
        <f t="shared" si="5"/>
        <v>6800.4014798393582</v>
      </c>
      <c r="AJ25" s="658">
        <f t="shared" si="5"/>
        <v>6442.6831481946765</v>
      </c>
      <c r="AK25" s="486">
        <f t="shared" si="6"/>
        <v>-5.3</v>
      </c>
      <c r="AL25" s="660"/>
      <c r="AM25" s="660"/>
    </row>
    <row r="26" spans="1:39" s="494" customFormat="1" ht="18.75" customHeight="1" x14ac:dyDescent="0.3">
      <c r="A26" s="480" t="s">
        <v>419</v>
      </c>
      <c r="B26" s="824"/>
      <c r="C26" s="825"/>
      <c r="D26" s="486"/>
      <c r="E26" s="824">
        <v>9829.11</v>
      </c>
      <c r="F26" s="799">
        <v>9359.5820000000003</v>
      </c>
      <c r="G26" s="661">
        <f t="shared" si="0"/>
        <v>-4.8</v>
      </c>
      <c r="H26" s="824"/>
      <c r="I26" s="825"/>
      <c r="J26" s="486"/>
      <c r="K26" s="824"/>
      <c r="L26" s="825"/>
      <c r="M26" s="486"/>
      <c r="N26" s="824"/>
      <c r="O26" s="825"/>
      <c r="P26" s="486"/>
      <c r="Q26" s="824"/>
      <c r="R26" s="565"/>
      <c r="S26" s="486"/>
      <c r="T26" s="824"/>
      <c r="U26" s="825"/>
      <c r="V26" s="486"/>
      <c r="W26" s="824">
        <v>81.718682760000007</v>
      </c>
      <c r="X26" s="825">
        <v>55.028700439999994</v>
      </c>
      <c r="Y26" s="486">
        <f t="shared" si="2"/>
        <v>-32.700000000000003</v>
      </c>
      <c r="Z26" s="824"/>
      <c r="AA26" s="825"/>
      <c r="AB26" s="661"/>
      <c r="AC26" s="824">
        <v>153.749</v>
      </c>
      <c r="AD26" s="799">
        <v>144</v>
      </c>
      <c r="AE26" s="486">
        <f t="shared" si="3"/>
        <v>-6.3</v>
      </c>
      <c r="AF26" s="824"/>
      <c r="AG26" s="825"/>
      <c r="AH26" s="486"/>
      <c r="AI26" s="658">
        <f t="shared" si="5"/>
        <v>10064.57768276</v>
      </c>
      <c r="AJ26" s="658">
        <f t="shared" si="5"/>
        <v>9558.6107004400001</v>
      </c>
      <c r="AK26" s="486">
        <f t="shared" si="6"/>
        <v>-5</v>
      </c>
      <c r="AL26" s="660"/>
      <c r="AM26" s="660"/>
    </row>
    <row r="27" spans="1:39" s="494" customFormat="1" ht="18.75" customHeight="1" x14ac:dyDescent="0.3">
      <c r="A27" s="480" t="s">
        <v>420</v>
      </c>
      <c r="B27" s="824">
        <v>128.09100000000001</v>
      </c>
      <c r="C27" s="825">
        <f>65.923+41.934</f>
        <v>107.857</v>
      </c>
      <c r="D27" s="486">
        <f>IF(B27=0, "    ---- ", IF(ABS(ROUND(100/B27*C27-100,1))&lt;999,ROUND(100/B27*C27-100,1),IF(ROUND(100/B27*C27-100,1)&gt;999,999,-999)))</f>
        <v>-15.8</v>
      </c>
      <c r="E27" s="824">
        <v>25192.583999999999</v>
      </c>
      <c r="F27" s="825">
        <v>24313.884999999998</v>
      </c>
      <c r="G27" s="661">
        <f t="shared" si="0"/>
        <v>-3.5</v>
      </c>
      <c r="H27" s="824">
        <v>498.7</v>
      </c>
      <c r="I27" s="825">
        <v>580.65499999999997</v>
      </c>
      <c r="J27" s="486">
        <f>IF(H27=0, "    ---- ", IF(ABS(ROUND(100/H27*I27-100,1))&lt;999,ROUND(100/H27*I27-100,1),IF(ROUND(100/H27*I27-100,1)&gt;999,999,-999)))</f>
        <v>16.399999999999999</v>
      </c>
      <c r="K27" s="824">
        <v>1226.3530000000001</v>
      </c>
      <c r="L27" s="825">
        <v>1487</v>
      </c>
      <c r="M27" s="486">
        <f>IF(K27=0, "    ---- ", IF(ABS(ROUND(100/K27*L27-100,1))&lt;999,ROUND(100/K27*L27-100,1),IF(ROUND(100/K27*L27-100,1)&gt;999,999,-999)))</f>
        <v>21.3</v>
      </c>
      <c r="N27" s="824"/>
      <c r="O27" s="825"/>
      <c r="P27" s="486"/>
      <c r="Q27" s="824"/>
      <c r="R27" s="565"/>
      <c r="S27" s="486"/>
      <c r="T27" s="824"/>
      <c r="U27" s="825"/>
      <c r="V27" s="486"/>
      <c r="W27" s="824">
        <v>3691.3588488539567</v>
      </c>
      <c r="X27" s="825">
        <v>3581.3747481607747</v>
      </c>
      <c r="Y27" s="486">
        <f t="shared" si="2"/>
        <v>-3</v>
      </c>
      <c r="Z27" s="824"/>
      <c r="AA27" s="825"/>
      <c r="AB27" s="661"/>
      <c r="AC27" s="824">
        <v>5126.3540000000003</v>
      </c>
      <c r="AD27" s="825">
        <v>5379</v>
      </c>
      <c r="AE27" s="486">
        <f t="shared" si="3"/>
        <v>4.9000000000000004</v>
      </c>
      <c r="AF27" s="824">
        <v>9583</v>
      </c>
      <c r="AG27" s="825">
        <f>+AG15</f>
        <v>8951</v>
      </c>
      <c r="AH27" s="486">
        <f t="shared" si="4"/>
        <v>-6.6</v>
      </c>
      <c r="AI27" s="658">
        <f t="shared" si="5"/>
        <v>45446.440848853956</v>
      </c>
      <c r="AJ27" s="658">
        <f t="shared" si="5"/>
        <v>44400.771748160769</v>
      </c>
      <c r="AK27" s="486">
        <f t="shared" si="6"/>
        <v>-2.2999999999999998</v>
      </c>
      <c r="AL27" s="660"/>
      <c r="AM27" s="660"/>
    </row>
    <row r="28" spans="1:39" s="494" customFormat="1" ht="18.75" customHeight="1" x14ac:dyDescent="0.3">
      <c r="A28" s="480" t="s">
        <v>418</v>
      </c>
      <c r="B28" s="824"/>
      <c r="C28" s="825"/>
      <c r="D28" s="486"/>
      <c r="E28" s="824">
        <v>22386.673999999999</v>
      </c>
      <c r="F28" s="825">
        <v>21403.684000000001</v>
      </c>
      <c r="G28" s="661">
        <f t="shared" si="0"/>
        <v>-4.4000000000000004</v>
      </c>
      <c r="H28" s="824"/>
      <c r="I28" s="825"/>
      <c r="J28" s="486"/>
      <c r="K28" s="824"/>
      <c r="L28" s="825"/>
      <c r="M28" s="486"/>
      <c r="N28" s="824"/>
      <c r="O28" s="825"/>
      <c r="P28" s="486"/>
      <c r="Q28" s="824"/>
      <c r="R28" s="565"/>
      <c r="S28" s="486"/>
      <c r="T28" s="824"/>
      <c r="U28" s="825"/>
      <c r="V28" s="486"/>
      <c r="W28" s="824">
        <v>2674.9869322466725</v>
      </c>
      <c r="X28" s="825">
        <v>2523.6851684458893</v>
      </c>
      <c r="Y28" s="486">
        <f t="shared" si="2"/>
        <v>-5.7</v>
      </c>
      <c r="Z28" s="824"/>
      <c r="AA28" s="825"/>
      <c r="AB28" s="661"/>
      <c r="AC28" s="824">
        <v>2659.74</v>
      </c>
      <c r="AD28" s="825">
        <v>2602</v>
      </c>
      <c r="AE28" s="486">
        <f t="shared" si="3"/>
        <v>-2.2000000000000002</v>
      </c>
      <c r="AF28" s="824">
        <v>9583</v>
      </c>
      <c r="AG28" s="825">
        <f>+AG16</f>
        <v>8951</v>
      </c>
      <c r="AH28" s="486">
        <f t="shared" si="4"/>
        <v>-6.6</v>
      </c>
      <c r="AI28" s="658">
        <f t="shared" si="5"/>
        <v>37304.400932246674</v>
      </c>
      <c r="AJ28" s="658">
        <f t="shared" si="5"/>
        <v>35480.36916844589</v>
      </c>
      <c r="AK28" s="486">
        <f t="shared" si="6"/>
        <v>-4.9000000000000004</v>
      </c>
      <c r="AL28" s="660"/>
      <c r="AM28" s="660"/>
    </row>
    <row r="29" spans="1:39" s="494" customFormat="1" ht="18.75" customHeight="1" x14ac:dyDescent="0.3">
      <c r="A29" s="480" t="s">
        <v>419</v>
      </c>
      <c r="B29" s="824"/>
      <c r="C29" s="825"/>
      <c r="D29" s="486"/>
      <c r="E29" s="824">
        <v>2805.91</v>
      </c>
      <c r="F29" s="825">
        <v>3047.239</v>
      </c>
      <c r="G29" s="661">
        <f t="shared" si="0"/>
        <v>8.6</v>
      </c>
      <c r="H29" s="824"/>
      <c r="I29" s="825"/>
      <c r="J29" s="486"/>
      <c r="K29" s="824">
        <v>1226.3530000000001</v>
      </c>
      <c r="L29" s="825">
        <v>1487</v>
      </c>
      <c r="M29" s="486">
        <f>IF(K29=0, "    ---- ", IF(ABS(ROUND(100/K29*L29-100,1))&lt;999,ROUND(100/K29*L29-100,1),IF(ROUND(100/K29*L29-100,1)&gt;999,999,-999)))</f>
        <v>21.3</v>
      </c>
      <c r="N29" s="824"/>
      <c r="O29" s="825"/>
      <c r="P29" s="486"/>
      <c r="Q29" s="824"/>
      <c r="R29" s="565"/>
      <c r="S29" s="486"/>
      <c r="T29" s="824"/>
      <c r="U29" s="825"/>
      <c r="V29" s="486"/>
      <c r="W29" s="824">
        <v>485.95625757602227</v>
      </c>
      <c r="X29" s="825">
        <v>492.35386825202244</v>
      </c>
      <c r="Y29" s="486">
        <f t="shared" si="2"/>
        <v>1.3</v>
      </c>
      <c r="Z29" s="824"/>
      <c r="AA29" s="825"/>
      <c r="AB29" s="661"/>
      <c r="AC29" s="824">
        <v>85.55</v>
      </c>
      <c r="AD29" s="825">
        <v>164</v>
      </c>
      <c r="AE29" s="486">
        <f t="shared" si="3"/>
        <v>91.7</v>
      </c>
      <c r="AF29" s="824"/>
      <c r="AG29" s="825"/>
      <c r="AH29" s="486"/>
      <c r="AI29" s="658">
        <f t="shared" si="5"/>
        <v>4603.769257576022</v>
      </c>
      <c r="AJ29" s="658">
        <f t="shared" si="5"/>
        <v>5190.5928682520216</v>
      </c>
      <c r="AK29" s="486">
        <f t="shared" si="6"/>
        <v>12.7</v>
      </c>
      <c r="AL29" s="660"/>
      <c r="AM29" s="660"/>
    </row>
    <row r="30" spans="1:39" s="494" customFormat="1" ht="18.75" customHeight="1" x14ac:dyDescent="0.3">
      <c r="A30" s="480" t="s">
        <v>421</v>
      </c>
      <c r="B30" s="824">
        <v>1.9530000000000001</v>
      </c>
      <c r="C30" s="825">
        <v>0.51100000000000001</v>
      </c>
      <c r="D30" s="486">
        <f t="shared" ref="D30:D32" si="9">IF(B30=0, "    ---- ", IF(ABS(ROUND(100/B30*C30-100,1))&lt;999,ROUND(100/B30*C30-100,1),IF(ROUND(100/B30*C30-100,1)&gt;999,999,-999)))</f>
        <v>-73.8</v>
      </c>
      <c r="E30" s="824">
        <v>739.02800000000002</v>
      </c>
      <c r="F30" s="825">
        <f>868.681+6.336</f>
        <v>875.01700000000005</v>
      </c>
      <c r="G30" s="661">
        <f t="shared" si="0"/>
        <v>18.399999999999999</v>
      </c>
      <c r="H30" s="824">
        <v>30</v>
      </c>
      <c r="I30" s="825">
        <v>39.262999999999998</v>
      </c>
      <c r="J30" s="486"/>
      <c r="K30" s="824"/>
      <c r="L30" s="825"/>
      <c r="M30" s="486"/>
      <c r="N30" s="824"/>
      <c r="O30" s="825"/>
      <c r="P30" s="486"/>
      <c r="Q30" s="824">
        <v>16.033253999999999</v>
      </c>
      <c r="R30" s="565"/>
      <c r="S30" s="486">
        <f>IF(Q30=0, "    ---- ", IF(ABS(ROUND(100/Q30*R30-100,1))&lt;999,ROUND(100/Q30*R30-100,1),IF(ROUND(100/Q30*R30-100,1)&gt;999,999,-999)))</f>
        <v>-100</v>
      </c>
      <c r="T30" s="824"/>
      <c r="U30" s="825"/>
      <c r="V30" s="486"/>
      <c r="W30" s="824"/>
      <c r="X30" s="825"/>
      <c r="Y30" s="486"/>
      <c r="Z30" s="824"/>
      <c r="AA30" s="825"/>
      <c r="AB30" s="661"/>
      <c r="AC30" s="824">
        <v>1428.1130000000001</v>
      </c>
      <c r="AD30" s="825">
        <v>1550</v>
      </c>
      <c r="AE30" s="486">
        <f t="shared" si="3"/>
        <v>8.5</v>
      </c>
      <c r="AF30" s="824">
        <v>1376</v>
      </c>
      <c r="AG30" s="825">
        <f>+AG18</f>
        <v>1353</v>
      </c>
      <c r="AH30" s="486">
        <f t="shared" si="4"/>
        <v>-1.7</v>
      </c>
      <c r="AI30" s="658">
        <f t="shared" si="5"/>
        <v>3591.127254</v>
      </c>
      <c r="AJ30" s="658">
        <f t="shared" si="5"/>
        <v>3817.7910000000002</v>
      </c>
      <c r="AK30" s="486">
        <f t="shared" si="6"/>
        <v>6.3</v>
      </c>
      <c r="AL30" s="660"/>
      <c r="AM30" s="660"/>
    </row>
    <row r="31" spans="1:39" s="494" customFormat="1" ht="18.75" customHeight="1" x14ac:dyDescent="0.3">
      <c r="A31" s="480" t="s">
        <v>422</v>
      </c>
      <c r="B31" s="824">
        <v>633.32799999999997</v>
      </c>
      <c r="C31" s="825">
        <v>691.89099999999996</v>
      </c>
      <c r="D31" s="486">
        <f t="shared" si="9"/>
        <v>9.1999999999999993</v>
      </c>
      <c r="E31" s="824">
        <v>150372.16</v>
      </c>
      <c r="F31" s="825">
        <v>151008.274</v>
      </c>
      <c r="G31" s="661">
        <f t="shared" si="0"/>
        <v>0.4</v>
      </c>
      <c r="H31" s="824">
        <v>119.9</v>
      </c>
      <c r="I31" s="825">
        <v>141.76300000000001</v>
      </c>
      <c r="J31" s="486">
        <f>IF(H31=0, "    ---- ", IF(ABS(ROUND(100/H31*I31-100,1))&lt;999,ROUND(100/H31*I31-100,1),IF(ROUND(100/H31*I31-100,1)&gt;999,999,-999)))</f>
        <v>18.2</v>
      </c>
      <c r="K31" s="824">
        <v>4719.5549999999994</v>
      </c>
      <c r="L31" s="825">
        <v>4955</v>
      </c>
      <c r="M31" s="486">
        <f>IF(K31=0, "    ---- ", IF(ABS(ROUND(100/K31*L31-100,1))&lt;999,ROUND(100/K31*L31-100,1),IF(ROUND(100/K31*L31-100,1)&gt;999,999,-999)))</f>
        <v>5</v>
      </c>
      <c r="N31" s="824"/>
      <c r="O31" s="825"/>
      <c r="P31" s="486"/>
      <c r="Q31" s="824"/>
      <c r="R31" s="565"/>
      <c r="S31" s="486"/>
      <c r="T31" s="824"/>
      <c r="U31" s="825"/>
      <c r="V31" s="486"/>
      <c r="W31" s="824">
        <v>41775.061413580414</v>
      </c>
      <c r="X31" s="825">
        <v>42414.442553334622</v>
      </c>
      <c r="Y31" s="486">
        <f t="shared" si="2"/>
        <v>1.5</v>
      </c>
      <c r="Z31" s="824"/>
      <c r="AA31" s="825"/>
      <c r="AB31" s="661"/>
      <c r="AC31" s="824">
        <v>11867.14</v>
      </c>
      <c r="AD31" s="825">
        <v>14132</v>
      </c>
      <c r="AE31" s="486">
        <f t="shared" si="3"/>
        <v>19.100000000000001</v>
      </c>
      <c r="AF31" s="824">
        <v>154585</v>
      </c>
      <c r="AG31" s="825">
        <f>+AG19</f>
        <v>155312</v>
      </c>
      <c r="AH31" s="486">
        <f t="shared" si="4"/>
        <v>0.5</v>
      </c>
      <c r="AI31" s="658">
        <f t="shared" si="5"/>
        <v>364072.14441358042</v>
      </c>
      <c r="AJ31" s="658">
        <f t="shared" si="5"/>
        <v>368655.37055333465</v>
      </c>
      <c r="AK31" s="486">
        <f t="shared" si="6"/>
        <v>1.3</v>
      </c>
      <c r="AL31" s="660"/>
      <c r="AM31" s="660"/>
    </row>
    <row r="32" spans="1:39" s="494" customFormat="1" ht="18.75" customHeight="1" x14ac:dyDescent="0.3">
      <c r="A32" s="480" t="s">
        <v>423</v>
      </c>
      <c r="B32" s="824">
        <v>270.10500000000002</v>
      </c>
      <c r="C32" s="825">
        <v>176.779</v>
      </c>
      <c r="D32" s="486">
        <f t="shared" si="9"/>
        <v>-34.6</v>
      </c>
      <c r="E32" s="824">
        <v>127155.83</v>
      </c>
      <c r="F32" s="825">
        <v>129100.084</v>
      </c>
      <c r="G32" s="661">
        <f t="shared" si="0"/>
        <v>1.5</v>
      </c>
      <c r="H32" s="824"/>
      <c r="I32" s="825"/>
      <c r="J32" s="486"/>
      <c r="K32" s="824">
        <v>3853.8159999999998</v>
      </c>
      <c r="L32" s="825">
        <v>3870</v>
      </c>
      <c r="M32" s="486">
        <f>IF(K32=0, "    ---- ", IF(ABS(ROUND(100/K32*L32-100,1))&lt;999,ROUND(100/K32*L32-100,1),IF(ROUND(100/K32*L32-100,1)&gt;999,999,-999)))</f>
        <v>0.4</v>
      </c>
      <c r="N32" s="824"/>
      <c r="O32" s="825"/>
      <c r="P32" s="486"/>
      <c r="Q32" s="824"/>
      <c r="R32" s="565"/>
      <c r="S32" s="486"/>
      <c r="T32" s="824"/>
      <c r="U32" s="825"/>
      <c r="V32" s="486"/>
      <c r="W32" s="824">
        <v>33881.987982544124</v>
      </c>
      <c r="X32" s="825">
        <v>34556.870683454836</v>
      </c>
      <c r="Y32" s="486">
        <f t="shared" si="2"/>
        <v>2</v>
      </c>
      <c r="Z32" s="824"/>
      <c r="AA32" s="825"/>
      <c r="AB32" s="661"/>
      <c r="AC32" s="824">
        <v>8356.5010000000002</v>
      </c>
      <c r="AD32" s="825">
        <v>9024</v>
      </c>
      <c r="AE32" s="486">
        <f t="shared" si="3"/>
        <v>8</v>
      </c>
      <c r="AF32" s="824">
        <v>126659</v>
      </c>
      <c r="AG32" s="825">
        <f>+AG20</f>
        <v>127889</v>
      </c>
      <c r="AH32" s="486">
        <f t="shared" si="4"/>
        <v>1</v>
      </c>
      <c r="AI32" s="658">
        <f t="shared" si="5"/>
        <v>300177.2399825441</v>
      </c>
      <c r="AJ32" s="658">
        <f t="shared" si="5"/>
        <v>304616.73368345486</v>
      </c>
      <c r="AK32" s="486">
        <f t="shared" si="6"/>
        <v>1.5</v>
      </c>
      <c r="AL32" s="660"/>
      <c r="AM32" s="660"/>
    </row>
    <row r="33" spans="1:39" s="494" customFormat="1" ht="18.75" customHeight="1" x14ac:dyDescent="0.3">
      <c r="A33" s="480" t="s">
        <v>424</v>
      </c>
      <c r="B33" s="824"/>
      <c r="C33" s="825"/>
      <c r="D33" s="486"/>
      <c r="E33" s="824"/>
      <c r="F33" s="825"/>
      <c r="G33" s="661"/>
      <c r="H33" s="824"/>
      <c r="I33" s="825"/>
      <c r="J33" s="486"/>
      <c r="K33" s="824"/>
      <c r="L33" s="825"/>
      <c r="M33" s="486"/>
      <c r="N33" s="824"/>
      <c r="O33" s="825"/>
      <c r="P33" s="486"/>
      <c r="Q33" s="824">
        <v>431153.27276905999</v>
      </c>
      <c r="R33" s="565"/>
      <c r="S33" s="486">
        <f>IF(Q33=0, "    ---- ", IF(ABS(ROUND(100/Q33*R33-100,1))&lt;999,ROUND(100/Q33*R33-100,1),IF(ROUND(100/Q33*R33-100,1)&gt;999,999,-999)))</f>
        <v>-100</v>
      </c>
      <c r="T33" s="824"/>
      <c r="U33" s="825"/>
      <c r="V33" s="486"/>
      <c r="W33" s="824"/>
      <c r="X33" s="825"/>
      <c r="Y33" s="486"/>
      <c r="Z33" s="824"/>
      <c r="AA33" s="825"/>
      <c r="AB33" s="661"/>
      <c r="AC33" s="824"/>
      <c r="AD33" s="825"/>
      <c r="AE33" s="486"/>
      <c r="AF33" s="824">
        <v>2513</v>
      </c>
      <c r="AG33" s="825">
        <f>+AG21</f>
        <v>2506</v>
      </c>
      <c r="AH33" s="486">
        <f t="shared" si="4"/>
        <v>-0.3</v>
      </c>
      <c r="AI33" s="658">
        <f t="shared" si="5"/>
        <v>433666.27276905999</v>
      </c>
      <c r="AJ33" s="658">
        <f t="shared" si="5"/>
        <v>2506</v>
      </c>
      <c r="AK33" s="486">
        <f t="shared" si="6"/>
        <v>-99.4</v>
      </c>
      <c r="AL33" s="660"/>
      <c r="AM33" s="660"/>
    </row>
    <row r="34" spans="1:39" s="494" customFormat="1" ht="18.75" customHeight="1" x14ac:dyDescent="0.3">
      <c r="A34" s="480" t="s">
        <v>425</v>
      </c>
      <c r="B34" s="824">
        <v>48.01</v>
      </c>
      <c r="C34" s="825">
        <v>53.457000000000001</v>
      </c>
      <c r="D34" s="486">
        <f>IF(B34=0, "    ---- ", IF(ABS(ROUND(100/B34*C34-100,1))&lt;999,ROUND(100/B34*C34-100,1),IF(ROUND(100/B34*C34-100,1)&gt;999,999,-999)))</f>
        <v>11.3</v>
      </c>
      <c r="E34" s="824">
        <v>4866.3339999999998</v>
      </c>
      <c r="F34" s="825">
        <f>4624.762+212.591</f>
        <v>4837.3530000000001</v>
      </c>
      <c r="G34" s="661">
        <f t="shared" si="0"/>
        <v>-0.6</v>
      </c>
      <c r="H34" s="824">
        <v>86.3</v>
      </c>
      <c r="I34" s="825">
        <v>110.133</v>
      </c>
      <c r="J34" s="486">
        <f>IF(H34=0, "    ---- ", IF(ABS(ROUND(100/H34*I34-100,1))&lt;999,ROUND(100/H34*I34-100,1),IF(ROUND(100/H34*I34-100,1)&gt;999,999,-999)))</f>
        <v>27.6</v>
      </c>
      <c r="K34" s="824"/>
      <c r="L34" s="825"/>
      <c r="M34" s="486"/>
      <c r="N34" s="824"/>
      <c r="O34" s="825"/>
      <c r="P34" s="486"/>
      <c r="Q34" s="824"/>
      <c r="R34" s="565"/>
      <c r="S34" s="486"/>
      <c r="T34" s="824"/>
      <c r="U34" s="825"/>
      <c r="V34" s="486"/>
      <c r="W34" s="824">
        <v>44.239427092579376</v>
      </c>
      <c r="X34" s="825">
        <v>47.587747799700011</v>
      </c>
      <c r="Y34" s="486">
        <f t="shared" si="2"/>
        <v>7.6</v>
      </c>
      <c r="Z34" s="824"/>
      <c r="AA34" s="825"/>
      <c r="AB34" s="661"/>
      <c r="AC34" s="824">
        <v>461.43200000000002</v>
      </c>
      <c r="AD34" s="825">
        <v>443</v>
      </c>
      <c r="AE34" s="486">
        <f t="shared" si="3"/>
        <v>-4</v>
      </c>
      <c r="AF34" s="824"/>
      <c r="AG34" s="825"/>
      <c r="AH34" s="486"/>
      <c r="AI34" s="658">
        <f t="shared" si="5"/>
        <v>5506.3154270925797</v>
      </c>
      <c r="AJ34" s="658">
        <f t="shared" si="5"/>
        <v>5491.5307477997003</v>
      </c>
      <c r="AK34" s="486">
        <f t="shared" si="6"/>
        <v>-0.3</v>
      </c>
      <c r="AL34" s="660"/>
      <c r="AM34" s="660"/>
    </row>
    <row r="35" spans="1:39" s="668" customFormat="1" ht="18.75" customHeight="1" x14ac:dyDescent="0.3">
      <c r="A35" s="662" t="s">
        <v>427</v>
      </c>
      <c r="B35" s="801">
        <v>15.728</v>
      </c>
      <c r="C35" s="823">
        <f>SUM(C36:C39)</f>
        <v>22.509</v>
      </c>
      <c r="D35" s="663">
        <f>IF(B35=0, "    ---- ", IF(ABS(ROUND(100/B35*C35-100,1))&lt;999,ROUND(100/B35*C35-100,1),IF(ROUND(100/B35*C35-100,1)&gt;999,999,-999)))</f>
        <v>43.1</v>
      </c>
      <c r="E35" s="822">
        <v>7208.9259999999995</v>
      </c>
      <c r="F35" s="823">
        <f>SUM(F36:F39)</f>
        <v>7082.8909999999996</v>
      </c>
      <c r="G35" s="664">
        <f t="shared" si="0"/>
        <v>-1.7</v>
      </c>
      <c r="H35" s="822">
        <v>1.1000000000000001</v>
      </c>
      <c r="I35" s="823">
        <f>SUM(I36:I39)</f>
        <v>7.6389999999999993</v>
      </c>
      <c r="J35" s="663">
        <f>IF(H35=0, "    ---- ", IF(ABS(ROUND(100/H35*I35-100,1))&lt;999,ROUND(100/H35*I35-100,1),IF(ROUND(100/H35*I35-100,1)&gt;999,999,-999)))</f>
        <v>594.5</v>
      </c>
      <c r="K35" s="822">
        <v>241.46600000000001</v>
      </c>
      <c r="L35" s="823">
        <f>SUM(L36:L39)</f>
        <v>284</v>
      </c>
      <c r="M35" s="663">
        <f>IF(K35=0, "    ---- ", IF(ABS(ROUND(100/K35*L35-100,1))&lt;999,ROUND(100/K35*L35-100,1),IF(ROUND(100/K35*L35-100,1)&gt;999,999,-999)))</f>
        <v>17.600000000000001</v>
      </c>
      <c r="N35" s="822"/>
      <c r="O35" s="823"/>
      <c r="P35" s="663"/>
      <c r="Q35" s="822">
        <v>28206.462697999999</v>
      </c>
      <c r="R35" s="567"/>
      <c r="S35" s="663">
        <f>IF(Q35=0, "    ---- ", IF(ABS(ROUND(100/Q35*R35-100,1))&lt;999,ROUND(100/Q35*R35-100,1),IF(ROUND(100/Q35*R35-100,1)&gt;999,999,-999)))</f>
        <v>-100</v>
      </c>
      <c r="T35" s="822">
        <v>111.4</v>
      </c>
      <c r="U35" s="823">
        <f>SUM(U36:U39)</f>
        <v>110</v>
      </c>
      <c r="V35" s="663">
        <f>IF(T35=0, "    ---- ", IF(ABS(ROUND(100/T35*U35-100,1))&lt;999,ROUND(100/T35*U35-100,1),IF(ROUND(100/T35*U35-100,1)&gt;999,999,-999)))</f>
        <v>-1.3</v>
      </c>
      <c r="W35" s="822">
        <v>2090.4264250801143</v>
      </c>
      <c r="X35" s="823">
        <f>SUM(X36:X39)</f>
        <v>2509.9870693862999</v>
      </c>
      <c r="Y35" s="663">
        <f t="shared" si="2"/>
        <v>20.100000000000001</v>
      </c>
      <c r="Z35" s="822">
        <v>7492</v>
      </c>
      <c r="AA35" s="823">
        <f>SUM(AA36:AA39)</f>
        <v>7241</v>
      </c>
      <c r="AB35" s="664">
        <f>IF(Z35=0, "    ---- ", IF(ABS(ROUND(100/Z35*AA35-100,1))&lt;999,ROUND(100/Z35*AA35-100,1),IF(ROUND(100/Z35*AA35-100,1)&gt;999,999,-999)))</f>
        <v>-3.4</v>
      </c>
      <c r="AC35" s="822">
        <v>983.89600000000007</v>
      </c>
      <c r="AD35" s="823">
        <f>SUM(AD36:AD39)</f>
        <v>1337</v>
      </c>
      <c r="AE35" s="663">
        <f t="shared" si="3"/>
        <v>35.9</v>
      </c>
      <c r="AF35" s="822">
        <v>8494</v>
      </c>
      <c r="AG35" s="823">
        <f>SUM(AG36:AG39)</f>
        <v>9022</v>
      </c>
      <c r="AH35" s="663">
        <f t="shared" si="4"/>
        <v>6.2</v>
      </c>
      <c r="AI35" s="580">
        <f t="shared" si="5"/>
        <v>54845.405123080112</v>
      </c>
      <c r="AJ35" s="580">
        <f t="shared" si="5"/>
        <v>27617.026069386302</v>
      </c>
      <c r="AK35" s="663">
        <f t="shared" si="6"/>
        <v>-49.6</v>
      </c>
      <c r="AL35" s="666"/>
      <c r="AM35" s="667"/>
    </row>
    <row r="36" spans="1:39" s="494" customFormat="1" ht="18.75" customHeight="1" x14ac:dyDescent="0.3">
      <c r="A36" s="480" t="s">
        <v>417</v>
      </c>
      <c r="B36" s="824"/>
      <c r="C36" s="825"/>
      <c r="D36" s="486"/>
      <c r="E36" s="824">
        <v>573.86900000000003</v>
      </c>
      <c r="F36" s="825">
        <v>506.36099999999999</v>
      </c>
      <c r="G36" s="661">
        <f t="shared" si="0"/>
        <v>-11.8</v>
      </c>
      <c r="H36" s="824"/>
      <c r="I36" s="825"/>
      <c r="J36" s="486"/>
      <c r="K36" s="824"/>
      <c r="L36" s="825"/>
      <c r="M36" s="486"/>
      <c r="N36" s="824"/>
      <c r="O36" s="825"/>
      <c r="P36" s="486"/>
      <c r="Q36" s="824"/>
      <c r="R36" s="565"/>
      <c r="S36" s="486"/>
      <c r="T36" s="824"/>
      <c r="U36" s="825"/>
      <c r="V36" s="486"/>
      <c r="W36" s="824">
        <v>39.248241896618254</v>
      </c>
      <c r="X36" s="825">
        <v>40.635894497003022</v>
      </c>
      <c r="Y36" s="486">
        <f t="shared" si="2"/>
        <v>3.5</v>
      </c>
      <c r="Z36" s="824"/>
      <c r="AA36" s="825"/>
      <c r="AB36" s="661"/>
      <c r="AC36" s="824">
        <v>6.4829999999999997</v>
      </c>
      <c r="AD36" s="825">
        <v>6</v>
      </c>
      <c r="AE36" s="486">
        <f t="shared" si="3"/>
        <v>-7.5</v>
      </c>
      <c r="AF36" s="824">
        <v>219</v>
      </c>
      <c r="AG36" s="825">
        <v>181</v>
      </c>
      <c r="AH36" s="486">
        <f t="shared" si="4"/>
        <v>-17.399999999999999</v>
      </c>
      <c r="AI36" s="658">
        <f t="shared" si="5"/>
        <v>838.60024189661817</v>
      </c>
      <c r="AJ36" s="658">
        <f t="shared" si="5"/>
        <v>733.99689449700304</v>
      </c>
      <c r="AK36" s="486">
        <f t="shared" si="6"/>
        <v>-12.5</v>
      </c>
      <c r="AL36" s="660"/>
      <c r="AM36" s="660"/>
    </row>
    <row r="37" spans="1:39" s="494" customFormat="1" ht="18.75" customHeight="1" x14ac:dyDescent="0.3">
      <c r="A37" s="480" t="s">
        <v>420</v>
      </c>
      <c r="B37" s="824">
        <v>0.26100000000000001</v>
      </c>
      <c r="C37" s="825">
        <v>0.29699999999999999</v>
      </c>
      <c r="D37" s="486">
        <f>IF(B37=0, "    ---- ", IF(ABS(ROUND(100/B37*C37-100,1))&lt;999,ROUND(100/B37*C37-100,1),IF(ROUND(100/B37*C37-100,1)&gt;999,999,-999)))</f>
        <v>13.8</v>
      </c>
      <c r="E37" s="824">
        <v>850.27800000000002</v>
      </c>
      <c r="F37" s="825">
        <v>877.87699999999995</v>
      </c>
      <c r="G37" s="486">
        <f t="shared" si="0"/>
        <v>3.2</v>
      </c>
      <c r="H37" s="824">
        <v>0.1</v>
      </c>
      <c r="I37" s="825">
        <v>5.3769999999999998</v>
      </c>
      <c r="J37" s="486">
        <f>IF(H37=0, "    ---- ", IF(ABS(ROUND(100/H37*I37-100,1))&lt;999,ROUND(100/H37*I37-100,1),IF(ROUND(100/H37*I37-100,1)&gt;999,999,-999)))</f>
        <v>999</v>
      </c>
      <c r="K37" s="824">
        <v>4.7149999999999999</v>
      </c>
      <c r="L37" s="825">
        <v>7.2</v>
      </c>
      <c r="M37" s="486">
        <f>IF(K37=0, "    ---- ", IF(ABS(ROUND(100/K37*L37-100,1))&lt;999,ROUND(100/K37*L37-100,1),IF(ROUND(100/K37*L37-100,1)&gt;999,999,-999)))</f>
        <v>52.7</v>
      </c>
      <c r="N37" s="824"/>
      <c r="O37" s="825"/>
      <c r="P37" s="486"/>
      <c r="Q37" s="824"/>
      <c r="R37" s="565"/>
      <c r="S37" s="486"/>
      <c r="T37" s="824"/>
      <c r="U37" s="825"/>
      <c r="V37" s="486"/>
      <c r="W37" s="824">
        <v>204.61090618349616</v>
      </c>
      <c r="X37" s="825">
        <v>257.39445388929698</v>
      </c>
      <c r="Y37" s="486">
        <f t="shared" si="2"/>
        <v>25.8</v>
      </c>
      <c r="Z37" s="824"/>
      <c r="AA37" s="825"/>
      <c r="AB37" s="486"/>
      <c r="AC37" s="824">
        <v>155.49700000000001</v>
      </c>
      <c r="AD37" s="825">
        <v>146</v>
      </c>
      <c r="AE37" s="486">
        <f t="shared" si="3"/>
        <v>-6.1</v>
      </c>
      <c r="AF37" s="824">
        <v>811</v>
      </c>
      <c r="AG37" s="825">
        <v>741</v>
      </c>
      <c r="AH37" s="486">
        <f t="shared" si="4"/>
        <v>-8.6</v>
      </c>
      <c r="AI37" s="658">
        <f t="shared" si="5"/>
        <v>2026.4619061834962</v>
      </c>
      <c r="AJ37" s="658">
        <f t="shared" si="5"/>
        <v>2035.145453889297</v>
      </c>
      <c r="AK37" s="486">
        <f t="shared" si="6"/>
        <v>0.4</v>
      </c>
      <c r="AL37" s="660"/>
      <c r="AM37" s="660"/>
    </row>
    <row r="38" spans="1:39" s="494" customFormat="1" ht="18.75" customHeight="1" x14ac:dyDescent="0.3">
      <c r="A38" s="480" t="s">
        <v>422</v>
      </c>
      <c r="B38" s="824">
        <v>15.467000000000001</v>
      </c>
      <c r="C38" s="825">
        <f>22.509-0.297</f>
        <v>22.212</v>
      </c>
      <c r="D38" s="486">
        <f>IF(B38=0, "    ---- ", IF(ABS(ROUND(100/B38*C38-100,1))&lt;999,ROUND(100/B38*C38-100,1),IF(ROUND(100/B38*C38-100,1)&gt;999,999,-999)))</f>
        <v>43.6</v>
      </c>
      <c r="E38" s="824">
        <v>5784.7789999999995</v>
      </c>
      <c r="F38" s="825">
        <v>5698.6530000000002</v>
      </c>
      <c r="G38" s="661">
        <f t="shared" si="0"/>
        <v>-1.5</v>
      </c>
      <c r="H38" s="824">
        <v>1</v>
      </c>
      <c r="I38" s="825">
        <v>2.262</v>
      </c>
      <c r="J38" s="486">
        <f>IF(H38=0, "    ---- ", IF(ABS(ROUND(100/H38*I38-100,1))&lt;999,ROUND(100/H38*I38-100,1),IF(ROUND(100/H38*I38-100,1)&gt;999,999,-999)))</f>
        <v>126.2</v>
      </c>
      <c r="K38" s="824">
        <v>236.751</v>
      </c>
      <c r="L38" s="825">
        <v>276.8</v>
      </c>
      <c r="M38" s="486">
        <f>IF(K38=0, "    ---- ", IF(ABS(ROUND(100/K38*L38-100,1))&lt;999,ROUND(100/K38*L38-100,1),IF(ROUND(100/K38*L38-100,1)&gt;999,999,-999)))</f>
        <v>16.899999999999999</v>
      </c>
      <c r="N38" s="824"/>
      <c r="O38" s="825"/>
      <c r="P38" s="486"/>
      <c r="Q38" s="824"/>
      <c r="R38" s="565"/>
      <c r="S38" s="486"/>
      <c r="T38" s="824">
        <v>111.4</v>
      </c>
      <c r="U38" s="825">
        <v>110</v>
      </c>
      <c r="V38" s="486">
        <f>IF(T38=0, "    ---- ", IF(ABS(ROUND(100/T38*U38-100,1))&lt;999,ROUND(100/T38*U38-100,1),IF(ROUND(100/T38*U38-100,1)&gt;999,999,-999)))</f>
        <v>-1.3</v>
      </c>
      <c r="W38" s="824">
        <v>1846.5672770000001</v>
      </c>
      <c r="X38" s="825">
        <v>2211.956721</v>
      </c>
      <c r="Y38" s="486">
        <f t="shared" si="2"/>
        <v>19.8</v>
      </c>
      <c r="Z38" s="824"/>
      <c r="AA38" s="825"/>
      <c r="AB38" s="661"/>
      <c r="AC38" s="824">
        <v>821.91600000000005</v>
      </c>
      <c r="AD38" s="825">
        <v>1185</v>
      </c>
      <c r="AE38" s="486">
        <f t="shared" si="3"/>
        <v>44.2</v>
      </c>
      <c r="AF38" s="824">
        <v>7254</v>
      </c>
      <c r="AG38" s="825">
        <v>7864</v>
      </c>
      <c r="AH38" s="486">
        <f t="shared" si="4"/>
        <v>8.4</v>
      </c>
      <c r="AI38" s="658">
        <f t="shared" si="5"/>
        <v>16071.880276999998</v>
      </c>
      <c r="AJ38" s="658">
        <f t="shared" si="5"/>
        <v>17370.883720999998</v>
      </c>
      <c r="AK38" s="486">
        <f t="shared" si="6"/>
        <v>8.1</v>
      </c>
      <c r="AL38" s="660"/>
      <c r="AM38" s="660"/>
    </row>
    <row r="39" spans="1:39" s="494" customFormat="1" ht="18.75" customHeight="1" x14ac:dyDescent="0.3">
      <c r="A39" s="480" t="s">
        <v>424</v>
      </c>
      <c r="B39" s="824"/>
      <c r="C39" s="825"/>
      <c r="D39" s="486"/>
      <c r="E39" s="824"/>
      <c r="F39" s="825"/>
      <c r="G39" s="661"/>
      <c r="H39" s="824"/>
      <c r="I39" s="825"/>
      <c r="J39" s="486"/>
      <c r="K39" s="824"/>
      <c r="L39" s="825"/>
      <c r="M39" s="486"/>
      <c r="N39" s="824"/>
      <c r="O39" s="825"/>
      <c r="P39" s="486"/>
      <c r="Q39" s="824">
        <v>28206.462697999999</v>
      </c>
      <c r="R39" s="565"/>
      <c r="S39" s="486">
        <f>IF(Q39=0, "    ---- ", IF(ABS(ROUND(100/Q39*R39-100,1))&lt;999,ROUND(100/Q39*R39-100,1),IF(ROUND(100/Q39*R39-100,1)&gt;999,999,-999)))</f>
        <v>-100</v>
      </c>
      <c r="T39" s="824"/>
      <c r="U39" s="825"/>
      <c r="V39" s="486"/>
      <c r="W39" s="824"/>
      <c r="X39" s="825"/>
      <c r="Y39" s="486"/>
      <c r="Z39" s="824">
        <v>7492</v>
      </c>
      <c r="AA39" s="825">
        <v>7241</v>
      </c>
      <c r="AB39" s="661">
        <f>IF(Z39=0, "    ---- ", IF(ABS(ROUND(100/Z39*AA39-100,1))&lt;999,ROUND(100/Z39*AA39-100,1),IF(ROUND(100/Z39*AA39-100,1)&gt;999,999,-999)))</f>
        <v>-3.4</v>
      </c>
      <c r="AC39" s="824"/>
      <c r="AD39" s="825"/>
      <c r="AE39" s="486"/>
      <c r="AF39" s="824">
        <v>210</v>
      </c>
      <c r="AG39" s="825">
        <v>236</v>
      </c>
      <c r="AH39" s="486">
        <f t="shared" si="4"/>
        <v>12.4</v>
      </c>
      <c r="AI39" s="658">
        <f t="shared" si="5"/>
        <v>35908.462698000003</v>
      </c>
      <c r="AJ39" s="658">
        <f t="shared" si="5"/>
        <v>7477</v>
      </c>
      <c r="AK39" s="486">
        <f t="shared" si="6"/>
        <v>-79.2</v>
      </c>
      <c r="AL39" s="660"/>
      <c r="AM39" s="660"/>
    </row>
    <row r="40" spans="1:39" s="668" customFormat="1" ht="18.75" customHeight="1" x14ac:dyDescent="0.3">
      <c r="A40" s="662" t="s">
        <v>428</v>
      </c>
      <c r="B40" s="822">
        <v>24.704999999999998</v>
      </c>
      <c r="C40" s="823">
        <v>42.593000000000004</v>
      </c>
      <c r="D40" s="663">
        <f>IF(B40=0, "    ---- ", IF(ABS(ROUND(100/B40*C40-100,1))&lt;999,ROUND(100/B40*C40-100,1),IF(ROUND(100/B40*C40-100,1)&gt;999,999,-999)))</f>
        <v>72.400000000000006</v>
      </c>
      <c r="E40" s="822">
        <v>1456.796</v>
      </c>
      <c r="F40" s="823">
        <v>5557.1989999999996</v>
      </c>
      <c r="G40" s="664">
        <f t="shared" si="0"/>
        <v>281.5</v>
      </c>
      <c r="H40" s="822"/>
      <c r="I40" s="823">
        <v>6.88</v>
      </c>
      <c r="J40" s="663" t="str">
        <f>IF(H40=0, "    ---- ", IF(ABS(ROUND(100/H40*I40-100,1))&lt;999,ROUND(100/H40*I40-100,1),IF(ROUND(100/H40*I40-100,1)&gt;999,999,-999)))</f>
        <v xml:space="preserve">    ---- </v>
      </c>
      <c r="K40" s="822">
        <v>5.7329999999999997</v>
      </c>
      <c r="L40" s="823">
        <v>21.2</v>
      </c>
      <c r="M40" s="663">
        <f>IF(K40=0, "    ---- ", IF(ABS(ROUND(100/K40*L40-100,1))&lt;999,ROUND(100/K40*L40-100,1),IF(ROUND(100/K40*L40-100,1)&gt;999,999,-999)))</f>
        <v>269.8</v>
      </c>
      <c r="N40" s="822"/>
      <c r="O40" s="823"/>
      <c r="P40" s="663"/>
      <c r="Q40" s="822">
        <v>33439.041881999998</v>
      </c>
      <c r="R40" s="567"/>
      <c r="S40" s="663">
        <f>IF(Q40=0, "    ---- ", IF(ABS(ROUND(100/Q40*R40-100,1))&lt;999,ROUND(100/Q40*R40-100,1),IF(ROUND(100/Q40*R40-100,1)&gt;999,999,-999)))</f>
        <v>-100</v>
      </c>
      <c r="T40" s="822">
        <v>7.9</v>
      </c>
      <c r="U40" s="823">
        <v>19.2</v>
      </c>
      <c r="V40" s="663">
        <f>IF(T40=0, "    ---- ", IF(ABS(ROUND(100/T40*U40-100,1))&lt;999,ROUND(100/T40*U40-100,1),IF(ROUND(100/T40*U40-100,1)&gt;999,999,-999)))</f>
        <v>143</v>
      </c>
      <c r="W40" s="822">
        <v>987.07</v>
      </c>
      <c r="X40" s="823">
        <v>1629.85</v>
      </c>
      <c r="Y40" s="663">
        <f t="shared" si="2"/>
        <v>65.099999999999994</v>
      </c>
      <c r="Z40" s="822">
        <v>9304</v>
      </c>
      <c r="AA40" s="823">
        <v>16522</v>
      </c>
      <c r="AB40" s="664">
        <f>IF(Z40=0, "    ---- ", IF(ABS(ROUND(100/Z40*AA40-100,1))&lt;999,ROUND(100/Z40*AA40-100,1),IF(ROUND(100/Z40*AA40-100,1)&gt;999,999,-999)))</f>
        <v>77.599999999999994</v>
      </c>
      <c r="AC40" s="822">
        <v>1544.798</v>
      </c>
      <c r="AD40" s="823">
        <v>2326</v>
      </c>
      <c r="AE40" s="663">
        <f t="shared" si="3"/>
        <v>50.6</v>
      </c>
      <c r="AF40" s="822">
        <v>2245</v>
      </c>
      <c r="AG40" s="823">
        <v>5500</v>
      </c>
      <c r="AH40" s="663">
        <f t="shared" si="4"/>
        <v>145</v>
      </c>
      <c r="AI40" s="580">
        <f t="shared" si="5"/>
        <v>49015.043881999998</v>
      </c>
      <c r="AJ40" s="580">
        <f t="shared" si="5"/>
        <v>31624.921999999999</v>
      </c>
      <c r="AK40" s="663">
        <f t="shared" si="6"/>
        <v>-35.5</v>
      </c>
      <c r="AL40" s="667"/>
      <c r="AM40" s="667"/>
    </row>
    <row r="41" spans="1:39" s="668" customFormat="1" ht="18.75" customHeight="1" x14ac:dyDescent="0.3">
      <c r="A41" s="662" t="s">
        <v>429</v>
      </c>
      <c r="B41" s="801">
        <v>15.872999999999999</v>
      </c>
      <c r="C41" s="823">
        <f>SUM(C42:C44)</f>
        <v>15.064</v>
      </c>
      <c r="D41" s="663">
        <f t="shared" ref="D41:D54" si="10">IF(B41=0, "    ---- ", IF(ABS(ROUND(100/B41*C41-100,1))&lt;999,ROUND(100/B41*C41-100,1),IF(ROUND(100/B41*C41-100,1)&gt;999,999,-999)))</f>
        <v>-5.0999999999999996</v>
      </c>
      <c r="E41" s="822">
        <v>827.86099999999999</v>
      </c>
      <c r="F41" s="823">
        <f>SUM(F42:F44)</f>
        <v>651.65300000000002</v>
      </c>
      <c r="G41" s="664">
        <f t="shared" si="0"/>
        <v>-21.3</v>
      </c>
      <c r="H41" s="822"/>
      <c r="I41" s="823"/>
      <c r="J41" s="663"/>
      <c r="K41" s="822">
        <v>2.94</v>
      </c>
      <c r="L41" s="823">
        <f>SUM(L42:L44)</f>
        <v>2.5</v>
      </c>
      <c r="M41" s="486">
        <f>IF(K41=0, "    ---- ", IF(ABS(ROUND(100/K41*L41-100,1))&lt;999,ROUND(100/K41*L41-100,1),IF(ROUND(100/K41*L41-100,1)&gt;999,999,-999)))</f>
        <v>-15</v>
      </c>
      <c r="N41" s="822"/>
      <c r="O41" s="823"/>
      <c r="P41" s="663"/>
      <c r="Q41" s="822">
        <v>12382.765036000001</v>
      </c>
      <c r="R41" s="567"/>
      <c r="S41" s="663">
        <f>IF(Q41=0, "    ---- ", IF(ABS(ROUND(100/Q41*R41-100,1))&lt;999,ROUND(100/Q41*R41-100,1),IF(ROUND(100/Q41*R41-100,1)&gt;999,999,-999)))</f>
        <v>-100</v>
      </c>
      <c r="T41" s="822">
        <v>34.9</v>
      </c>
      <c r="U41" s="823">
        <f>SUM(U42:U44)</f>
        <v>31.1</v>
      </c>
      <c r="V41" s="663">
        <f>IF(T41=0, "    ---- ", IF(ABS(ROUND(100/T41*U41-100,1))&lt;999,ROUND(100/T41*U41-100,1),IF(ROUND(100/T41*U41-100,1)&gt;999,999,-999)))</f>
        <v>-10.9</v>
      </c>
      <c r="W41" s="822">
        <v>659.94736680000005</v>
      </c>
      <c r="X41" s="823">
        <f>SUM(X42:X44)</f>
        <v>732.17227200000002</v>
      </c>
      <c r="Y41" s="663">
        <f t="shared" si="2"/>
        <v>10.9</v>
      </c>
      <c r="Z41" s="822">
        <v>3249</v>
      </c>
      <c r="AA41" s="823">
        <f>SUM(AA42:AA44)</f>
        <v>1578</v>
      </c>
      <c r="AB41" s="664">
        <f>IF(Z41=0, "    ---- ", IF(ABS(ROUND(100/Z41*AA41-100,1))&lt;999,ROUND(100/Z41*AA41-100,1),IF(ROUND(100/Z41*AA41-100,1)&gt;999,999,-999)))</f>
        <v>-51.4</v>
      </c>
      <c r="AC41" s="822">
        <v>202.57599999999999</v>
      </c>
      <c r="AD41" s="823">
        <f>SUM(AD42:AD44)</f>
        <v>289</v>
      </c>
      <c r="AE41" s="663">
        <f t="shared" si="3"/>
        <v>42.7</v>
      </c>
      <c r="AF41" s="822">
        <v>2157</v>
      </c>
      <c r="AG41" s="823">
        <f>SUM(AG42:AG44)</f>
        <v>2016</v>
      </c>
      <c r="AH41" s="663">
        <f t="shared" si="4"/>
        <v>-6.5</v>
      </c>
      <c r="AI41" s="580">
        <f t="shared" si="5"/>
        <v>19532.862402800001</v>
      </c>
      <c r="AJ41" s="580">
        <f t="shared" si="5"/>
        <v>5315.4892719999998</v>
      </c>
      <c r="AK41" s="663">
        <f t="shared" si="6"/>
        <v>-72.8</v>
      </c>
      <c r="AL41" s="666"/>
      <c r="AM41" s="667"/>
    </row>
    <row r="42" spans="1:39" s="494" customFormat="1" ht="18.75" customHeight="1" x14ac:dyDescent="0.3">
      <c r="A42" s="480" t="s">
        <v>420</v>
      </c>
      <c r="B42" s="824"/>
      <c r="C42" s="825"/>
      <c r="D42" s="486"/>
      <c r="E42" s="824">
        <v>63.654000000000003</v>
      </c>
      <c r="F42" s="825">
        <v>52.402000000000001</v>
      </c>
      <c r="G42" s="486">
        <f t="shared" si="0"/>
        <v>-17.7</v>
      </c>
      <c r="H42" s="824"/>
      <c r="I42" s="825"/>
      <c r="J42" s="486"/>
      <c r="K42" s="824">
        <v>0.40799999999999997</v>
      </c>
      <c r="L42" s="825"/>
      <c r="M42" s="486">
        <f>IF(K42=0, "    ---- ", IF(ABS(ROUND(100/K42*L42-100,1))&lt;999,ROUND(100/K42*L42-100,1),IF(ROUND(100/K42*L42-100,1)&gt;999,999,-999)))</f>
        <v>-100</v>
      </c>
      <c r="N42" s="824"/>
      <c r="O42" s="825"/>
      <c r="P42" s="486"/>
      <c r="Q42" s="824"/>
      <c r="R42" s="565"/>
      <c r="S42" s="486"/>
      <c r="T42" s="824"/>
      <c r="U42" s="825"/>
      <c r="V42" s="486"/>
      <c r="W42" s="824">
        <v>0.59511780000000003</v>
      </c>
      <c r="X42" s="825">
        <v>0.45297300000000001</v>
      </c>
      <c r="Y42" s="486">
        <f t="shared" si="2"/>
        <v>-23.9</v>
      </c>
      <c r="Z42" s="824"/>
      <c r="AA42" s="825"/>
      <c r="AB42" s="486"/>
      <c r="AC42" s="824"/>
      <c r="AD42" s="825"/>
      <c r="AE42" s="486"/>
      <c r="AF42" s="824"/>
      <c r="AG42" s="825"/>
      <c r="AH42" s="486"/>
      <c r="AI42" s="658">
        <f t="shared" si="5"/>
        <v>64.657117799999995</v>
      </c>
      <c r="AJ42" s="658">
        <f t="shared" si="5"/>
        <v>52.854973000000001</v>
      </c>
      <c r="AK42" s="486">
        <f t="shared" si="6"/>
        <v>-18.3</v>
      </c>
      <c r="AL42" s="660"/>
      <c r="AM42" s="660"/>
    </row>
    <row r="43" spans="1:39" s="494" customFormat="1" ht="18.75" customHeight="1" x14ac:dyDescent="0.3">
      <c r="A43" s="480" t="s">
        <v>422</v>
      </c>
      <c r="B43" s="824">
        <v>15.872999999999999</v>
      </c>
      <c r="C43" s="825">
        <v>15.064</v>
      </c>
      <c r="D43" s="486">
        <f t="shared" si="10"/>
        <v>-5.0999999999999996</v>
      </c>
      <c r="E43" s="824">
        <v>764.20699999999999</v>
      </c>
      <c r="F43" s="825">
        <v>599.25099999999998</v>
      </c>
      <c r="G43" s="661">
        <f t="shared" si="0"/>
        <v>-21.6</v>
      </c>
      <c r="H43" s="824"/>
      <c r="I43" s="825"/>
      <c r="J43" s="486"/>
      <c r="K43" s="824">
        <v>2.532</v>
      </c>
      <c r="L43" s="825">
        <v>2.5</v>
      </c>
      <c r="M43" s="486">
        <f>IF(K43=0, "    ---- ", IF(ABS(ROUND(100/K43*L43-100,1))&lt;999,ROUND(100/K43*L43-100,1),IF(ROUND(100/K43*L43-100,1)&gt;999,999,-999)))</f>
        <v>-1.3</v>
      </c>
      <c r="N43" s="824"/>
      <c r="O43" s="825"/>
      <c r="P43" s="486"/>
      <c r="Q43" s="824"/>
      <c r="R43" s="565"/>
      <c r="S43" s="486"/>
      <c r="T43" s="824">
        <v>34.9</v>
      </c>
      <c r="U43" s="825">
        <v>31.1</v>
      </c>
      <c r="V43" s="486">
        <f>IF(T43=0, "    ---- ", IF(ABS(ROUND(100/T43*U43-100,1))&lt;999,ROUND(100/T43*U43-100,1),IF(ROUND(100/T43*U43-100,1)&gt;999,999,-999)))</f>
        <v>-10.9</v>
      </c>
      <c r="W43" s="824">
        <v>659.35224900000003</v>
      </c>
      <c r="X43" s="825">
        <v>731.71929899999998</v>
      </c>
      <c r="Y43" s="486">
        <f t="shared" si="2"/>
        <v>11</v>
      </c>
      <c r="Z43" s="824"/>
      <c r="AA43" s="825"/>
      <c r="AB43" s="661"/>
      <c r="AC43" s="824">
        <v>202.57599999999999</v>
      </c>
      <c r="AD43" s="825">
        <v>289</v>
      </c>
      <c r="AE43" s="486">
        <f t="shared" si="3"/>
        <v>42.7</v>
      </c>
      <c r="AF43" s="824">
        <v>2007</v>
      </c>
      <c r="AG43" s="825">
        <f>1368+511</f>
        <v>1879</v>
      </c>
      <c r="AH43" s="486">
        <f t="shared" si="4"/>
        <v>-6.4</v>
      </c>
      <c r="AI43" s="658">
        <f t="shared" si="5"/>
        <v>3686.4402490000002</v>
      </c>
      <c r="AJ43" s="658">
        <f t="shared" si="5"/>
        <v>3547.6342989999998</v>
      </c>
      <c r="AK43" s="486">
        <f t="shared" si="6"/>
        <v>-3.8</v>
      </c>
      <c r="AL43" s="660"/>
      <c r="AM43" s="660"/>
    </row>
    <row r="44" spans="1:39" s="494" customFormat="1" ht="18.75" customHeight="1" x14ac:dyDescent="0.3">
      <c r="A44" s="480" t="s">
        <v>424</v>
      </c>
      <c r="B44" s="824"/>
      <c r="C44" s="825"/>
      <c r="D44" s="486"/>
      <c r="E44" s="824"/>
      <c r="F44" s="825"/>
      <c r="G44" s="661"/>
      <c r="H44" s="824"/>
      <c r="I44" s="825"/>
      <c r="J44" s="486"/>
      <c r="K44" s="824"/>
      <c r="L44" s="825"/>
      <c r="M44" s="486"/>
      <c r="N44" s="824"/>
      <c r="O44" s="825"/>
      <c r="P44" s="486"/>
      <c r="Q44" s="824">
        <v>12382.765036000001</v>
      </c>
      <c r="R44" s="565"/>
      <c r="S44" s="486">
        <f>IF(Q44=0, "    ---- ", IF(ABS(ROUND(100/Q44*R44-100,1))&lt;999,ROUND(100/Q44*R44-100,1),IF(ROUND(100/Q44*R44-100,1)&gt;999,999,-999)))</f>
        <v>-100</v>
      </c>
      <c r="T44" s="824"/>
      <c r="U44" s="825"/>
      <c r="V44" s="486"/>
      <c r="W44" s="824"/>
      <c r="X44" s="825"/>
      <c r="Y44" s="486"/>
      <c r="Z44" s="824">
        <v>3249</v>
      </c>
      <c r="AA44" s="825">
        <v>1578</v>
      </c>
      <c r="AB44" s="661">
        <f>IF(Z44=0, "    ---- ", IF(ABS(ROUND(100/Z44*AA44-100,1))&lt;999,ROUND(100/Z44*AA44-100,1),IF(ROUND(100/Z44*AA44-100,1)&gt;999,999,-999)))</f>
        <v>-51.4</v>
      </c>
      <c r="AC44" s="824"/>
      <c r="AD44" s="825"/>
      <c r="AE44" s="486"/>
      <c r="AF44" s="824">
        <v>150</v>
      </c>
      <c r="AG44" s="825">
        <v>137</v>
      </c>
      <c r="AH44" s="486">
        <f t="shared" si="4"/>
        <v>-8.6999999999999993</v>
      </c>
      <c r="AI44" s="658">
        <f t="shared" si="5"/>
        <v>15781.765036000001</v>
      </c>
      <c r="AJ44" s="658">
        <f t="shared" si="5"/>
        <v>1715</v>
      </c>
      <c r="AK44" s="486">
        <f t="shared" si="6"/>
        <v>-89.1</v>
      </c>
      <c r="AL44" s="660"/>
      <c r="AM44" s="660"/>
    </row>
    <row r="45" spans="1:39" s="668" customFormat="1" ht="18.75" customHeight="1" x14ac:dyDescent="0.3">
      <c r="A45" s="662" t="s">
        <v>430</v>
      </c>
      <c r="B45" s="822"/>
      <c r="C45" s="823"/>
      <c r="D45" s="663"/>
      <c r="E45" s="822">
        <v>51.488999999999997</v>
      </c>
      <c r="F45" s="823">
        <v>96.135000000000005</v>
      </c>
      <c r="G45" s="664">
        <f t="shared" si="0"/>
        <v>86.7</v>
      </c>
      <c r="H45" s="822">
        <v>26.8</v>
      </c>
      <c r="I45" s="823">
        <v>30.344999999999999</v>
      </c>
      <c r="J45" s="663">
        <f>IF(H45=0, "    ---- ", IF(ABS(ROUND(100/H45*I45-100,1))&lt;999,ROUND(100/H45*I45-100,1),IF(ROUND(100/H45*I45-100,1)&gt;999,999,-999)))</f>
        <v>13.2</v>
      </c>
      <c r="K45" s="822"/>
      <c r="L45" s="823"/>
      <c r="M45" s="663"/>
      <c r="N45" s="822"/>
      <c r="O45" s="823"/>
      <c r="P45" s="663"/>
      <c r="Q45" s="822"/>
      <c r="R45" s="567"/>
      <c r="S45" s="663"/>
      <c r="T45" s="822"/>
      <c r="U45" s="823"/>
      <c r="V45" s="663"/>
      <c r="W45" s="822"/>
      <c r="X45" s="823"/>
      <c r="Y45" s="663"/>
      <c r="Z45" s="822">
        <v>365</v>
      </c>
      <c r="AA45" s="823">
        <v>350</v>
      </c>
      <c r="AB45" s="663">
        <f>IF(Z45=0, "    ---- ", IF(ABS(ROUND(100/Z45*AA45-100,1))&lt;999,ROUND(100/Z45*AA45-100,1),IF(ROUND(100/Z45*AA45-100,1)&gt;999,999,-999)))</f>
        <v>-4.0999999999999996</v>
      </c>
      <c r="AC45" s="822"/>
      <c r="AD45" s="823"/>
      <c r="AE45" s="663"/>
      <c r="AF45" s="822">
        <v>622</v>
      </c>
      <c r="AG45" s="823">
        <v>662</v>
      </c>
      <c r="AH45" s="663">
        <f t="shared" si="4"/>
        <v>6.4</v>
      </c>
      <c r="AI45" s="580">
        <f t="shared" si="5"/>
        <v>1065.289</v>
      </c>
      <c r="AJ45" s="580">
        <f t="shared" si="5"/>
        <v>1138.48</v>
      </c>
      <c r="AK45" s="663">
        <f t="shared" si="6"/>
        <v>6.9</v>
      </c>
      <c r="AL45" s="666"/>
      <c r="AM45" s="667"/>
    </row>
    <row r="46" spans="1:39" s="668" customFormat="1" ht="18.75" customHeight="1" x14ac:dyDescent="0.3">
      <c r="A46" s="662"/>
      <c r="B46" s="822"/>
      <c r="C46" s="823"/>
      <c r="D46" s="663"/>
      <c r="E46" s="822"/>
      <c r="F46" s="823"/>
      <c r="G46" s="664"/>
      <c r="H46" s="822"/>
      <c r="I46" s="823"/>
      <c r="J46" s="663"/>
      <c r="K46" s="822"/>
      <c r="L46" s="823"/>
      <c r="M46" s="663"/>
      <c r="N46" s="822"/>
      <c r="O46" s="823"/>
      <c r="P46" s="663"/>
      <c r="Q46" s="822"/>
      <c r="R46" s="567"/>
      <c r="S46" s="663"/>
      <c r="T46" s="822"/>
      <c r="U46" s="823"/>
      <c r="V46" s="663"/>
      <c r="W46" s="822"/>
      <c r="X46" s="823"/>
      <c r="Y46" s="663"/>
      <c r="Z46" s="822"/>
      <c r="AA46" s="823"/>
      <c r="AB46" s="664"/>
      <c r="AC46" s="822"/>
      <c r="AD46" s="823"/>
      <c r="AE46" s="663"/>
      <c r="AF46" s="822"/>
      <c r="AG46" s="823"/>
      <c r="AH46" s="663"/>
      <c r="AI46" s="665"/>
      <c r="AJ46" s="665"/>
      <c r="AK46" s="663"/>
      <c r="AL46" s="667"/>
      <c r="AM46" s="667"/>
    </row>
    <row r="47" spans="1:39" s="668" customFormat="1" ht="18.75" customHeight="1" x14ac:dyDescent="0.3">
      <c r="A47" s="662" t="s">
        <v>431</v>
      </c>
      <c r="B47" s="822">
        <v>1144.7940000000001</v>
      </c>
      <c r="C47" s="823">
        <f>SUM(C11+C35+C40+C41+C45)</f>
        <v>1179.1260000000002</v>
      </c>
      <c r="D47" s="663">
        <f t="shared" si="10"/>
        <v>3</v>
      </c>
      <c r="E47" s="822">
        <f>SUM(E11+E35+E40+E41+E45)</f>
        <v>204286.16400000002</v>
      </c>
      <c r="F47" s="823">
        <f>SUM(F11+F35+F40+F41+F45)</f>
        <v>206883.95200000002</v>
      </c>
      <c r="G47" s="664">
        <f t="shared" si="0"/>
        <v>1.3</v>
      </c>
      <c r="H47" s="822">
        <f>SUM(H11+H35+H40+H41+H45)</f>
        <v>956.8</v>
      </c>
      <c r="I47" s="823">
        <f>SUM(I11+I35+I40+I41+I45)</f>
        <v>1056.4570000000001</v>
      </c>
      <c r="J47" s="663">
        <f>IF(H47=0, "    ---- ", IF(ABS(ROUND(100/H47*I47-100,1))&lt;999,ROUND(100/H47*I47-100,1),IF(ROUND(100/H47*I47-100,1)&gt;999,999,-999)))</f>
        <v>10.4</v>
      </c>
      <c r="K47" s="822">
        <f>SUM(K11+K35+K40+K41+K45)</f>
        <v>6586.3779999999997</v>
      </c>
      <c r="L47" s="823">
        <f>SUM(L11+L35+L40+L41+L45)</f>
        <v>7203.8</v>
      </c>
      <c r="M47" s="663">
        <f>IF(K47=0, "    ---- ", IF(ABS(ROUND(100/K47*L47-100,1))&lt;999,ROUND(100/K47*L47-100,1),IF(ROUND(100/K47*L47-100,1)&gt;999,999,-999)))</f>
        <v>9.4</v>
      </c>
      <c r="N47" s="822">
        <f>SUM(N11+N35+N40+N41+N45)</f>
        <v>47.753438629999998</v>
      </c>
      <c r="O47" s="823">
        <f>SUM(O11+O35+O40+O41+O45)</f>
        <v>51.045821430000004</v>
      </c>
      <c r="P47" s="663">
        <f>IF(N47=0, "    ---- ", IF(ABS(ROUND(100/N47*O47-100,1))&lt;999,ROUND(100/N47*O47-100,1),IF(ROUND(100/N47*O47-100,1)&gt;999,999,-999)))</f>
        <v>6.9</v>
      </c>
      <c r="Q47" s="822">
        <f>SUM(Q11+Q35+Q40+Q41+Q45)</f>
        <v>505197.57563906</v>
      </c>
      <c r="R47" s="567"/>
      <c r="S47" s="663">
        <f>IF(Q47=0, "    ---- ", IF(ABS(ROUND(100/Q47*R47-100,1))&lt;999,ROUND(100/Q47*R47-100,1),IF(ROUND(100/Q47*R47-100,1)&gt;999,999,-999)))</f>
        <v>-100</v>
      </c>
      <c r="T47" s="822">
        <f>SUM(T11+T35+T40+T41+T45)</f>
        <v>1683.8000000000002</v>
      </c>
      <c r="U47" s="823">
        <f>SUM(U11+U35+U40+U41+U45)</f>
        <v>1742.8</v>
      </c>
      <c r="V47" s="663">
        <f>IF(T47=0, "    ---- ", IF(ABS(ROUND(100/T47*U47-100,1))&lt;999,ROUND(100/T47*U47-100,1),IF(ROUND(100/T47*U47-100,1)&gt;999,999,-999)))</f>
        <v>3.5</v>
      </c>
      <c r="W47" s="822">
        <f>SUM(W11+W35+W40+W41+W45)</f>
        <v>50050.284848725227</v>
      </c>
      <c r="X47" s="823">
        <f>SUM(X11+X35+X40+X41+X45)</f>
        <v>51671.988873462527</v>
      </c>
      <c r="Y47" s="663">
        <f t="shared" si="2"/>
        <v>3.2</v>
      </c>
      <c r="Z47" s="822">
        <f>SUM(Z11+Z35+Z40+Z41+Z45)</f>
        <v>83998</v>
      </c>
      <c r="AA47" s="823">
        <f>SUM(AA11+AA35+AA40+AA41+AA45)</f>
        <v>92589</v>
      </c>
      <c r="AB47" s="664">
        <f>IF(Z47=0, "    ---- ", IF(ABS(ROUND(100/Z47*AA47-100,1))&lt;999,ROUND(100/Z47*AA47-100,1),IF(ROUND(100/Z47*AA47-100,1)&gt;999,999,-999)))</f>
        <v>10.199999999999999</v>
      </c>
      <c r="AC47" s="822">
        <f>SUM(AC11+AC35+AC40+AC41+AC45)</f>
        <v>22447.935000000001</v>
      </c>
      <c r="AD47" s="823">
        <f>SUM(AD11+AD35+AD40+AD41+AD45)</f>
        <v>26302</v>
      </c>
      <c r="AE47" s="663">
        <f t="shared" si="3"/>
        <v>17.2</v>
      </c>
      <c r="AF47" s="822">
        <f>SUM(AF11+AF35+AF40+AF41+AF45)</f>
        <v>185445.1</v>
      </c>
      <c r="AG47" s="823">
        <f>SUM(AG11+AG35+AG40+AG41+AG45)</f>
        <v>189163</v>
      </c>
      <c r="AH47" s="663">
        <f>SUM(AH11+AH35+AH40+AH41+AH45)</f>
        <v>151.1</v>
      </c>
      <c r="AI47" s="580">
        <f t="shared" ref="AI47:AJ53" si="11">+B47+E47+H47+K47+N47+Q47+T47+W47+Z47+AC47+AF47</f>
        <v>1061844.5849264152</v>
      </c>
      <c r="AJ47" s="580">
        <f t="shared" si="11"/>
        <v>577843.16969489248</v>
      </c>
      <c r="AK47" s="663">
        <f t="shared" si="6"/>
        <v>-45.6</v>
      </c>
      <c r="AL47" s="666"/>
      <c r="AM47" s="667"/>
    </row>
    <row r="48" spans="1:39" s="494" customFormat="1" ht="18.75" customHeight="1" x14ac:dyDescent="0.3">
      <c r="A48" s="480" t="s">
        <v>417</v>
      </c>
      <c r="B48" s="824">
        <v>277.10599999999999</v>
      </c>
      <c r="C48" s="825">
        <f>SUM(C12+C36)</f>
        <v>245.244</v>
      </c>
      <c r="D48" s="486">
        <f t="shared" si="10"/>
        <v>-11.5</v>
      </c>
      <c r="E48" s="824">
        <f>SUM(E12+E36)</f>
        <v>14144.855000000001</v>
      </c>
      <c r="F48" s="825">
        <f>SUM(F12+F36)</f>
        <v>12967.906000000001</v>
      </c>
      <c r="G48" s="661">
        <f t="shared" si="0"/>
        <v>-8.3000000000000007</v>
      </c>
      <c r="H48" s="824">
        <f>SUM(H12+H36)</f>
        <v>75.099999999999994</v>
      </c>
      <c r="I48" s="825">
        <f>SUM(I12+I36)</f>
        <v>60.503</v>
      </c>
      <c r="J48" s="486">
        <f>IF(H48=0, "    ---- ", IF(ABS(ROUND(100/H48*I48-100,1))&lt;999,ROUND(100/H48*I48-100,1),IF(ROUND(100/H48*I48-100,1)&gt;999,999,-999)))</f>
        <v>-19.399999999999999</v>
      </c>
      <c r="K48" s="824"/>
      <c r="L48" s="825"/>
      <c r="M48" s="486"/>
      <c r="N48" s="824">
        <f>SUM(N12+N36)</f>
        <v>20.964048999999999</v>
      </c>
      <c r="O48" s="825">
        <v>25.141164</v>
      </c>
      <c r="P48" s="486">
        <f>IF(N48=0, "    ---- ", IF(ABS(ROUND(100/N48*O48-100,1))&lt;999,ROUND(100/N48*O48-100,1),IF(ROUND(100/N48*O48-100,1)&gt;999,999,-999)))</f>
        <v>19.899999999999999</v>
      </c>
      <c r="Q48" s="824"/>
      <c r="R48" s="565"/>
      <c r="S48" s="486"/>
      <c r="T48" s="824"/>
      <c r="U48" s="825"/>
      <c r="V48" s="486"/>
      <c r="W48" s="824">
        <f>SUM(W12+W36)</f>
        <v>841.42960921477925</v>
      </c>
      <c r="X48" s="825">
        <f>SUM(X12+X36)</f>
        <v>797.21037727813359</v>
      </c>
      <c r="Y48" s="486">
        <f t="shared" si="2"/>
        <v>-5.3</v>
      </c>
      <c r="Z48" s="824"/>
      <c r="AA48" s="825"/>
      <c r="AB48" s="661"/>
      <c r="AC48" s="824">
        <f>SUM(AC12+AC36)</f>
        <v>840.10899999999992</v>
      </c>
      <c r="AD48" s="825">
        <f>SUM(AD12+AD36)</f>
        <v>852</v>
      </c>
      <c r="AE48" s="486">
        <f t="shared" si="3"/>
        <v>1.4</v>
      </c>
      <c r="AF48" s="824">
        <f>SUM(AF12+AF36)</f>
        <v>4089.1000000000004</v>
      </c>
      <c r="AG48" s="825">
        <f>SUM(AG12+AG36)</f>
        <v>4022</v>
      </c>
      <c r="AH48" s="486">
        <f>SUM(AH12+AH36)</f>
        <v>-18.2</v>
      </c>
      <c r="AI48" s="658">
        <f t="shared" si="11"/>
        <v>20288.663658214784</v>
      </c>
      <c r="AJ48" s="658">
        <f t="shared" si="11"/>
        <v>18970.004541278136</v>
      </c>
      <c r="AK48" s="486">
        <f t="shared" si="6"/>
        <v>-6.5</v>
      </c>
      <c r="AL48" s="660"/>
      <c r="AM48" s="660"/>
    </row>
    <row r="49" spans="1:39" s="494" customFormat="1" ht="18.75" customHeight="1" x14ac:dyDescent="0.3">
      <c r="A49" s="480" t="s">
        <v>420</v>
      </c>
      <c r="B49" s="824">
        <v>128.352</v>
      </c>
      <c r="C49" s="825">
        <f>SUM(C15+C37+C42)</f>
        <v>108.154</v>
      </c>
      <c r="D49" s="486">
        <f t="shared" si="10"/>
        <v>-15.7</v>
      </c>
      <c r="E49" s="824">
        <f>SUM(E15+E37+E42)</f>
        <v>26106.515999999996</v>
      </c>
      <c r="F49" s="825">
        <f>SUM(F15+F37+F42)</f>
        <v>25244.163999999997</v>
      </c>
      <c r="G49" s="661">
        <f t="shared" si="0"/>
        <v>-3.3</v>
      </c>
      <c r="H49" s="824">
        <f>SUM(H15+H37+H42)</f>
        <v>514.5</v>
      </c>
      <c r="I49" s="825">
        <f>SUM(I15+I37+I42)</f>
        <v>594.33199999999999</v>
      </c>
      <c r="J49" s="486">
        <f>IF(H49=0, "    ---- ", IF(ABS(ROUND(100/H49*I49-100,1))&lt;999,ROUND(100/H49*I49-100,1),IF(ROUND(100/H49*I49-100,1)&gt;999,999,-999)))</f>
        <v>15.5</v>
      </c>
      <c r="K49" s="824">
        <f>SUM(K15+K37+K42)</f>
        <v>1588.5649999999998</v>
      </c>
      <c r="L49" s="825">
        <f>SUM(L15+L37+L42)</f>
        <v>1913.6000000000001</v>
      </c>
      <c r="M49" s="486">
        <f>IF(K49=0, "    ---- ", IF(ABS(ROUND(100/K49*L49-100,1))&lt;999,ROUND(100/K49*L49-100,1),IF(ROUND(100/K49*L49-100,1)&gt;999,999,-999)))</f>
        <v>20.5</v>
      </c>
      <c r="N49" s="824">
        <f>SUM(N15+N37+N42)</f>
        <v>2.4609589999999999</v>
      </c>
      <c r="O49" s="825">
        <v>2.4544589999999999</v>
      </c>
      <c r="P49" s="486">
        <f>IF(N49=0, "    ---- ", IF(ABS(ROUND(100/N49*O49-100,1))&lt;999,ROUND(100/N49*O49-100,1),IF(ROUND(100/N49*O49-100,1)&gt;999,999,-999)))</f>
        <v>-0.3</v>
      </c>
      <c r="Q49" s="824"/>
      <c r="R49" s="565"/>
      <c r="S49" s="486"/>
      <c r="T49" s="824"/>
      <c r="U49" s="825"/>
      <c r="V49" s="486"/>
      <c r="W49" s="824">
        <f>SUM(W15+W37+W42)</f>
        <v>3896.5648728374531</v>
      </c>
      <c r="X49" s="825">
        <f>SUM(X15+X37+X42)</f>
        <v>3839.2221750500717</v>
      </c>
      <c r="Y49" s="486">
        <f t="shared" si="2"/>
        <v>-1.5</v>
      </c>
      <c r="Z49" s="824"/>
      <c r="AA49" s="825"/>
      <c r="AB49" s="661"/>
      <c r="AC49" s="824">
        <f>SUM(AC15+AC37+AC42)</f>
        <v>5281.8510000000006</v>
      </c>
      <c r="AD49" s="825">
        <f>SUM(AD15+AD37+AD42)</f>
        <v>5525</v>
      </c>
      <c r="AE49" s="486">
        <f t="shared" si="3"/>
        <v>4.5999999999999996</v>
      </c>
      <c r="AF49" s="824">
        <f>SUM(AF15+AF37+AF42)</f>
        <v>10394</v>
      </c>
      <c r="AG49" s="825">
        <f>SUM(AG15+AG37+AG42)</f>
        <v>9692</v>
      </c>
      <c r="AH49" s="486">
        <f>SUM(AH15+AH37+AH42)</f>
        <v>-15.2</v>
      </c>
      <c r="AI49" s="658">
        <f t="shared" si="11"/>
        <v>47912.809831837447</v>
      </c>
      <c r="AJ49" s="658">
        <f t="shared" si="11"/>
        <v>46918.926634050062</v>
      </c>
      <c r="AK49" s="486">
        <f t="shared" si="6"/>
        <v>-2.1</v>
      </c>
      <c r="AL49" s="660"/>
      <c r="AM49" s="660"/>
    </row>
    <row r="50" spans="1:39" s="494" customFormat="1" ht="18.75" customHeight="1" x14ac:dyDescent="0.3">
      <c r="A50" s="480" t="s">
        <v>421</v>
      </c>
      <c r="B50" s="824">
        <v>1.9530000000000001</v>
      </c>
      <c r="C50" s="825">
        <f>SUM(C18)</f>
        <v>0.51100000000000001</v>
      </c>
      <c r="D50" s="486">
        <f t="shared" si="10"/>
        <v>-73.8</v>
      </c>
      <c r="E50" s="824">
        <f>SUM(E18)</f>
        <v>739.02800000000002</v>
      </c>
      <c r="F50" s="825">
        <f>SUM(F18)</f>
        <v>875.01700000000005</v>
      </c>
      <c r="G50" s="486">
        <f t="shared" si="0"/>
        <v>18.399999999999999</v>
      </c>
      <c r="H50" s="824">
        <f>SUM(H18)</f>
        <v>49</v>
      </c>
      <c r="I50" s="825">
        <f>SUM(I18)</f>
        <v>43.573999999999998</v>
      </c>
      <c r="J50" s="486">
        <f>IF(H50=0, "    ---- ", IF(ABS(ROUND(100/H50*I50-100,1))&lt;999,ROUND(100/H50*I50-100,1),IF(ROUND(100/H50*I50-100,1)&gt;999,999,-999)))</f>
        <v>-11.1</v>
      </c>
      <c r="K50" s="824"/>
      <c r="L50" s="825"/>
      <c r="M50" s="486"/>
      <c r="N50" s="824">
        <f>SUM(N18)</f>
        <v>24.32843063</v>
      </c>
      <c r="O50" s="825">
        <v>23.45019843</v>
      </c>
      <c r="P50" s="486">
        <f>IF(N50=0, "    ---- ", IF(ABS(ROUND(100/N50*O50-100,1))&lt;999,ROUND(100/N50*O50-100,1),IF(ROUND(100/N50*O50-100,1)&gt;999,999,-999)))</f>
        <v>-3.6</v>
      </c>
      <c r="Q50" s="824">
        <f>SUM(Q18)</f>
        <v>16.033253999999999</v>
      </c>
      <c r="R50" s="565"/>
      <c r="S50" s="486">
        <f>IF(Q50=0, "    ---- ", IF(ABS(ROUND(100/Q50*R50-100,1))&lt;999,ROUND(100/Q50*R50-100,1),IF(ROUND(100/Q50*R50-100,1)&gt;999,999,-999)))</f>
        <v>-100</v>
      </c>
      <c r="T50" s="824"/>
      <c r="U50" s="825"/>
      <c r="V50" s="486"/>
      <c r="W50" s="824"/>
      <c r="X50" s="825"/>
      <c r="Y50" s="486"/>
      <c r="Z50" s="824"/>
      <c r="AA50" s="825"/>
      <c r="AB50" s="486"/>
      <c r="AC50" s="824">
        <f>SUM(AC18)</f>
        <v>1428.1130000000001</v>
      </c>
      <c r="AD50" s="825">
        <f>SUM(AD18)</f>
        <v>1550</v>
      </c>
      <c r="AE50" s="486">
        <f t="shared" si="3"/>
        <v>8.5</v>
      </c>
      <c r="AF50" s="824">
        <f>SUM(AF18)</f>
        <v>1376</v>
      </c>
      <c r="AG50" s="825">
        <f>SUM(AG18)</f>
        <v>1353</v>
      </c>
      <c r="AH50" s="486">
        <f>SUM(AH18)</f>
        <v>-1.7</v>
      </c>
      <c r="AI50" s="658">
        <f t="shared" si="11"/>
        <v>3634.4556846300002</v>
      </c>
      <c r="AJ50" s="658">
        <f t="shared" si="11"/>
        <v>3845.5521984299999</v>
      </c>
      <c r="AK50" s="486">
        <f t="shared" si="6"/>
        <v>5.8</v>
      </c>
      <c r="AL50" s="660"/>
      <c r="AM50" s="660"/>
    </row>
    <row r="51" spans="1:39" s="494" customFormat="1" ht="18.75" customHeight="1" x14ac:dyDescent="0.3">
      <c r="A51" s="480" t="s">
        <v>422</v>
      </c>
      <c r="B51" s="824">
        <v>664.66800000000001</v>
      </c>
      <c r="C51" s="825">
        <f>SUM(C19+C38+C43)</f>
        <v>729.16699999999992</v>
      </c>
      <c r="D51" s="486">
        <f t="shared" si="10"/>
        <v>9.6999999999999993</v>
      </c>
      <c r="E51" s="824">
        <f>SUM(E19+E38+E43)</f>
        <v>156921.14600000001</v>
      </c>
      <c r="F51" s="825">
        <f>SUM(F19+F38+F43)</f>
        <v>157306.17799999999</v>
      </c>
      <c r="G51" s="661">
        <f t="shared" si="0"/>
        <v>0.2</v>
      </c>
      <c r="H51" s="824">
        <f>SUM(H19+H38+H43)</f>
        <v>148.9</v>
      </c>
      <c r="I51" s="825">
        <f>SUM(I19+I38+I43)</f>
        <v>163.96600000000001</v>
      </c>
      <c r="J51" s="486">
        <f>IF(H51=0, "    ---- ", IF(ABS(ROUND(100/H51*I51-100,1))&lt;999,ROUND(100/H51*I51-100,1),IF(ROUND(100/H51*I51-100,1)&gt;999,999,-999)))</f>
        <v>10.1</v>
      </c>
      <c r="K51" s="824">
        <f>SUM(K19+K38+K43)</f>
        <v>4992.08</v>
      </c>
      <c r="L51" s="825">
        <f>SUM(L19+L38+L43)</f>
        <v>5269</v>
      </c>
      <c r="M51" s="486">
        <f>IF(K51=0, "    ---- ", IF(ABS(ROUND(100/K51*L51-100,1))&lt;999,ROUND(100/K51*L51-100,1),IF(ROUND(100/K51*L51-100,1)&gt;999,999,-999)))</f>
        <v>5.5</v>
      </c>
      <c r="N51" s="824">
        <f>SUM(N19+N38+N43)</f>
        <v>0</v>
      </c>
      <c r="O51" s="825">
        <f>SUM(O19+O38+O43)</f>
        <v>0</v>
      </c>
      <c r="P51" s="486" t="str">
        <f>IF(N51=0, "    ---- ", IF(ABS(ROUND(100/N51*O51-100,1))&lt;999,ROUND(100/N51*O51-100,1),IF(ROUND(100/N51*O51-100,1)&gt;999,999,-999)))</f>
        <v xml:space="preserve">    ---- </v>
      </c>
      <c r="Q51" s="824"/>
      <c r="R51" s="565"/>
      <c r="S51" s="486"/>
      <c r="T51" s="824">
        <f>SUM(T19+T38+T43)</f>
        <v>1675.9</v>
      </c>
      <c r="U51" s="825">
        <f>SUM(U19+U38+U43)</f>
        <v>1723.6</v>
      </c>
      <c r="V51" s="486">
        <f>IF(T51=0, "    ---- ", IF(ABS(ROUND(100/T51*U51-100,1))&lt;999,ROUND(100/T51*U51-100,1),IF(ROUND(100/T51*U51-100,1)&gt;999,999,-999)))</f>
        <v>2.8</v>
      </c>
      <c r="W51" s="824">
        <f>SUM(W19+W38+W43)</f>
        <v>44280.980939580419</v>
      </c>
      <c r="X51" s="825">
        <f>SUM(X19+X38+X43)</f>
        <v>45358.118573334621</v>
      </c>
      <c r="Y51" s="486">
        <f t="shared" si="2"/>
        <v>2.4</v>
      </c>
      <c r="Z51" s="824"/>
      <c r="AA51" s="825"/>
      <c r="AB51" s="661"/>
      <c r="AC51" s="824">
        <f>SUM(AC19+AC38+AC43)</f>
        <v>12891.631999999998</v>
      </c>
      <c r="AD51" s="825">
        <f>SUM(AD19+AD38+AD43)</f>
        <v>15606</v>
      </c>
      <c r="AE51" s="486">
        <f t="shared" si="3"/>
        <v>21.1</v>
      </c>
      <c r="AF51" s="824">
        <f>SUM(AF19+AF38+AF43)</f>
        <v>163846</v>
      </c>
      <c r="AG51" s="825">
        <f>SUM(AG19+AG38+AG43)</f>
        <v>165055</v>
      </c>
      <c r="AH51" s="486">
        <f>SUM(AH19+AH38+AH43)</f>
        <v>2.5</v>
      </c>
      <c r="AI51" s="658">
        <f t="shared" si="11"/>
        <v>385421.30693958042</v>
      </c>
      <c r="AJ51" s="658">
        <f t="shared" si="11"/>
        <v>391211.02957333461</v>
      </c>
      <c r="AK51" s="486">
        <f t="shared" si="6"/>
        <v>1.5</v>
      </c>
      <c r="AL51" s="660"/>
      <c r="AM51" s="660"/>
    </row>
    <row r="52" spans="1:39" s="494" customFormat="1" ht="18.75" customHeight="1" x14ac:dyDescent="0.3">
      <c r="A52" s="480" t="s">
        <v>424</v>
      </c>
      <c r="B52" s="824"/>
      <c r="C52" s="825"/>
      <c r="D52" s="486"/>
      <c r="E52" s="824">
        <f>SUM(E21+E39+E44)</f>
        <v>0</v>
      </c>
      <c r="F52" s="825">
        <f>SUM(F21+F39+F44)</f>
        <v>0</v>
      </c>
      <c r="G52" s="661" t="str">
        <f t="shared" si="0"/>
        <v xml:space="preserve">    ---- </v>
      </c>
      <c r="H52" s="824"/>
      <c r="I52" s="825"/>
      <c r="J52" s="486"/>
      <c r="K52" s="824"/>
      <c r="L52" s="825"/>
      <c r="M52" s="486"/>
      <c r="N52" s="824"/>
      <c r="O52" s="825"/>
      <c r="P52" s="486"/>
      <c r="Q52" s="824">
        <f>SUM(Q21+Q39+Q44)</f>
        <v>471742.50050306</v>
      </c>
      <c r="R52" s="565"/>
      <c r="S52" s="486">
        <f>IF(Q52=0, "    ---- ", IF(ABS(ROUND(100/Q52*R52-100,1))&lt;999,ROUND(100/Q52*R52-100,1),IF(ROUND(100/Q52*R52-100,1)&gt;999,999,-999)))</f>
        <v>-100</v>
      </c>
      <c r="T52" s="824"/>
      <c r="U52" s="825"/>
      <c r="V52" s="486"/>
      <c r="W52" s="824"/>
      <c r="X52" s="825"/>
      <c r="Y52" s="486"/>
      <c r="Z52" s="824">
        <f>SUM(Z21+Z39+Z44)</f>
        <v>74329</v>
      </c>
      <c r="AA52" s="825">
        <f>SUM(AA21+AA39+AA44)</f>
        <v>75717</v>
      </c>
      <c r="AB52" s="661">
        <f>IF(Z52=0, "    ---- ", IF(ABS(ROUND(100/Z52*AA52-100,1))&lt;999,ROUND(100/Z52*AA52-100,1),IF(ROUND(100/Z52*AA52-100,1)&gt;999,999,-999)))</f>
        <v>1.9</v>
      </c>
      <c r="AC52" s="825"/>
      <c r="AD52" s="825"/>
      <c r="AE52" s="486"/>
      <c r="AF52" s="825">
        <f>SUM(AF21+AF39+AF44)</f>
        <v>2873</v>
      </c>
      <c r="AG52" s="825">
        <f>SUM(AG21+AG39+AG44)</f>
        <v>2879</v>
      </c>
      <c r="AH52" s="486">
        <f>SUM(AH21+AH39+AH44)</f>
        <v>3.4000000000000004</v>
      </c>
      <c r="AI52" s="658">
        <f t="shared" si="11"/>
        <v>548944.50050305994</v>
      </c>
      <c r="AJ52" s="658">
        <f t="shared" si="11"/>
        <v>78596</v>
      </c>
      <c r="AK52" s="486">
        <f t="shared" si="6"/>
        <v>-85.7</v>
      </c>
      <c r="AL52" s="660"/>
      <c r="AM52" s="660"/>
    </row>
    <row r="53" spans="1:39" s="494" customFormat="1" ht="18.75" customHeight="1" x14ac:dyDescent="0.3">
      <c r="A53" s="480" t="s">
        <v>425</v>
      </c>
      <c r="B53" s="824">
        <v>48.01</v>
      </c>
      <c r="C53" s="825">
        <f>SUM(C22)</f>
        <v>53.457000000000001</v>
      </c>
      <c r="D53" s="486">
        <f t="shared" si="10"/>
        <v>11.3</v>
      </c>
      <c r="E53" s="824">
        <f>SUM(E22)</f>
        <v>4866.3339999999998</v>
      </c>
      <c r="F53" s="825">
        <f>SUM(F22)</f>
        <v>4837.3530000000001</v>
      </c>
      <c r="G53" s="486">
        <f t="shared" si="0"/>
        <v>-0.6</v>
      </c>
      <c r="H53" s="824">
        <f>SUM(H22)</f>
        <v>142.5</v>
      </c>
      <c r="I53" s="825">
        <f>SUM(I22)</f>
        <v>156.857</v>
      </c>
      <c r="J53" s="486">
        <f>IF(H53=0, "    ---- ", IF(ABS(ROUND(100/H53*I53-100,1))&lt;999,ROUND(100/H53*I53-100,1),IF(ROUND(100/H53*I53-100,1)&gt;999,999,-999)))</f>
        <v>10.1</v>
      </c>
      <c r="K53" s="824"/>
      <c r="L53" s="825"/>
      <c r="M53" s="486"/>
      <c r="N53" s="824"/>
      <c r="O53" s="825"/>
      <c r="P53" s="486"/>
      <c r="Q53" s="824"/>
      <c r="R53" s="565"/>
      <c r="S53" s="486"/>
      <c r="T53" s="824"/>
      <c r="U53" s="825"/>
      <c r="V53" s="486"/>
      <c r="W53" s="824">
        <f>SUM(W22)</f>
        <v>44.239427092579376</v>
      </c>
      <c r="X53" s="825">
        <f>SUM(X22)</f>
        <v>47.587747799700011</v>
      </c>
      <c r="Y53" s="486">
        <f t="shared" si="2"/>
        <v>7.6</v>
      </c>
      <c r="Z53" s="824"/>
      <c r="AA53" s="825"/>
      <c r="AB53" s="486"/>
      <c r="AC53" s="824">
        <f>SUM(AC22)</f>
        <v>461.43200000000002</v>
      </c>
      <c r="AD53" s="825">
        <f>SUM(AD22)</f>
        <v>443</v>
      </c>
      <c r="AE53" s="486">
        <f t="shared" si="3"/>
        <v>-4</v>
      </c>
      <c r="AF53" s="824">
        <f>SUM(AF22)</f>
        <v>0</v>
      </c>
      <c r="AG53" s="825"/>
      <c r="AH53" s="486">
        <f>SUM(AH22)</f>
        <v>0</v>
      </c>
      <c r="AI53" s="658">
        <f t="shared" si="11"/>
        <v>5562.5154270925796</v>
      </c>
      <c r="AJ53" s="658">
        <f t="shared" si="11"/>
        <v>5538.2547477997005</v>
      </c>
      <c r="AK53" s="486">
        <f t="shared" si="6"/>
        <v>-0.4</v>
      </c>
      <c r="AL53" s="660"/>
      <c r="AM53" s="660"/>
    </row>
    <row r="54" spans="1:39" s="494" customFormat="1" ht="18.75" customHeight="1" x14ac:dyDescent="0.3">
      <c r="A54" s="669" t="s">
        <v>432</v>
      </c>
      <c r="B54" s="826">
        <v>24.704999999999998</v>
      </c>
      <c r="C54" s="827">
        <f>SUM(C40+C45)</f>
        <v>42.593000000000004</v>
      </c>
      <c r="D54" s="670">
        <f t="shared" si="10"/>
        <v>72.400000000000006</v>
      </c>
      <c r="E54" s="826">
        <f>SUM(E40+E45)</f>
        <v>1508.2850000000001</v>
      </c>
      <c r="F54" s="827">
        <f>SUM(F40+F45)</f>
        <v>5653.3339999999998</v>
      </c>
      <c r="G54" s="670">
        <f t="shared" si="0"/>
        <v>274.8</v>
      </c>
      <c r="H54" s="826">
        <f>SUM(H40+H45)</f>
        <v>26.8</v>
      </c>
      <c r="I54" s="827">
        <f>SUM(I40+I45)</f>
        <v>37.225000000000001</v>
      </c>
      <c r="J54" s="670">
        <f>IF(H54=0, "    ---- ", IF(ABS(ROUND(100/H54*I54-100,1))&lt;999,ROUND(100/H54*I54-100,1),IF(ROUND(100/H54*I54-100,1)&gt;999,999,-999)))</f>
        <v>38.9</v>
      </c>
      <c r="K54" s="826">
        <f>SUM(K40+K45)</f>
        <v>5.7329999999999997</v>
      </c>
      <c r="L54" s="827">
        <f>SUM(L40+L45)</f>
        <v>21.2</v>
      </c>
      <c r="M54" s="670">
        <f>IF(K54=0, "    ---- ", IF(ABS(ROUND(100/K54*L54-100,1))&lt;999,ROUND(100/K54*L54-100,1),IF(ROUND(100/K54*L54-100,1)&gt;999,999,-999)))</f>
        <v>269.8</v>
      </c>
      <c r="N54" s="826"/>
      <c r="O54" s="827"/>
      <c r="P54" s="670"/>
      <c r="Q54" s="826">
        <f>SUM(Q40+Q45)</f>
        <v>33439.041881999998</v>
      </c>
      <c r="R54" s="572"/>
      <c r="S54" s="670">
        <f>IF(Q54=0, "    ---- ", IF(ABS(ROUND(100/Q54*R54-100,1))&lt;999,ROUND(100/Q54*R54-100,1),IF(ROUND(100/Q54*R54-100,1)&gt;999,999,-999)))</f>
        <v>-100</v>
      </c>
      <c r="T54" s="826">
        <f>SUM(T40+T45)</f>
        <v>7.9</v>
      </c>
      <c r="U54" s="827">
        <f>SUM(U40+U45)</f>
        <v>19.2</v>
      </c>
      <c r="V54" s="670">
        <f>IF(T54=0, "    ---- ", IF(ABS(ROUND(100/T54*U54-100,1))&lt;999,ROUND(100/T54*U54-100,1),IF(ROUND(100/T54*U54-100,1)&gt;999,999,-999)))</f>
        <v>143</v>
      </c>
      <c r="W54" s="826">
        <f>SUM(W40+W45)</f>
        <v>987.07</v>
      </c>
      <c r="X54" s="827">
        <f>SUM(X40+X45)</f>
        <v>1629.85</v>
      </c>
      <c r="Y54" s="670">
        <f t="shared" si="2"/>
        <v>65.099999999999994</v>
      </c>
      <c r="Z54" s="826">
        <f>SUM(Z40+Z45)</f>
        <v>9669</v>
      </c>
      <c r="AA54" s="827">
        <f>SUM(AA40+AA45)</f>
        <v>16872</v>
      </c>
      <c r="AB54" s="670">
        <f>IF(Z54=0, "    ---- ", IF(ABS(ROUND(100/Z54*AA54-100,1))&lt;999,ROUND(100/Z54*AA54-100,1),IF(ROUND(100/Z54*AA54-100,1)&gt;999,999,-999)))</f>
        <v>74.5</v>
      </c>
      <c r="AC54" s="826">
        <f>SUM(AC40+AC45)</f>
        <v>1544.798</v>
      </c>
      <c r="AD54" s="827">
        <f>SUM(AD40+AD45)</f>
        <v>2326</v>
      </c>
      <c r="AE54" s="670">
        <f t="shared" si="3"/>
        <v>50.6</v>
      </c>
      <c r="AF54" s="826">
        <f>SUM(AF40+AF45)</f>
        <v>2867</v>
      </c>
      <c r="AG54" s="827">
        <f>SUM(AG40+AG45)</f>
        <v>6162</v>
      </c>
      <c r="AH54" s="670">
        <f>SUM(AH40+AH45)</f>
        <v>151.4</v>
      </c>
      <c r="AI54" s="671">
        <f>+B54+E54+H54+K54+N54+Q54+T54+W54+Z54+AC54+AF54</f>
        <v>50080.332882000002</v>
      </c>
      <c r="AJ54" s="671">
        <f>+C54+F54+I54+L54+O54+R54+U54+X54+AA54+AD54+AG54</f>
        <v>32763.402000000002</v>
      </c>
      <c r="AK54" s="670">
        <f t="shared" si="6"/>
        <v>-34.6</v>
      </c>
      <c r="AL54" s="660"/>
      <c r="AM54" s="660"/>
    </row>
    <row r="55" spans="1:39" s="494" customFormat="1" ht="18.75" customHeight="1" x14ac:dyDescent="0.3">
      <c r="A55" s="524" t="s">
        <v>257</v>
      </c>
      <c r="B55" s="672"/>
      <c r="C55" s="672"/>
      <c r="D55" s="672"/>
      <c r="E55" s="672"/>
      <c r="F55" s="672"/>
      <c r="G55" s="672"/>
      <c r="H55" s="672"/>
      <c r="I55" s="672"/>
      <c r="J55" s="672"/>
      <c r="K55" s="672"/>
      <c r="L55" s="672"/>
      <c r="M55" s="672"/>
      <c r="N55" s="672"/>
      <c r="O55" s="672"/>
      <c r="P55" s="672"/>
      <c r="Q55" s="672"/>
      <c r="R55" s="672"/>
      <c r="S55" s="672"/>
      <c r="T55" s="672"/>
      <c r="U55" s="672"/>
      <c r="V55" s="672"/>
      <c r="W55" s="672"/>
      <c r="X55" s="672"/>
      <c r="Y55" s="672"/>
      <c r="Z55" s="672"/>
      <c r="AA55" s="672"/>
      <c r="AB55" s="672"/>
      <c r="AC55" s="672"/>
      <c r="AD55" s="672"/>
      <c r="AE55" s="672"/>
      <c r="AF55" s="672"/>
      <c r="AG55" s="672"/>
      <c r="AH55" s="672"/>
      <c r="AI55" s="672"/>
      <c r="AJ55" s="672"/>
      <c r="AK55" s="672"/>
      <c r="AL55" s="660"/>
      <c r="AM55" s="660"/>
    </row>
    <row r="56" spans="1:39" s="494" customFormat="1" ht="18.75" customHeight="1" x14ac:dyDescent="0.3">
      <c r="A56" s="524" t="s">
        <v>258</v>
      </c>
      <c r="B56" s="672"/>
      <c r="C56" s="672"/>
      <c r="D56" s="672"/>
      <c r="E56" s="672"/>
      <c r="F56" s="672"/>
      <c r="G56" s="672"/>
      <c r="H56" s="672"/>
      <c r="I56" s="672"/>
      <c r="J56" s="672"/>
      <c r="K56" s="672"/>
      <c r="L56" s="672"/>
      <c r="M56" s="672"/>
      <c r="N56" s="672"/>
      <c r="O56" s="672"/>
      <c r="P56" s="672"/>
      <c r="Q56" s="672"/>
      <c r="R56" s="672"/>
      <c r="S56" s="672"/>
      <c r="T56" s="672"/>
      <c r="U56" s="672"/>
      <c r="V56" s="672"/>
      <c r="W56" s="672"/>
      <c r="X56" s="672"/>
      <c r="Y56" s="672"/>
      <c r="Z56" s="672"/>
      <c r="AA56" s="672"/>
      <c r="AB56" s="672"/>
      <c r="AC56" s="672"/>
      <c r="AD56" s="672"/>
      <c r="AE56" s="672"/>
      <c r="AF56" s="672"/>
      <c r="AG56" s="672"/>
      <c r="AH56" s="672"/>
      <c r="AI56" s="672"/>
      <c r="AJ56" s="672"/>
      <c r="AK56" s="672"/>
      <c r="AL56" s="660"/>
      <c r="AM56" s="660"/>
    </row>
    <row r="57" spans="1:39" s="494" customFormat="1" ht="18.75" customHeight="1" x14ac:dyDescent="0.3">
      <c r="Q57" s="524"/>
      <c r="W57" s="524"/>
      <c r="AF57" s="524"/>
      <c r="AI57" s="524"/>
      <c r="AM57" s="660"/>
    </row>
    <row r="58" spans="1:39" s="625" customFormat="1" ht="18.75" x14ac:dyDescent="0.3"/>
    <row r="59" spans="1:39" s="625" customFormat="1" ht="18.75" x14ac:dyDescent="0.3"/>
    <row r="60" spans="1:39" s="625" customFormat="1" ht="18.75" x14ac:dyDescent="0.3"/>
    <row r="61" spans="1:39" s="625" customFormat="1" ht="18.75" x14ac:dyDescent="0.3"/>
    <row r="62" spans="1:39" s="625" customFormat="1" ht="18.75" x14ac:dyDescent="0.3"/>
    <row r="63" spans="1:39" s="625" customFormat="1" ht="18.75" x14ac:dyDescent="0.3"/>
    <row r="64" spans="1:39" s="625" customFormat="1" ht="18.75" x14ac:dyDescent="0.3"/>
    <row r="65" spans="1:37" s="625" customFormat="1" ht="18.75" x14ac:dyDescent="0.3"/>
    <row r="66" spans="1:37" s="625" customFormat="1" ht="18.75" x14ac:dyDescent="0.3"/>
    <row r="67" spans="1:37" s="625" customFormat="1" ht="18.75" x14ac:dyDescent="0.3"/>
    <row r="68" spans="1:37" s="625" customFormat="1" ht="18.75" x14ac:dyDescent="0.3"/>
    <row r="69" spans="1:37" s="625" customFormat="1" ht="18.75" x14ac:dyDescent="0.3"/>
    <row r="70" spans="1:37" s="625" customFormat="1" ht="18.75" x14ac:dyDescent="0.3"/>
    <row r="71" spans="1:37" s="625" customFormat="1" ht="18.75" x14ac:dyDescent="0.3">
      <c r="A71" s="626"/>
      <c r="B71" s="626"/>
      <c r="C71" s="626"/>
      <c r="D71" s="626"/>
      <c r="E71" s="626"/>
      <c r="F71" s="626"/>
      <c r="G71" s="626"/>
      <c r="H71" s="626"/>
      <c r="I71" s="626"/>
      <c r="J71" s="626"/>
      <c r="K71" s="626"/>
      <c r="L71" s="626"/>
      <c r="M71" s="626"/>
      <c r="N71" s="626"/>
      <c r="O71" s="626"/>
      <c r="P71" s="626"/>
      <c r="Q71" s="626"/>
      <c r="R71" s="626"/>
      <c r="S71" s="626"/>
      <c r="T71" s="626"/>
      <c r="U71" s="626"/>
      <c r="V71" s="626"/>
      <c r="W71" s="626"/>
      <c r="X71" s="626"/>
      <c r="Y71" s="626"/>
      <c r="Z71" s="626"/>
      <c r="AA71" s="626"/>
      <c r="AB71" s="626"/>
      <c r="AC71" s="626"/>
      <c r="AD71" s="626"/>
      <c r="AE71" s="626"/>
      <c r="AF71" s="626"/>
      <c r="AG71" s="626"/>
      <c r="AH71" s="626"/>
      <c r="AI71" s="626"/>
      <c r="AJ71" s="626"/>
      <c r="AK71" s="626"/>
    </row>
    <row r="72" spans="1:37" s="625" customFormat="1" ht="18.75" x14ac:dyDescent="0.3">
      <c r="A72" s="626"/>
      <c r="B72" s="626"/>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row>
    <row r="73" spans="1:37" s="625" customFormat="1" ht="18.75" x14ac:dyDescent="0.3">
      <c r="A73" s="626"/>
      <c r="B73" s="626"/>
      <c r="C73" s="626"/>
      <c r="D73" s="626"/>
      <c r="E73" s="626"/>
      <c r="F73" s="626"/>
      <c r="G73" s="626"/>
      <c r="H73" s="626"/>
      <c r="I73" s="626"/>
      <c r="J73" s="626"/>
      <c r="K73" s="626"/>
      <c r="L73" s="626"/>
      <c r="M73" s="626"/>
      <c r="N73" s="626"/>
      <c r="O73" s="626"/>
      <c r="P73" s="626"/>
      <c r="Q73" s="626"/>
      <c r="R73" s="626"/>
      <c r="S73" s="626"/>
      <c r="T73" s="626"/>
      <c r="U73" s="626"/>
      <c r="V73" s="626"/>
      <c r="W73" s="626"/>
      <c r="X73" s="626"/>
      <c r="Y73" s="626"/>
      <c r="Z73" s="626"/>
      <c r="AA73" s="626"/>
      <c r="AB73" s="626"/>
      <c r="AC73" s="626"/>
      <c r="AD73" s="626"/>
      <c r="AE73" s="626"/>
      <c r="AF73" s="626"/>
      <c r="AG73" s="626"/>
      <c r="AH73" s="626"/>
      <c r="AI73" s="626"/>
      <c r="AJ73" s="626"/>
      <c r="AK73" s="626"/>
    </row>
    <row r="74" spans="1:37" s="625" customFormat="1" ht="18.75" x14ac:dyDescent="0.3">
      <c r="A74" s="626"/>
      <c r="B74" s="626"/>
      <c r="C74" s="626"/>
      <c r="D74" s="626"/>
      <c r="E74" s="626"/>
      <c r="F74" s="626"/>
      <c r="G74" s="626"/>
      <c r="H74" s="626"/>
      <c r="I74" s="626"/>
      <c r="J74" s="626"/>
      <c r="K74" s="626"/>
      <c r="L74" s="626"/>
      <c r="M74" s="626"/>
      <c r="N74" s="626"/>
      <c r="O74" s="626"/>
      <c r="P74" s="626"/>
      <c r="Q74" s="626"/>
      <c r="R74" s="626"/>
      <c r="S74" s="626"/>
      <c r="T74" s="626"/>
      <c r="U74" s="626"/>
      <c r="V74" s="626"/>
      <c r="W74" s="626"/>
      <c r="X74" s="626"/>
      <c r="Y74" s="626"/>
      <c r="Z74" s="626"/>
      <c r="AA74" s="626"/>
      <c r="AB74" s="626"/>
      <c r="AC74" s="626"/>
      <c r="AD74" s="626"/>
      <c r="AE74" s="626"/>
      <c r="AF74" s="626"/>
      <c r="AG74" s="626"/>
      <c r="AH74" s="626"/>
      <c r="AI74" s="626"/>
      <c r="AJ74" s="626"/>
      <c r="AK74" s="626"/>
    </row>
    <row r="75" spans="1:37" s="625" customFormat="1" ht="18.75" x14ac:dyDescent="0.3"/>
    <row r="76" spans="1:37" s="625" customFormat="1" ht="18.75" x14ac:dyDescent="0.3"/>
    <row r="77" spans="1:37" s="625" customFormat="1" ht="18.75" x14ac:dyDescent="0.3"/>
    <row r="78" spans="1:37" s="625" customFormat="1" ht="18.75" x14ac:dyDescent="0.3"/>
    <row r="79" spans="1:37" s="625" customFormat="1" ht="18.75" x14ac:dyDescent="0.3"/>
    <row r="80" spans="1:37" s="625" customFormat="1" ht="18.75" x14ac:dyDescent="0.3"/>
    <row r="81" s="625" customFormat="1" ht="18.75" x14ac:dyDescent="0.3"/>
    <row r="82" s="625" customFormat="1" ht="18.75" x14ac:dyDescent="0.3"/>
    <row r="83" s="625" customFormat="1" ht="18.75" x14ac:dyDescent="0.3"/>
    <row r="84" s="625" customFormat="1" ht="18.75" x14ac:dyDescent="0.3"/>
    <row r="85" s="625" customFormat="1" ht="18.75" x14ac:dyDescent="0.3"/>
    <row r="86" s="625" customFormat="1" ht="18.75" x14ac:dyDescent="0.3"/>
  </sheetData>
  <mergeCells count="32">
    <mergeCell ref="AZ6:BB6"/>
    <mergeCell ref="T6:V6"/>
    <mergeCell ref="W6:Y6"/>
    <mergeCell ref="Z6:AB6"/>
    <mergeCell ref="AC6:AE6"/>
    <mergeCell ref="AF6:AH6"/>
    <mergeCell ref="AI6:AK6"/>
    <mergeCell ref="AN6:AP6"/>
    <mergeCell ref="AQ6:AS6"/>
    <mergeCell ref="AT6:AV6"/>
    <mergeCell ref="AW6:AY6"/>
    <mergeCell ref="AQ5:AS5"/>
    <mergeCell ref="AT5:AV5"/>
    <mergeCell ref="AW5:AY5"/>
    <mergeCell ref="AZ5:BB5"/>
    <mergeCell ref="B6:D6"/>
    <mergeCell ref="E6:G6"/>
    <mergeCell ref="H6:J6"/>
    <mergeCell ref="K6:M6"/>
    <mergeCell ref="N6:P6"/>
    <mergeCell ref="Q6:S6"/>
    <mergeCell ref="Z5:AB5"/>
    <mergeCell ref="AC5:AE5"/>
    <mergeCell ref="AF5:AH5"/>
    <mergeCell ref="AI5:AK5"/>
    <mergeCell ref="AN5:AP5"/>
    <mergeCell ref="T5:V5"/>
    <mergeCell ref="B5:D5"/>
    <mergeCell ref="E5:G5"/>
    <mergeCell ref="H5:J5"/>
    <mergeCell ref="K5:M5"/>
    <mergeCell ref="N5:P5"/>
  </mergeCells>
  <conditionalFormatting sqref="K11:L11 B11:C11 Z11:AA11 AF11:AG11 W11:X11 E11:F11 H11:I11 N11:O11 T11:U11 AC11:AD11 AI11:AJ45 AI47:AJ53 Q11:R11">
    <cfRule type="expression" dxfId="22" priority="1532">
      <formula>#REF!="11≠12+15+18+19+21+22"</formula>
    </cfRule>
  </conditionalFormatting>
  <conditionalFormatting sqref="K47:L47 B47:C47 Z47:AA47 AF47:AH47 W47:X47 E47:F47 H47:I47 N47:O47 T47:U47 AC47:AD47 Q47:R47">
    <cfRule type="expression" dxfId="21" priority="1533">
      <formula>#REF!="54≠55+56+57+58+59+60+61"</formula>
    </cfRule>
  </conditionalFormatting>
  <conditionalFormatting sqref="K23:L23 B23:C23 Z23:AA23 AF23:AG23 W23:X23 E23:F23 H23:I23 N23:O23 T23:U23 AC23:AD23 Q23:R23">
    <cfRule type="expression" dxfId="20" priority="1535">
      <formula>#REF!="23≠24+27+30+31+33+34"</formula>
    </cfRule>
  </conditionalFormatting>
  <conditionalFormatting sqref="K35:L35 B35:C35 Z35:AA35 AF35:AG35 W35:X35 E35:F35 H35:I35 N35:O35 T35:U35 AC35:AD35 Q35:R35">
    <cfRule type="expression" dxfId="19" priority="1536">
      <formula>#REF!="35≠36+37+38+39"</formula>
    </cfRule>
  </conditionalFormatting>
  <conditionalFormatting sqref="K41:L41 B41:C41 Z41:AA41 AF41:AG41 W41:X41 E41:F41 H41:I41 N41:O41 T41:U41 AC41:AD41 Q41:R41">
    <cfRule type="expression" dxfId="18" priority="1537">
      <formula>#REF!="48≠49+50+51"</formula>
    </cfRule>
  </conditionalFormatting>
  <hyperlinks>
    <hyperlink ref="B1" location="Innhold!A1" display="Tilbake" xr:uid="{00000000-0004-0000-23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3" manualBreakCount="3">
    <brk id="10" min="1" max="63" man="1"/>
    <brk id="19" min="1" max="63" man="1"/>
    <brk id="34" min="1" max="63"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M72"/>
  <sheetViews>
    <sheetView showGridLines="0" zoomScale="70" zoomScaleNormal="7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2.5703125" defaultRowHeight="15.75" x14ac:dyDescent="0.25"/>
  <cols>
    <col min="1" max="1" width="77.7109375" style="673" customWidth="1"/>
    <col min="2" max="34" width="11.7109375" style="673" customWidth="1"/>
    <col min="35" max="35" width="13" style="673" customWidth="1"/>
    <col min="36" max="36" width="13.140625" style="673" customWidth="1"/>
    <col min="37" max="39" width="11.7109375" style="673" customWidth="1"/>
    <col min="40" max="40" width="7.7109375" style="673" customWidth="1"/>
    <col min="41" max="42" width="11.7109375" style="673" customWidth="1"/>
    <col min="43" max="43" width="7.7109375" style="673" customWidth="1"/>
    <col min="44" max="16384" width="12.5703125" style="673"/>
  </cols>
  <sheetData>
    <row r="1" spans="1:39" ht="20.25" customHeight="1" x14ac:dyDescent="0.3">
      <c r="A1" s="640" t="s">
        <v>176</v>
      </c>
      <c r="B1" s="420" t="s">
        <v>52</v>
      </c>
    </row>
    <row r="2" spans="1:39" ht="20.100000000000001" customHeight="1" x14ac:dyDescent="0.3">
      <c r="A2" s="674" t="s">
        <v>433</v>
      </c>
    </row>
    <row r="3" spans="1:39" ht="20.100000000000001" customHeight="1" x14ac:dyDescent="0.3">
      <c r="A3" s="675" t="s">
        <v>499</v>
      </c>
      <c r="AL3" s="676"/>
    </row>
    <row r="4" spans="1:39" ht="18.75" customHeight="1" x14ac:dyDescent="0.25">
      <c r="A4" s="677" t="s">
        <v>367</v>
      </c>
      <c r="B4" s="678"/>
      <c r="C4" s="679"/>
      <c r="D4" s="680"/>
      <c r="E4" s="679"/>
      <c r="F4" s="679"/>
      <c r="G4" s="679"/>
      <c r="H4" s="679"/>
      <c r="I4" s="679"/>
      <c r="J4" s="680"/>
      <c r="K4" s="679"/>
      <c r="L4" s="679"/>
      <c r="M4" s="680"/>
      <c r="N4" s="679"/>
      <c r="O4" s="679"/>
      <c r="P4" s="680"/>
      <c r="Q4" s="678"/>
      <c r="R4" s="679"/>
      <c r="S4" s="680"/>
      <c r="T4" s="678"/>
      <c r="U4" s="679"/>
      <c r="V4" s="680"/>
      <c r="W4" s="678"/>
      <c r="X4" s="679"/>
      <c r="Y4" s="680"/>
      <c r="Z4" s="678"/>
      <c r="AA4" s="679"/>
      <c r="AB4" s="680"/>
      <c r="AC4" s="678"/>
      <c r="AD4" s="679"/>
      <c r="AE4" s="680"/>
      <c r="AF4" s="678"/>
      <c r="AG4" s="679"/>
      <c r="AH4" s="680"/>
      <c r="AI4" s="678"/>
      <c r="AJ4" s="679"/>
      <c r="AK4" s="680"/>
      <c r="AL4" s="676"/>
      <c r="AM4" s="676"/>
    </row>
    <row r="5" spans="1:39" ht="18.75" customHeight="1" x14ac:dyDescent="0.3">
      <c r="A5" s="681" t="s">
        <v>434</v>
      </c>
      <c r="B5" s="1014" t="s">
        <v>179</v>
      </c>
      <c r="C5" s="1015"/>
      <c r="D5" s="1016"/>
      <c r="E5" s="979" t="s">
        <v>180</v>
      </c>
      <c r="F5" s="980"/>
      <c r="G5" s="981"/>
      <c r="H5" s="979" t="s">
        <v>181</v>
      </c>
      <c r="I5" s="980"/>
      <c r="J5" s="981"/>
      <c r="K5" s="1014" t="s">
        <v>182</v>
      </c>
      <c r="L5" s="1015"/>
      <c r="M5" s="1016"/>
      <c r="N5" s="937"/>
      <c r="O5" s="937"/>
      <c r="P5" s="938"/>
      <c r="Q5" s="979" t="s">
        <v>63</v>
      </c>
      <c r="R5" s="980"/>
      <c r="S5" s="981"/>
      <c r="T5" s="1014" t="s">
        <v>183</v>
      </c>
      <c r="U5" s="1015"/>
      <c r="V5" s="1016"/>
      <c r="W5" s="1014"/>
      <c r="X5" s="1015"/>
      <c r="Y5" s="1016"/>
      <c r="Z5" s="979"/>
      <c r="AA5" s="980"/>
      <c r="AB5" s="981"/>
      <c r="AC5" s="1014" t="s">
        <v>75</v>
      </c>
      <c r="AD5" s="1015"/>
      <c r="AE5" s="1016"/>
      <c r="AF5" s="1014" t="s">
        <v>412</v>
      </c>
      <c r="AG5" s="1015"/>
      <c r="AH5" s="1016"/>
      <c r="AI5" s="1014" t="s">
        <v>290</v>
      </c>
      <c r="AJ5" s="1015"/>
      <c r="AK5" s="1016"/>
      <c r="AL5" s="676"/>
      <c r="AM5" s="676"/>
    </row>
    <row r="6" spans="1:39" ht="18.75" customHeight="1" x14ac:dyDescent="0.3">
      <c r="A6" s="682" t="s">
        <v>413</v>
      </c>
      <c r="B6" s="1017" t="s">
        <v>185</v>
      </c>
      <c r="C6" s="1018"/>
      <c r="D6" s="1019"/>
      <c r="E6" s="982" t="s">
        <v>186</v>
      </c>
      <c r="F6" s="983"/>
      <c r="G6" s="984"/>
      <c r="H6" s="982" t="s">
        <v>186</v>
      </c>
      <c r="I6" s="983"/>
      <c r="J6" s="984"/>
      <c r="K6" s="1017" t="s">
        <v>187</v>
      </c>
      <c r="L6" s="1018"/>
      <c r="M6" s="1019"/>
      <c r="N6" s="939"/>
      <c r="O6" s="939" t="s">
        <v>63</v>
      </c>
      <c r="P6" s="940"/>
      <c r="Q6" s="982" t="s">
        <v>188</v>
      </c>
      <c r="R6" s="983"/>
      <c r="S6" s="984"/>
      <c r="T6" s="1017" t="s">
        <v>68</v>
      </c>
      <c r="U6" s="1018"/>
      <c r="V6" s="1019"/>
      <c r="W6" s="1017" t="s">
        <v>74</v>
      </c>
      <c r="X6" s="1018"/>
      <c r="Y6" s="1019"/>
      <c r="Z6" s="982" t="s">
        <v>70</v>
      </c>
      <c r="AA6" s="983"/>
      <c r="AB6" s="984"/>
      <c r="AC6" s="1017" t="s">
        <v>186</v>
      </c>
      <c r="AD6" s="1018"/>
      <c r="AE6" s="1019"/>
      <c r="AF6" s="1017" t="s">
        <v>435</v>
      </c>
      <c r="AG6" s="1018"/>
      <c r="AH6" s="1019"/>
      <c r="AI6" s="1017" t="s">
        <v>436</v>
      </c>
      <c r="AJ6" s="1018"/>
      <c r="AK6" s="1019"/>
      <c r="AL6" s="676"/>
      <c r="AM6" s="676"/>
    </row>
    <row r="7" spans="1:39" ht="18.75" customHeight="1" x14ac:dyDescent="0.3">
      <c r="A7" s="682"/>
      <c r="B7" s="653"/>
      <c r="C7" s="653"/>
      <c r="D7" s="473" t="s">
        <v>83</v>
      </c>
      <c r="E7" s="653"/>
      <c r="F7" s="653"/>
      <c r="G7" s="473" t="s">
        <v>83</v>
      </c>
      <c r="H7" s="653"/>
      <c r="I7" s="653"/>
      <c r="J7" s="473" t="s">
        <v>83</v>
      </c>
      <c r="K7" s="653"/>
      <c r="L7" s="653"/>
      <c r="M7" s="473" t="s">
        <v>83</v>
      </c>
      <c r="N7" s="653"/>
      <c r="O7" s="653"/>
      <c r="P7" s="473" t="s">
        <v>83</v>
      </c>
      <c r="Q7" s="653"/>
      <c r="R7" s="653"/>
      <c r="S7" s="473" t="s">
        <v>83</v>
      </c>
      <c r="T7" s="653"/>
      <c r="U7" s="653"/>
      <c r="V7" s="473" t="s">
        <v>83</v>
      </c>
      <c r="W7" s="653"/>
      <c r="X7" s="653"/>
      <c r="Y7" s="473" t="s">
        <v>83</v>
      </c>
      <c r="Z7" s="653"/>
      <c r="AA7" s="653"/>
      <c r="AB7" s="473" t="s">
        <v>83</v>
      </c>
      <c r="AC7" s="653"/>
      <c r="AD7" s="653"/>
      <c r="AE7" s="473" t="s">
        <v>83</v>
      </c>
      <c r="AF7" s="653"/>
      <c r="AG7" s="653"/>
      <c r="AH7" s="473" t="s">
        <v>83</v>
      </c>
      <c r="AI7" s="653"/>
      <c r="AJ7" s="653"/>
      <c r="AK7" s="473" t="s">
        <v>83</v>
      </c>
      <c r="AL7" s="676"/>
      <c r="AM7" s="676"/>
    </row>
    <row r="8" spans="1:39" ht="18.75" customHeight="1" x14ac:dyDescent="0.25">
      <c r="A8" s="683" t="s">
        <v>293</v>
      </c>
      <c r="B8" s="655">
        <v>2018</v>
      </c>
      <c r="C8" s="655">
        <v>2019</v>
      </c>
      <c r="D8" s="475" t="s">
        <v>85</v>
      </c>
      <c r="E8" s="842">
        <v>2018</v>
      </c>
      <c r="F8" s="842">
        <v>2019</v>
      </c>
      <c r="G8" s="475" t="s">
        <v>85</v>
      </c>
      <c r="H8" s="842">
        <v>2018</v>
      </c>
      <c r="I8" s="842">
        <v>2019</v>
      </c>
      <c r="J8" s="475" t="s">
        <v>85</v>
      </c>
      <c r="K8" s="655">
        <v>2018</v>
      </c>
      <c r="L8" s="655">
        <v>2019</v>
      </c>
      <c r="M8" s="475" t="s">
        <v>85</v>
      </c>
      <c r="N8" s="842">
        <v>2018</v>
      </c>
      <c r="O8" s="655">
        <v>2019</v>
      </c>
      <c r="P8" s="475" t="s">
        <v>85</v>
      </c>
      <c r="Q8" s="842">
        <v>2018</v>
      </c>
      <c r="R8" s="842">
        <v>2019</v>
      </c>
      <c r="S8" s="475" t="s">
        <v>85</v>
      </c>
      <c r="T8" s="842">
        <v>2018</v>
      </c>
      <c r="U8" s="842">
        <v>2019</v>
      </c>
      <c r="V8" s="475" t="s">
        <v>85</v>
      </c>
      <c r="W8" s="842">
        <v>2018</v>
      </c>
      <c r="X8" s="842">
        <v>2019</v>
      </c>
      <c r="Y8" s="475" t="s">
        <v>85</v>
      </c>
      <c r="Z8" s="842">
        <v>2018</v>
      </c>
      <c r="AA8" s="842">
        <v>2019</v>
      </c>
      <c r="AB8" s="475" t="s">
        <v>85</v>
      </c>
      <c r="AC8" s="842">
        <v>2018</v>
      </c>
      <c r="AD8" s="842">
        <v>2019</v>
      </c>
      <c r="AE8" s="475" t="s">
        <v>85</v>
      </c>
      <c r="AF8" s="842">
        <v>2018</v>
      </c>
      <c r="AG8" s="842">
        <v>2019</v>
      </c>
      <c r="AH8" s="475" t="s">
        <v>85</v>
      </c>
      <c r="AI8" s="842">
        <v>2018</v>
      </c>
      <c r="AJ8" s="842">
        <v>2019</v>
      </c>
      <c r="AK8" s="475" t="s">
        <v>85</v>
      </c>
      <c r="AL8" s="676"/>
      <c r="AM8" s="676"/>
    </row>
    <row r="9" spans="1:39" s="690" customFormat="1" ht="18.75" customHeight="1" x14ac:dyDescent="0.3">
      <c r="A9" s="684"/>
      <c r="B9" s="828"/>
      <c r="C9" s="829"/>
      <c r="D9" s="392"/>
      <c r="E9" s="828"/>
      <c r="F9" s="829"/>
      <c r="G9" s="392"/>
      <c r="H9" s="828"/>
      <c r="I9" s="829"/>
      <c r="J9" s="392"/>
      <c r="K9" s="828"/>
      <c r="L9" s="829"/>
      <c r="M9" s="392"/>
      <c r="N9" s="828"/>
      <c r="O9" s="606"/>
      <c r="P9" s="392"/>
      <c r="Q9" s="828"/>
      <c r="R9" s="829"/>
      <c r="S9" s="392"/>
      <c r="T9" s="808"/>
      <c r="U9" s="829"/>
      <c r="V9" s="688"/>
      <c r="W9" s="808"/>
      <c r="X9" s="829"/>
      <c r="Y9" s="688"/>
      <c r="Z9" s="926"/>
      <c r="AA9" s="829"/>
      <c r="AB9" s="688"/>
      <c r="AC9" s="828"/>
      <c r="AD9" s="829"/>
      <c r="AE9" s="688"/>
      <c r="AF9" s="686"/>
      <c r="AG9" s="686"/>
      <c r="AH9" s="392"/>
      <c r="AI9" s="687"/>
      <c r="AJ9" s="687"/>
      <c r="AK9" s="392"/>
      <c r="AL9" s="689"/>
      <c r="AM9" s="689"/>
    </row>
    <row r="10" spans="1:39" s="697" customFormat="1" ht="18.75" customHeight="1" x14ac:dyDescent="0.3">
      <c r="A10" s="498" t="s">
        <v>437</v>
      </c>
      <c r="B10" s="830"/>
      <c r="C10" s="831"/>
      <c r="D10" s="692"/>
      <c r="E10" s="830"/>
      <c r="F10" s="831"/>
      <c r="G10" s="692"/>
      <c r="H10" s="830"/>
      <c r="I10" s="831"/>
      <c r="J10" s="692"/>
      <c r="K10" s="830"/>
      <c r="L10" s="831"/>
      <c r="M10" s="692"/>
      <c r="N10" s="830"/>
      <c r="O10" s="604"/>
      <c r="P10" s="692"/>
      <c r="Q10" s="830"/>
      <c r="R10" s="831"/>
      <c r="S10" s="692"/>
      <c r="T10" s="810"/>
      <c r="U10" s="831"/>
      <c r="V10" s="695"/>
      <c r="W10" s="810"/>
      <c r="X10" s="831"/>
      <c r="Y10" s="695"/>
      <c r="Z10" s="927"/>
      <c r="AA10" s="831"/>
      <c r="AB10" s="695"/>
      <c r="AC10" s="830"/>
      <c r="AD10" s="831"/>
      <c r="AE10" s="695"/>
      <c r="AF10" s="693"/>
      <c r="AG10" s="693"/>
      <c r="AH10" s="692"/>
      <c r="AI10" s="694"/>
      <c r="AJ10" s="694"/>
      <c r="AK10" s="692"/>
      <c r="AL10" s="696"/>
      <c r="AM10" s="696"/>
    </row>
    <row r="11" spans="1:39" s="697" customFormat="1" ht="18.75" customHeight="1" x14ac:dyDescent="0.3">
      <c r="A11" s="662" t="s">
        <v>438</v>
      </c>
      <c r="B11" s="801">
        <v>16794.103000000003</v>
      </c>
      <c r="C11" s="831">
        <f>SUM(C12:C15)</f>
        <v>20672.888999999999</v>
      </c>
      <c r="D11" s="692">
        <f>IF(B11=0, "    ---- ", IF(ABS(ROUND(100/B11*C11-100,1))&lt;999,ROUND(100/B11*C11-100,1),IF(ROUND(100/B11*C11-100,1)&gt;999,999,-999)))</f>
        <v>23.1</v>
      </c>
      <c r="E11" s="830">
        <v>76559.72099999999</v>
      </c>
      <c r="F11" s="831">
        <f>SUM(F12:F15)</f>
        <v>98363.005000000005</v>
      </c>
      <c r="G11" s="692">
        <f>IF(E11=0, "    ---- ", IF(ABS(ROUND(100/E11*F11-100,1))&lt;999,ROUND(100/E11*F11-100,1),IF(ROUND(100/E11*F11-100,1)&gt;999,999,-999)))</f>
        <v>28.5</v>
      </c>
      <c r="H11" s="830">
        <v>3327.1</v>
      </c>
      <c r="I11" s="831">
        <f>SUM(I12:I15)</f>
        <v>4266.26</v>
      </c>
      <c r="J11" s="692">
        <f>IF(H11=0, "    ---- ", IF(ABS(ROUND(100/H11*I11-100,1))&lt;999,ROUND(100/H11*I11-100,1),IF(ROUND(100/H11*I11-100,1)&gt;999,999,-999)))</f>
        <v>28.2</v>
      </c>
      <c r="K11" s="830">
        <v>23796.2</v>
      </c>
      <c r="L11" s="831">
        <f>SUM(L12:L15)</f>
        <v>29843.5</v>
      </c>
      <c r="M11" s="692">
        <f>IF(K11=0, "    ---- ", IF(ABS(ROUND(100/K11*L11-100,1))&lt;999,ROUND(100/K11*L11-100,1),IF(ROUND(100/K11*L11-100,1)&gt;999,999,-999)))</f>
        <v>25.4</v>
      </c>
      <c r="N11" s="830">
        <v>1940.9515251500002</v>
      </c>
      <c r="O11" s="604"/>
      <c r="P11" s="692">
        <f>IF(N11=0, "    ---- ", IF(ABS(ROUND(100/N11*O11-100,1))&lt;999,ROUND(100/N11*O11-100,1),IF(ROUND(100/N11*O11-100,1)&gt;999,999,-999)))</f>
        <v>-100</v>
      </c>
      <c r="Q11" s="830">
        <v>3376.8</v>
      </c>
      <c r="R11" s="831">
        <f>SUM(R12:R15)</f>
        <v>4891.8999999999996</v>
      </c>
      <c r="S11" s="692">
        <f>IF(Q11=0, "    ---- ", IF(ABS(ROUND(100/Q11*R11-100,1))&lt;999,ROUND(100/Q11*R11-100,1),IF(ROUND(100/Q11*R11-100,1)&gt;999,999,-999)))</f>
        <v>44.9</v>
      </c>
      <c r="T11" s="830">
        <v>59037.757645649996</v>
      </c>
      <c r="U11" s="831">
        <f>SUM(U12:U15)</f>
        <v>77977.126611399901</v>
      </c>
      <c r="V11" s="698">
        <f>IF(T11=0, "    ---- ", IF(ABS(ROUND(100/T11*U11-100,1))&lt;999,ROUND(100/T11*U11-100,1),IF(ROUND(100/T11*U11-100,1)&gt;999,999,-999)))</f>
        <v>32.1</v>
      </c>
      <c r="W11" s="830">
        <v>2076.5110914399997</v>
      </c>
      <c r="X11" s="831">
        <f>SUM(X12:X15)</f>
        <v>2541.1866050899998</v>
      </c>
      <c r="Y11" s="695">
        <f>IF(W11=0, "    ---- ", IF(ABS(ROUND(100/W11*X11-100,1))&lt;999,ROUND(100/W11*X11-100,1),IF(ROUND(100/W11*X11-100,1)&gt;999,999,-999)))</f>
        <v>22.4</v>
      </c>
      <c r="Z11" s="830">
        <v>27908.252</v>
      </c>
      <c r="AA11" s="831">
        <f>SUM(AA12:AA15)</f>
        <v>35400</v>
      </c>
      <c r="AB11" s="698">
        <f>IF(Z11=0, "    ---- ", IF(ABS(ROUND(100/Z11*AA11-100,1))&lt;999,ROUND(100/Z11*AA11-100,1),IF(ROUND(100/Z11*AA11-100,1)&gt;999,999,-999)))</f>
        <v>26.8</v>
      </c>
      <c r="AC11" s="830">
        <v>93440.9</v>
      </c>
      <c r="AD11" s="831">
        <f>SUM(AD12:AD15)</f>
        <v>114538</v>
      </c>
      <c r="AE11" s="698">
        <f t="shared" ref="AE11:AE39" si="0">IF(AC11=0, "    ---- ", IF(ABS(ROUND(100/AC11*AD11-100,1))&lt;999,ROUND(100/AC11*AD11-100,1),IF(ROUND(100/AC11*AD11-100,1)&gt;999,999,-999)))</f>
        <v>22.6</v>
      </c>
      <c r="AF11" s="691">
        <f>+B11+E11+H11+K11+N11+Q11+T11+W11+Z11+AC11</f>
        <v>308258.29626224004</v>
      </c>
      <c r="AG11" s="691">
        <f>+C11+F11+I11+L11+O11+R11+U11+X11+AA11+AD11</f>
        <v>388493.86721648986</v>
      </c>
      <c r="AH11" s="692">
        <f>IF(AF11=0, "    ---- ", IF(ABS(ROUND(100/AF11*AG11-100,1))&lt;999,ROUND(100/AF11*AG11-100,1),IF(ROUND(100/AF11*AG11-100,1)&gt;999,999,-999)))</f>
        <v>26</v>
      </c>
      <c r="AI11" s="699"/>
      <c r="AJ11" s="699"/>
      <c r="AK11" s="699"/>
      <c r="AL11" s="666"/>
      <c r="AM11" s="696"/>
    </row>
    <row r="12" spans="1:39" s="703" customFormat="1" ht="18.75" customHeight="1" x14ac:dyDescent="0.3">
      <c r="A12" s="480" t="s">
        <v>417</v>
      </c>
      <c r="B12" s="828">
        <v>2385.2289999999998</v>
      </c>
      <c r="C12" s="829">
        <v>2674.4859999999999</v>
      </c>
      <c r="D12" s="392">
        <f>IF(B12=0, "    ---- ", IF(ABS(ROUND(100/B12*C12-100,1))&lt;999,ROUND(100/B12*C12-100,1),IF(ROUND(100/B12*C12-100,1)&gt;999,999,-999)))</f>
        <v>12.1</v>
      </c>
      <c r="E12" s="828">
        <v>5327.366</v>
      </c>
      <c r="F12" s="829">
        <v>6300.9430000000002</v>
      </c>
      <c r="G12" s="392">
        <f>IF(E12=0, "    ---- ", IF(ABS(ROUND(100/E12*F12-100,1))&lt;999,ROUND(100/E12*F12-100,1),IF(ROUND(100/E12*F12-100,1)&gt;999,999,-999)))</f>
        <v>18.3</v>
      </c>
      <c r="H12" s="828"/>
      <c r="I12" s="829"/>
      <c r="J12" s="392"/>
      <c r="K12" s="828">
        <v>521.29999999999995</v>
      </c>
      <c r="L12" s="829">
        <v>660</v>
      </c>
      <c r="M12" s="392">
        <f>IF(K12=0, "    ---- ", IF(ABS(ROUND(100/K12*L12-100,1))&lt;999,ROUND(100/K12*L12-100,1),IF(ROUND(100/K12*L12-100,1)&gt;999,999,-999)))</f>
        <v>26.6</v>
      </c>
      <c r="N12" s="828"/>
      <c r="O12" s="606"/>
      <c r="P12" s="392"/>
      <c r="Q12" s="828"/>
      <c r="R12" s="829"/>
      <c r="S12" s="392"/>
      <c r="T12" s="828">
        <v>23673.920913233622</v>
      </c>
      <c r="U12" s="829">
        <v>32172.172282732427</v>
      </c>
      <c r="V12" s="700">
        <f>IF(T12=0, "    ---- ", IF(ABS(ROUND(100/T12*U12-100,1))&lt;999,ROUND(100/T12*U12-100,1),IF(ROUND(100/T12*U12-100,1)&gt;999,999,-999)))</f>
        <v>35.9</v>
      </c>
      <c r="W12" s="828">
        <v>780.53809144000002</v>
      </c>
      <c r="X12" s="829">
        <v>950.67500713000004</v>
      </c>
      <c r="Y12" s="688">
        <f>IF(W12=0, "    ---- ", IF(ABS(ROUND(100/W12*X12-100,1))&lt;999,ROUND(100/W12*X12-100,1),IF(ROUND(100/W12*X12-100,1)&gt;999,999,-999)))</f>
        <v>21.8</v>
      </c>
      <c r="Z12" s="828">
        <v>2150.6410000000001</v>
      </c>
      <c r="AA12" s="829">
        <v>2717</v>
      </c>
      <c r="AB12" s="700">
        <f>IF(Z12=0, "    ---- ", IF(ABS(ROUND(100/Z12*AA12-100,1))&lt;999,ROUND(100/Z12*AA12-100,1),IF(ROUND(100/Z12*AA12-100,1)&gt;999,999,-999)))</f>
        <v>26.3</v>
      </c>
      <c r="AC12" s="828">
        <v>6841.9</v>
      </c>
      <c r="AD12" s="829">
        <v>7501</v>
      </c>
      <c r="AE12" s="700">
        <f t="shared" si="0"/>
        <v>9.6</v>
      </c>
      <c r="AF12" s="685">
        <f t="shared" ref="AF12:AG41" si="1">+B12+E12+H12+K12+N12+Q12+T12+W12+Z12+AC12</f>
        <v>41680.895004673628</v>
      </c>
      <c r="AG12" s="685">
        <f t="shared" si="1"/>
        <v>52976.276289862428</v>
      </c>
      <c r="AH12" s="392">
        <f>IF(AF12=0, "    ---- ", IF(ABS(ROUND(100/AF12*AG12-100,1))&lt;999,ROUND(100/AF12*AG12-100,1),IF(ROUND(100/AF12*AG12-100,1)&gt;999,999,-999)))</f>
        <v>27.1</v>
      </c>
      <c r="AI12" s="701"/>
      <c r="AJ12" s="701"/>
      <c r="AK12" s="701"/>
      <c r="AL12" s="702"/>
      <c r="AM12" s="702"/>
    </row>
    <row r="13" spans="1:39" s="703" customFormat="1" ht="18.75" customHeight="1" x14ac:dyDescent="0.3">
      <c r="A13" s="480" t="s">
        <v>420</v>
      </c>
      <c r="B13" s="828">
        <v>2007.402</v>
      </c>
      <c r="C13" s="829">
        <v>2171.6790000000001</v>
      </c>
      <c r="D13" s="392">
        <f>IF(B13=0, "    ---- ", IF(ABS(ROUND(100/B13*C13-100,1))&lt;999,ROUND(100/B13*C13-100,1),IF(ROUND(100/B13*C13-100,1)&gt;999,999,-999)))</f>
        <v>8.1999999999999993</v>
      </c>
      <c r="E13" s="828">
        <v>5150.6779999999999</v>
      </c>
      <c r="F13" s="829">
        <v>5604.2889999999998</v>
      </c>
      <c r="G13" s="392">
        <f>IF(E13=0, "    ---- ", IF(ABS(ROUND(100/E13*F13-100,1))&lt;999,ROUND(100/E13*F13-100,1),IF(ROUND(100/E13*F13-100,1)&gt;999,999,-999)))</f>
        <v>8.8000000000000007</v>
      </c>
      <c r="H13" s="828">
        <v>135.4</v>
      </c>
      <c r="I13" s="829">
        <v>157.59399999999999</v>
      </c>
      <c r="J13" s="392">
        <f>IF(H13=0, "    ---- ", IF(ABS(ROUND(100/H13*I13-100,1))&lt;999,ROUND(100/H13*I13-100,1),IF(ROUND(100/H13*I13-100,1)&gt;999,999,-999)))</f>
        <v>16.399999999999999</v>
      </c>
      <c r="K13" s="828">
        <v>1492.6</v>
      </c>
      <c r="L13" s="829">
        <f>2243-660</f>
        <v>1583</v>
      </c>
      <c r="M13" s="392">
        <f>IF(K13=0, "    ---- ", IF(ABS(ROUND(100/K13*L13-100,1))&lt;999,ROUND(100/K13*L13-100,1),IF(ROUND(100/K13*L13-100,1)&gt;999,999,-999)))</f>
        <v>6.1</v>
      </c>
      <c r="N13" s="828"/>
      <c r="O13" s="606"/>
      <c r="P13" s="392"/>
      <c r="Q13" s="828"/>
      <c r="R13" s="829"/>
      <c r="S13" s="392"/>
      <c r="T13" s="828">
        <v>3231.1500984697109</v>
      </c>
      <c r="U13" s="829">
        <v>4316.9146712215479</v>
      </c>
      <c r="V13" s="392">
        <f>IF(T13=0, "    ---- ", IF(ABS(ROUND(100/T13*U13-100,1))&lt;999,ROUND(100/T13*U13-100,1),IF(ROUND(100/T13*U13-100,1)&gt;999,999,-999)))</f>
        <v>33.6</v>
      </c>
      <c r="W13" s="828">
        <v>811.68600000000004</v>
      </c>
      <c r="X13" s="829">
        <v>942.67618587000004</v>
      </c>
      <c r="Y13" s="392">
        <f>IF(W13=0, "    ---- ", IF(ABS(ROUND(100/W13*X13-100,1))&lt;999,ROUND(100/W13*X13-100,1),IF(ROUND(100/W13*X13-100,1)&gt;999,999,-999)))</f>
        <v>16.100000000000001</v>
      </c>
      <c r="Z13" s="828">
        <v>2121.9920000000002</v>
      </c>
      <c r="AA13" s="829">
        <v>2664</v>
      </c>
      <c r="AB13" s="392">
        <f>IF(Z13=0, "    ---- ", IF(ABS(ROUND(100/Z13*AA13-100,1))&lt;999,ROUND(100/Z13*AA13-100,1),IF(ROUND(100/Z13*AA13-100,1)&gt;999,999,-999)))</f>
        <v>25.5</v>
      </c>
      <c r="AC13" s="828">
        <v>4159</v>
      </c>
      <c r="AD13" s="829">
        <v>4910</v>
      </c>
      <c r="AE13" s="392">
        <f t="shared" si="0"/>
        <v>18.100000000000001</v>
      </c>
      <c r="AF13" s="685">
        <f t="shared" si="1"/>
        <v>19109.90809846971</v>
      </c>
      <c r="AG13" s="685">
        <f t="shared" si="1"/>
        <v>22350.152857091547</v>
      </c>
      <c r="AH13" s="392">
        <f>IF(AF13=0, "    ---- ", IF(ABS(ROUND(100/AF13*AG13-100,1))&lt;999,ROUND(100/AF13*AG13-100,1),IF(ROUND(100/AF13*AG13-100,1)&gt;999,999,-999)))</f>
        <v>17</v>
      </c>
      <c r="AI13" s="701"/>
      <c r="AJ13" s="701"/>
      <c r="AK13" s="701"/>
      <c r="AL13" s="702"/>
      <c r="AM13" s="702"/>
    </row>
    <row r="14" spans="1:39" s="703" customFormat="1" ht="18.75" customHeight="1" x14ac:dyDescent="0.3">
      <c r="A14" s="480" t="s">
        <v>422</v>
      </c>
      <c r="B14" s="828">
        <v>12401.472000000002</v>
      </c>
      <c r="C14" s="829">
        <v>15826.724</v>
      </c>
      <c r="D14" s="392">
        <f>IF(B14=0, "    ---- ", IF(ABS(ROUND(100/B14*C14-100,1))&lt;999,ROUND(100/B14*C14-100,1),IF(ROUND(100/B14*C14-100,1)&gt;999,999,-999)))</f>
        <v>27.6</v>
      </c>
      <c r="E14" s="828">
        <v>66081.676999999996</v>
      </c>
      <c r="F14" s="829">
        <f>87037.773-580</f>
        <v>86457.773000000001</v>
      </c>
      <c r="G14" s="392">
        <f>IF(E14=0, "    ---- ", IF(ABS(ROUND(100/E14*F14-100,1))&lt;999,ROUND(100/E14*F14-100,1),IF(ROUND(100/E14*F14-100,1)&gt;999,999,-999)))</f>
        <v>30.8</v>
      </c>
      <c r="H14" s="828">
        <v>3191.7</v>
      </c>
      <c r="I14" s="829">
        <v>4108.6660000000002</v>
      </c>
      <c r="J14" s="392">
        <f>IF(H14=0, "    ---- ", IF(ABS(ROUND(100/H14*I14-100,1))&lt;999,ROUND(100/H14*I14-100,1),IF(ROUND(100/H14*I14-100,1)&gt;999,999,-999)))</f>
        <v>28.7</v>
      </c>
      <c r="K14" s="828">
        <v>21782.3</v>
      </c>
      <c r="L14" s="829">
        <v>27600.5</v>
      </c>
      <c r="M14" s="392">
        <f>IF(K14=0, "    ---- ", IF(ABS(ROUND(100/K14*L14-100,1))&lt;999,ROUND(100/K14*L14-100,1),IF(ROUND(100/K14*L14-100,1)&gt;999,999,-999)))</f>
        <v>26.7</v>
      </c>
      <c r="N14" s="828"/>
      <c r="O14" s="606"/>
      <c r="P14" s="392"/>
      <c r="Q14" s="828">
        <v>3376.8</v>
      </c>
      <c r="R14" s="829">
        <v>4891.8999999999996</v>
      </c>
      <c r="S14" s="392">
        <f>IF(Q14=0, "    ---- ", IF(ABS(ROUND(100/Q14*R14-100,1))&lt;999,ROUND(100/Q14*R14-100,1),IF(ROUND(100/Q14*R14-100,1)&gt;999,999,-999)))</f>
        <v>44.9</v>
      </c>
      <c r="T14" s="828">
        <v>32132.686633946665</v>
      </c>
      <c r="U14" s="829">
        <v>41488.039657445923</v>
      </c>
      <c r="V14" s="392">
        <f>IF(T14=0, "    ---- ", IF(ABS(ROUND(100/T14*U14-100,1))&lt;999,ROUND(100/T14*U14-100,1),IF(ROUND(100/T14*U14-100,1)&gt;999,999,-999)))</f>
        <v>29.1</v>
      </c>
      <c r="W14" s="828">
        <v>484.28699999999998</v>
      </c>
      <c r="X14" s="829">
        <v>647.83541208999998</v>
      </c>
      <c r="Y14" s="392">
        <f>IF(W14=0, "    ---- ", IF(ABS(ROUND(100/W14*X14-100,1))&lt;999,ROUND(100/W14*X14-100,1),IF(ROUND(100/W14*X14-100,1)&gt;999,999,-999)))</f>
        <v>33.799999999999997</v>
      </c>
      <c r="Z14" s="828">
        <v>23635.618999999999</v>
      </c>
      <c r="AA14" s="829">
        <v>30019</v>
      </c>
      <c r="AB14" s="392">
        <f>IF(Z14=0, "    ---- ", IF(ABS(ROUND(100/Z14*AA14-100,1))&lt;999,ROUND(100/Z14*AA14-100,1),IF(ROUND(100/Z14*AA14-100,1)&gt;999,999,-999)))</f>
        <v>27</v>
      </c>
      <c r="AC14" s="828">
        <v>82440</v>
      </c>
      <c r="AD14" s="829">
        <f>16424+614+53670+31419</f>
        <v>102127</v>
      </c>
      <c r="AE14" s="392">
        <f t="shared" si="0"/>
        <v>23.9</v>
      </c>
      <c r="AF14" s="685">
        <f t="shared" si="1"/>
        <v>245526.5416339467</v>
      </c>
      <c r="AG14" s="685">
        <f t="shared" si="1"/>
        <v>313167.43806953589</v>
      </c>
      <c r="AH14" s="392">
        <f t="shared" ref="AH14:AH42" si="2">IF(AF14=0, "    ---- ", IF(ABS(ROUND(100/AF14*AG14-100,1))&lt;999,ROUND(100/AF14*AG14-100,1),IF(ROUND(100/AF14*AG14-100,1)&gt;999,999,-999)))</f>
        <v>27.5</v>
      </c>
      <c r="AI14" s="701"/>
      <c r="AJ14" s="701"/>
      <c r="AK14" s="701"/>
      <c r="AL14" s="702"/>
      <c r="AM14" s="702"/>
    </row>
    <row r="15" spans="1:39" s="703" customFormat="1" ht="18.75" customHeight="1" x14ac:dyDescent="0.3">
      <c r="A15" s="480" t="s">
        <v>424</v>
      </c>
      <c r="B15" s="828"/>
      <c r="C15" s="829"/>
      <c r="D15" s="392"/>
      <c r="E15" s="828"/>
      <c r="F15" s="829"/>
      <c r="G15" s="392"/>
      <c r="H15" s="828"/>
      <c r="I15" s="829"/>
      <c r="J15" s="392"/>
      <c r="K15" s="828"/>
      <c r="L15" s="829"/>
      <c r="M15" s="392"/>
      <c r="N15" s="828">
        <v>1940.9515251500002</v>
      </c>
      <c r="O15" s="606"/>
      <c r="P15" s="392">
        <f>IF(N15=0, "    ---- ", IF(ABS(ROUND(100/N15*O15-100,1))&lt;999,ROUND(100/N15*O15-100,1),IF(ROUND(100/N15*O15-100,1)&gt;999,999,-999)))</f>
        <v>-100</v>
      </c>
      <c r="Q15" s="828"/>
      <c r="R15" s="829"/>
      <c r="S15" s="392"/>
      <c r="T15" s="828"/>
      <c r="U15" s="829"/>
      <c r="V15" s="392"/>
      <c r="W15" s="828"/>
      <c r="X15" s="829"/>
      <c r="Y15" s="392"/>
      <c r="Z15" s="828"/>
      <c r="AA15" s="829"/>
      <c r="AB15" s="392"/>
      <c r="AC15" s="828"/>
      <c r="AD15" s="829"/>
      <c r="AE15" s="392"/>
      <c r="AF15" s="685">
        <f t="shared" si="1"/>
        <v>1940.9515251500002</v>
      </c>
      <c r="AG15" s="685">
        <f t="shared" si="1"/>
        <v>0</v>
      </c>
      <c r="AH15" s="392">
        <f t="shared" si="2"/>
        <v>-100</v>
      </c>
      <c r="AI15" s="701"/>
      <c r="AJ15" s="701"/>
      <c r="AK15" s="701"/>
      <c r="AL15" s="702"/>
      <c r="AM15" s="702"/>
    </row>
    <row r="16" spans="1:39" s="697" customFormat="1" ht="18.75" customHeight="1" x14ac:dyDescent="0.3">
      <c r="A16" s="662" t="s">
        <v>426</v>
      </c>
      <c r="B16" s="801"/>
      <c r="C16" s="831"/>
      <c r="D16" s="692"/>
      <c r="E16" s="830"/>
      <c r="F16" s="831"/>
      <c r="G16" s="692"/>
      <c r="H16" s="830"/>
      <c r="I16" s="831"/>
      <c r="J16" s="692"/>
      <c r="K16" s="830">
        <v>23796.2</v>
      </c>
      <c r="L16" s="831">
        <f>SUM(L17:L20)</f>
        <v>29843.5</v>
      </c>
      <c r="M16" s="692">
        <f>IF(K16=0, "    ---- ", IF(ABS(ROUND(100/K16*L16-100,1))&lt;999,ROUND(100/K16*L16-100,1),IF(ROUND(100/K16*L16-100,1)&gt;999,999,-999)))</f>
        <v>25.4</v>
      </c>
      <c r="N16" s="830">
        <v>1940.9515251500002</v>
      </c>
      <c r="O16" s="604"/>
      <c r="P16" s="692">
        <f>IF(N16=0, "    ---- ", IF(ABS(ROUND(100/N16*O16-100,1))&lt;999,ROUND(100/N16*O16-100,1),IF(ROUND(100/N16*O16-100,1)&gt;999,999,-999)))</f>
        <v>-100</v>
      </c>
      <c r="Q16" s="830"/>
      <c r="R16" s="831"/>
      <c r="S16" s="692"/>
      <c r="T16" s="830">
        <v>59037.757645649996</v>
      </c>
      <c r="U16" s="831">
        <f>SUM(U17:U20)</f>
        <v>77977.126611399901</v>
      </c>
      <c r="V16" s="692">
        <f>IF(T16=0, "    ---- ", IF(ABS(ROUND(100/T16*U16-100,1))&lt;999,ROUND(100/T16*U16-100,1),IF(ROUND(100/T16*U16-100,1)&gt;999,999,-999)))</f>
        <v>32.1</v>
      </c>
      <c r="W16" s="830"/>
      <c r="X16" s="831"/>
      <c r="Y16" s="692"/>
      <c r="Z16" s="830"/>
      <c r="AA16" s="831"/>
      <c r="AB16" s="692"/>
      <c r="AC16" s="830">
        <v>93441</v>
      </c>
      <c r="AD16" s="831">
        <f>SUM(AD17:AD20)</f>
        <v>114538</v>
      </c>
      <c r="AE16" s="692">
        <f t="shared" si="0"/>
        <v>22.6</v>
      </c>
      <c r="AF16" s="691">
        <f t="shared" si="1"/>
        <v>178215.90917080001</v>
      </c>
      <c r="AG16" s="691">
        <f t="shared" si="1"/>
        <v>222358.6266113999</v>
      </c>
      <c r="AH16" s="692">
        <f t="shared" si="2"/>
        <v>24.8</v>
      </c>
      <c r="AI16" s="699"/>
      <c r="AJ16" s="699"/>
      <c r="AK16" s="699"/>
      <c r="AL16" s="666"/>
      <c r="AM16" s="696"/>
    </row>
    <row r="17" spans="1:39" s="703" customFormat="1" ht="18.75" customHeight="1" x14ac:dyDescent="0.3">
      <c r="A17" s="480" t="s">
        <v>417</v>
      </c>
      <c r="B17" s="828"/>
      <c r="C17" s="829"/>
      <c r="D17" s="392"/>
      <c r="E17" s="828"/>
      <c r="F17" s="829"/>
      <c r="G17" s="392"/>
      <c r="H17" s="828"/>
      <c r="I17" s="829"/>
      <c r="J17" s="392"/>
      <c r="K17" s="828">
        <v>521.29999999999995</v>
      </c>
      <c r="L17" s="829">
        <v>660</v>
      </c>
      <c r="M17" s="392">
        <f>IF(K17=0, "    ---- ", IF(ABS(ROUND(100/K17*L17-100,1))&lt;999,ROUND(100/K17*L17-100,1),IF(ROUND(100/K17*L17-100,1)&gt;999,999,-999)))</f>
        <v>26.6</v>
      </c>
      <c r="N17" s="828"/>
      <c r="O17" s="606"/>
      <c r="P17" s="392"/>
      <c r="Q17" s="828"/>
      <c r="R17" s="829"/>
      <c r="S17" s="392"/>
      <c r="T17" s="828">
        <v>23673.920913233622</v>
      </c>
      <c r="U17" s="829">
        <v>32172.172282732427</v>
      </c>
      <c r="V17" s="392">
        <f>IF(T17=0, "    ---- ", IF(ABS(ROUND(100/T17*U17-100,1))&lt;999,ROUND(100/T17*U17-100,1),IF(ROUND(100/T17*U17-100,1)&gt;999,999,-999)))</f>
        <v>35.9</v>
      </c>
      <c r="W17" s="828"/>
      <c r="X17" s="829"/>
      <c r="Y17" s="392"/>
      <c r="Z17" s="828"/>
      <c r="AA17" s="829"/>
      <c r="AB17" s="392"/>
      <c r="AC17" s="828">
        <v>6842</v>
      </c>
      <c r="AD17" s="829">
        <f>+AD12</f>
        <v>7501</v>
      </c>
      <c r="AE17" s="392">
        <f t="shared" si="0"/>
        <v>9.6</v>
      </c>
      <c r="AF17" s="685">
        <f t="shared" si="1"/>
        <v>31037.220913233621</v>
      </c>
      <c r="AG17" s="685">
        <f t="shared" si="1"/>
        <v>40333.172282732427</v>
      </c>
      <c r="AH17" s="392">
        <f t="shared" si="2"/>
        <v>30</v>
      </c>
      <c r="AI17" s="701"/>
      <c r="AJ17" s="701"/>
      <c r="AK17" s="701"/>
      <c r="AL17" s="702"/>
      <c r="AM17" s="702"/>
    </row>
    <row r="18" spans="1:39" s="703" customFormat="1" ht="18.75" customHeight="1" x14ac:dyDescent="0.3">
      <c r="A18" s="480" t="s">
        <v>420</v>
      </c>
      <c r="B18" s="828"/>
      <c r="C18" s="829"/>
      <c r="D18" s="392"/>
      <c r="E18" s="828"/>
      <c r="F18" s="829"/>
      <c r="G18" s="392"/>
      <c r="H18" s="828"/>
      <c r="I18" s="829"/>
      <c r="J18" s="392"/>
      <c r="K18" s="828">
        <v>1492.6</v>
      </c>
      <c r="L18" s="829">
        <v>1583</v>
      </c>
      <c r="M18" s="392">
        <f>IF(K18=0, "    ---- ", IF(ABS(ROUND(100/K18*L18-100,1))&lt;999,ROUND(100/K18*L18-100,1),IF(ROUND(100/K18*L18-100,1)&gt;999,999,-999)))</f>
        <v>6.1</v>
      </c>
      <c r="N18" s="828"/>
      <c r="O18" s="606"/>
      <c r="P18" s="392"/>
      <c r="Q18" s="828"/>
      <c r="R18" s="829"/>
      <c r="S18" s="392"/>
      <c r="T18" s="828">
        <v>3231.1500984697109</v>
      </c>
      <c r="U18" s="829">
        <v>4316.9146712215479</v>
      </c>
      <c r="V18" s="392">
        <f>IF(T18=0, "    ---- ", IF(ABS(ROUND(100/T18*U18-100,1))&lt;999,ROUND(100/T18*U18-100,1),IF(ROUND(100/T18*U18-100,1)&gt;999,999,-999)))</f>
        <v>33.6</v>
      </c>
      <c r="W18" s="828"/>
      <c r="X18" s="829"/>
      <c r="Y18" s="392"/>
      <c r="Z18" s="828"/>
      <c r="AA18" s="829"/>
      <c r="AB18" s="392"/>
      <c r="AC18" s="828">
        <v>4159</v>
      </c>
      <c r="AD18" s="829">
        <f>+AD13</f>
        <v>4910</v>
      </c>
      <c r="AE18" s="392">
        <f t="shared" si="0"/>
        <v>18.100000000000001</v>
      </c>
      <c r="AF18" s="685">
        <f t="shared" si="1"/>
        <v>8882.7500984697108</v>
      </c>
      <c r="AG18" s="685">
        <f t="shared" si="1"/>
        <v>10809.914671221548</v>
      </c>
      <c r="AH18" s="392">
        <f t="shared" si="2"/>
        <v>21.7</v>
      </c>
      <c r="AI18" s="701"/>
      <c r="AJ18" s="701"/>
      <c r="AK18" s="701"/>
      <c r="AL18" s="702"/>
      <c r="AM18" s="702"/>
    </row>
    <row r="19" spans="1:39" s="703" customFormat="1" ht="18.75" customHeight="1" x14ac:dyDescent="0.3">
      <c r="A19" s="480" t="s">
        <v>422</v>
      </c>
      <c r="B19" s="828"/>
      <c r="C19" s="829"/>
      <c r="D19" s="392"/>
      <c r="E19" s="828"/>
      <c r="F19" s="829"/>
      <c r="G19" s="392"/>
      <c r="H19" s="828"/>
      <c r="I19" s="829"/>
      <c r="J19" s="392"/>
      <c r="K19" s="828">
        <v>21782.3</v>
      </c>
      <c r="L19" s="829">
        <v>27600.5</v>
      </c>
      <c r="M19" s="392">
        <f>IF(K19=0, "    ---- ", IF(ABS(ROUND(100/K19*L19-100,1))&lt;999,ROUND(100/K19*L19-100,1),IF(ROUND(100/K19*L19-100,1)&gt;999,999,-999)))</f>
        <v>26.7</v>
      </c>
      <c r="N19" s="828"/>
      <c r="O19" s="606"/>
      <c r="P19" s="392"/>
      <c r="Q19" s="828"/>
      <c r="R19" s="829"/>
      <c r="S19" s="392"/>
      <c r="T19" s="828">
        <v>32132.686633946665</v>
      </c>
      <c r="U19" s="829">
        <v>41488.039657445923</v>
      </c>
      <c r="V19" s="392">
        <f>IF(T19=0, "    ---- ", IF(ABS(ROUND(100/T19*U19-100,1))&lt;999,ROUND(100/T19*U19-100,1),IF(ROUND(100/T19*U19-100,1)&gt;999,999,-999)))</f>
        <v>29.1</v>
      </c>
      <c r="W19" s="828"/>
      <c r="X19" s="829"/>
      <c r="Y19" s="392"/>
      <c r="Z19" s="828"/>
      <c r="AA19" s="829"/>
      <c r="AB19" s="392"/>
      <c r="AC19" s="828">
        <v>82440</v>
      </c>
      <c r="AD19" s="829">
        <f>+AD14</f>
        <v>102127</v>
      </c>
      <c r="AE19" s="392">
        <f t="shared" si="0"/>
        <v>23.9</v>
      </c>
      <c r="AF19" s="685">
        <f t="shared" si="1"/>
        <v>136354.98663394665</v>
      </c>
      <c r="AG19" s="685">
        <f t="shared" si="1"/>
        <v>171215.53965744592</v>
      </c>
      <c r="AH19" s="392">
        <f t="shared" si="2"/>
        <v>25.6</v>
      </c>
      <c r="AI19" s="701"/>
      <c r="AJ19" s="701"/>
      <c r="AK19" s="701"/>
      <c r="AL19" s="702"/>
      <c r="AM19" s="702"/>
    </row>
    <row r="20" spans="1:39" s="703" customFormat="1" ht="18.75" customHeight="1" x14ac:dyDescent="0.3">
      <c r="A20" s="480" t="s">
        <v>424</v>
      </c>
      <c r="B20" s="828"/>
      <c r="C20" s="829"/>
      <c r="D20" s="392"/>
      <c r="E20" s="828"/>
      <c r="F20" s="829"/>
      <c r="G20" s="392"/>
      <c r="H20" s="828"/>
      <c r="I20" s="829"/>
      <c r="J20" s="392"/>
      <c r="K20" s="828"/>
      <c r="L20" s="829"/>
      <c r="M20" s="392"/>
      <c r="N20" s="828">
        <v>1940.9515251500002</v>
      </c>
      <c r="O20" s="606"/>
      <c r="P20" s="392">
        <f>IF(N20=0, "    ---- ", IF(ABS(ROUND(100/N20*O20-100,1))&lt;999,ROUND(100/N20*O20-100,1),IF(ROUND(100/N20*O20-100,1)&gt;999,999,-999)))</f>
        <v>-100</v>
      </c>
      <c r="Q20" s="828"/>
      <c r="R20" s="829"/>
      <c r="S20" s="392"/>
      <c r="T20" s="828"/>
      <c r="U20" s="829"/>
      <c r="V20" s="392"/>
      <c r="W20" s="828"/>
      <c r="X20" s="829"/>
      <c r="Y20" s="392"/>
      <c r="Z20" s="828"/>
      <c r="AA20" s="829"/>
      <c r="AB20" s="392"/>
      <c r="AC20" s="828"/>
      <c r="AD20" s="829"/>
      <c r="AE20" s="392"/>
      <c r="AF20" s="685">
        <f t="shared" si="1"/>
        <v>1940.9515251500002</v>
      </c>
      <c r="AG20" s="685">
        <f t="shared" si="1"/>
        <v>0</v>
      </c>
      <c r="AH20" s="392">
        <f t="shared" si="2"/>
        <v>-100</v>
      </c>
      <c r="AI20" s="701"/>
      <c r="AJ20" s="701"/>
      <c r="AK20" s="701"/>
      <c r="AL20" s="702"/>
      <c r="AM20" s="702"/>
    </row>
    <row r="21" spans="1:39" s="697" customFormat="1" ht="18.75" customHeight="1" x14ac:dyDescent="0.3">
      <c r="A21" s="662" t="s">
        <v>439</v>
      </c>
      <c r="B21" s="801"/>
      <c r="C21" s="831"/>
      <c r="D21" s="692"/>
      <c r="E21" s="830"/>
      <c r="F21" s="831"/>
      <c r="G21" s="692"/>
      <c r="H21" s="830"/>
      <c r="I21" s="831"/>
      <c r="J21" s="692"/>
      <c r="K21" s="830"/>
      <c r="L21" s="831"/>
      <c r="M21" s="692"/>
      <c r="N21" s="830"/>
      <c r="O21" s="604"/>
      <c r="P21" s="692"/>
      <c r="Q21" s="830"/>
      <c r="R21" s="831"/>
      <c r="S21" s="692"/>
      <c r="T21" s="830"/>
      <c r="U21" s="831"/>
      <c r="V21" s="692"/>
      <c r="W21" s="830"/>
      <c r="X21" s="831"/>
      <c r="Y21" s="692"/>
      <c r="Z21" s="830"/>
      <c r="AA21" s="831"/>
      <c r="AB21" s="692"/>
      <c r="AC21" s="830"/>
      <c r="AD21" s="831"/>
      <c r="AE21" s="692"/>
      <c r="AF21" s="691">
        <f t="shared" si="1"/>
        <v>0</v>
      </c>
      <c r="AG21" s="691">
        <f t="shared" si="1"/>
        <v>0</v>
      </c>
      <c r="AH21" s="692" t="str">
        <f t="shared" si="2"/>
        <v xml:space="preserve">    ---- </v>
      </c>
      <c r="AI21" s="699"/>
      <c r="AJ21" s="699"/>
      <c r="AK21" s="699"/>
      <c r="AL21" s="666"/>
      <c r="AM21" s="696"/>
    </row>
    <row r="22" spans="1:39" s="703" customFormat="1" ht="18.75" customHeight="1" x14ac:dyDescent="0.3">
      <c r="A22" s="480" t="s">
        <v>417</v>
      </c>
      <c r="B22" s="828"/>
      <c r="C22" s="829"/>
      <c r="D22" s="392"/>
      <c r="E22" s="828"/>
      <c r="F22" s="829"/>
      <c r="G22" s="392"/>
      <c r="H22" s="828"/>
      <c r="I22" s="829"/>
      <c r="J22" s="392"/>
      <c r="K22" s="828"/>
      <c r="L22" s="829"/>
      <c r="M22" s="392"/>
      <c r="N22" s="828"/>
      <c r="O22" s="606"/>
      <c r="P22" s="392"/>
      <c r="Q22" s="828"/>
      <c r="R22" s="829"/>
      <c r="S22" s="392"/>
      <c r="T22" s="828"/>
      <c r="U22" s="829"/>
      <c r="V22" s="392"/>
      <c r="W22" s="828"/>
      <c r="X22" s="829"/>
      <c r="Y22" s="392"/>
      <c r="Z22" s="828"/>
      <c r="AA22" s="829"/>
      <c r="AB22" s="392"/>
      <c r="AC22" s="828"/>
      <c r="AD22" s="829"/>
      <c r="AE22" s="392"/>
      <c r="AF22" s="685">
        <f t="shared" si="1"/>
        <v>0</v>
      </c>
      <c r="AG22" s="685">
        <f t="shared" si="1"/>
        <v>0</v>
      </c>
      <c r="AH22" s="392" t="str">
        <f t="shared" si="2"/>
        <v xml:space="preserve">    ---- </v>
      </c>
      <c r="AI22" s="701"/>
      <c r="AJ22" s="701"/>
      <c r="AK22" s="701"/>
      <c r="AL22" s="702"/>
      <c r="AM22" s="702"/>
    </row>
    <row r="23" spans="1:39" s="703" customFormat="1" ht="18.75" customHeight="1" x14ac:dyDescent="0.3">
      <c r="A23" s="480" t="s">
        <v>420</v>
      </c>
      <c r="B23" s="828"/>
      <c r="C23" s="829"/>
      <c r="D23" s="392"/>
      <c r="E23" s="828"/>
      <c r="F23" s="829"/>
      <c r="G23" s="392"/>
      <c r="H23" s="828"/>
      <c r="I23" s="829"/>
      <c r="J23" s="392"/>
      <c r="K23" s="828"/>
      <c r="L23" s="829"/>
      <c r="M23" s="392"/>
      <c r="N23" s="828"/>
      <c r="O23" s="606"/>
      <c r="P23" s="392"/>
      <c r="Q23" s="828"/>
      <c r="R23" s="829"/>
      <c r="S23" s="392"/>
      <c r="T23" s="828"/>
      <c r="U23" s="829"/>
      <c r="V23" s="392"/>
      <c r="W23" s="828"/>
      <c r="X23" s="829"/>
      <c r="Y23" s="392"/>
      <c r="Z23" s="828"/>
      <c r="AA23" s="829"/>
      <c r="AB23" s="392"/>
      <c r="AC23" s="828"/>
      <c r="AD23" s="829"/>
      <c r="AE23" s="392"/>
      <c r="AF23" s="685">
        <f t="shared" si="1"/>
        <v>0</v>
      </c>
      <c r="AG23" s="685">
        <f t="shared" si="1"/>
        <v>0</v>
      </c>
      <c r="AH23" s="392" t="str">
        <f t="shared" si="2"/>
        <v xml:space="preserve">    ---- </v>
      </c>
      <c r="AI23" s="701"/>
      <c r="AJ23" s="701"/>
      <c r="AK23" s="701"/>
      <c r="AL23" s="702"/>
      <c r="AM23" s="702"/>
    </row>
    <row r="24" spans="1:39" s="703" customFormat="1" ht="18.75" customHeight="1" x14ac:dyDescent="0.3">
      <c r="A24" s="480" t="s">
        <v>422</v>
      </c>
      <c r="B24" s="828"/>
      <c r="C24" s="829"/>
      <c r="D24" s="392"/>
      <c r="E24" s="828"/>
      <c r="F24" s="829"/>
      <c r="G24" s="392"/>
      <c r="H24" s="828"/>
      <c r="I24" s="829"/>
      <c r="J24" s="392"/>
      <c r="K24" s="828"/>
      <c r="L24" s="829"/>
      <c r="M24" s="392"/>
      <c r="N24" s="828"/>
      <c r="O24" s="606"/>
      <c r="P24" s="392"/>
      <c r="Q24" s="828"/>
      <c r="R24" s="829"/>
      <c r="S24" s="392"/>
      <c r="T24" s="828"/>
      <c r="U24" s="829"/>
      <c r="V24" s="392"/>
      <c r="W24" s="828"/>
      <c r="X24" s="829"/>
      <c r="Y24" s="392"/>
      <c r="Z24" s="828"/>
      <c r="AA24" s="829"/>
      <c r="AB24" s="392"/>
      <c r="AC24" s="828"/>
      <c r="AD24" s="829"/>
      <c r="AE24" s="392"/>
      <c r="AF24" s="685">
        <f t="shared" si="1"/>
        <v>0</v>
      </c>
      <c r="AG24" s="685">
        <f t="shared" si="1"/>
        <v>0</v>
      </c>
      <c r="AH24" s="392" t="str">
        <f t="shared" si="2"/>
        <v xml:space="preserve">    ---- </v>
      </c>
      <c r="AI24" s="701"/>
      <c r="AJ24" s="701"/>
      <c r="AK24" s="701"/>
      <c r="AL24" s="702"/>
      <c r="AM24" s="702"/>
    </row>
    <row r="25" spans="1:39" s="703" customFormat="1" ht="18.75" customHeight="1" x14ac:dyDescent="0.3">
      <c r="A25" s="480" t="s">
        <v>424</v>
      </c>
      <c r="B25" s="828"/>
      <c r="C25" s="829"/>
      <c r="D25" s="392"/>
      <c r="E25" s="828"/>
      <c r="F25" s="829"/>
      <c r="G25" s="392"/>
      <c r="H25" s="828"/>
      <c r="I25" s="829"/>
      <c r="J25" s="392"/>
      <c r="K25" s="828"/>
      <c r="L25" s="829"/>
      <c r="M25" s="392"/>
      <c r="N25" s="828"/>
      <c r="O25" s="606"/>
      <c r="P25" s="392"/>
      <c r="Q25" s="828"/>
      <c r="R25" s="829"/>
      <c r="S25" s="392"/>
      <c r="T25" s="828"/>
      <c r="U25" s="829"/>
      <c r="V25" s="392"/>
      <c r="W25" s="828"/>
      <c r="X25" s="829"/>
      <c r="Y25" s="392"/>
      <c r="Z25" s="828"/>
      <c r="AA25" s="829"/>
      <c r="AB25" s="392"/>
      <c r="AC25" s="828"/>
      <c r="AD25" s="829"/>
      <c r="AE25" s="392"/>
      <c r="AF25" s="685">
        <f t="shared" si="1"/>
        <v>0</v>
      </c>
      <c r="AG25" s="685">
        <f t="shared" si="1"/>
        <v>0</v>
      </c>
      <c r="AH25" s="392" t="str">
        <f t="shared" si="2"/>
        <v xml:space="preserve">    ---- </v>
      </c>
      <c r="AI25" s="701"/>
      <c r="AJ25" s="701"/>
      <c r="AK25" s="701"/>
      <c r="AL25" s="702"/>
      <c r="AM25" s="702"/>
    </row>
    <row r="26" spans="1:39" s="697" customFormat="1" ht="18.75" customHeight="1" x14ac:dyDescent="0.3">
      <c r="A26" s="704" t="s">
        <v>440</v>
      </c>
      <c r="B26" s="801"/>
      <c r="C26" s="831"/>
      <c r="D26" s="692"/>
      <c r="E26" s="830"/>
      <c r="F26" s="831"/>
      <c r="G26" s="692"/>
      <c r="H26" s="830"/>
      <c r="I26" s="831"/>
      <c r="J26" s="692"/>
      <c r="K26" s="830"/>
      <c r="L26" s="831"/>
      <c r="M26" s="692"/>
      <c r="N26" s="830">
        <v>99.874432999999996</v>
      </c>
      <c r="O26" s="604"/>
      <c r="P26" s="692">
        <f>IF(N26=0, "    ---- ", IF(ABS(ROUND(100/N26*O26-100,1))&lt;999,ROUND(100/N26*O26-100,1),IF(ROUND(100/N26*O26-100,1)&gt;999,999,-999)))</f>
        <v>-100</v>
      </c>
      <c r="Q26" s="830"/>
      <c r="R26" s="831"/>
      <c r="S26" s="692"/>
      <c r="T26" s="830"/>
      <c r="U26" s="831"/>
      <c r="V26" s="692"/>
      <c r="W26" s="830"/>
      <c r="X26" s="831"/>
      <c r="Y26" s="692"/>
      <c r="Z26" s="830"/>
      <c r="AA26" s="831"/>
      <c r="AB26" s="692"/>
      <c r="AC26" s="830"/>
      <c r="AD26" s="831"/>
      <c r="AE26" s="692"/>
      <c r="AF26" s="691">
        <f t="shared" si="1"/>
        <v>99.874432999999996</v>
      </c>
      <c r="AG26" s="691">
        <f t="shared" si="1"/>
        <v>0</v>
      </c>
      <c r="AH26" s="692">
        <f t="shared" si="2"/>
        <v>-100</v>
      </c>
      <c r="AI26" s="699"/>
      <c r="AJ26" s="699"/>
      <c r="AK26" s="699"/>
      <c r="AL26" s="666"/>
      <c r="AM26" s="696"/>
    </row>
    <row r="27" spans="1:39" s="703" customFormat="1" ht="18.75" customHeight="1" x14ac:dyDescent="0.3">
      <c r="A27" s="480" t="s">
        <v>417</v>
      </c>
      <c r="B27" s="828"/>
      <c r="C27" s="829"/>
      <c r="D27" s="392"/>
      <c r="E27" s="828"/>
      <c r="F27" s="829"/>
      <c r="G27" s="392"/>
      <c r="H27" s="828"/>
      <c r="I27" s="829"/>
      <c r="J27" s="392"/>
      <c r="K27" s="828"/>
      <c r="L27" s="829"/>
      <c r="M27" s="392"/>
      <c r="N27" s="828"/>
      <c r="O27" s="606"/>
      <c r="P27" s="392"/>
      <c r="Q27" s="828"/>
      <c r="R27" s="829"/>
      <c r="S27" s="392"/>
      <c r="T27" s="828"/>
      <c r="U27" s="829"/>
      <c r="V27" s="392"/>
      <c r="W27" s="828"/>
      <c r="X27" s="829"/>
      <c r="Y27" s="392"/>
      <c r="Z27" s="828"/>
      <c r="AA27" s="829"/>
      <c r="AB27" s="392"/>
      <c r="AC27" s="828"/>
      <c r="AD27" s="829"/>
      <c r="AE27" s="392"/>
      <c r="AF27" s="685">
        <f t="shared" si="1"/>
        <v>0</v>
      </c>
      <c r="AG27" s="685">
        <f t="shared" si="1"/>
        <v>0</v>
      </c>
      <c r="AH27" s="392" t="str">
        <f t="shared" si="2"/>
        <v xml:space="preserve">    ---- </v>
      </c>
      <c r="AI27" s="701"/>
      <c r="AJ27" s="701"/>
      <c r="AK27" s="701"/>
      <c r="AL27" s="702"/>
      <c r="AM27" s="702"/>
    </row>
    <row r="28" spans="1:39" s="703" customFormat="1" ht="18.75" customHeight="1" x14ac:dyDescent="0.3">
      <c r="A28" s="480" t="s">
        <v>420</v>
      </c>
      <c r="B28" s="828"/>
      <c r="C28" s="829"/>
      <c r="D28" s="392"/>
      <c r="E28" s="828"/>
      <c r="F28" s="829"/>
      <c r="G28" s="392"/>
      <c r="H28" s="828"/>
      <c r="I28" s="829"/>
      <c r="J28" s="392"/>
      <c r="K28" s="828"/>
      <c r="L28" s="829"/>
      <c r="M28" s="392"/>
      <c r="N28" s="828"/>
      <c r="O28" s="606"/>
      <c r="P28" s="392"/>
      <c r="Q28" s="828"/>
      <c r="R28" s="829"/>
      <c r="S28" s="392"/>
      <c r="T28" s="828"/>
      <c r="U28" s="829"/>
      <c r="V28" s="392"/>
      <c r="W28" s="828"/>
      <c r="X28" s="829"/>
      <c r="Y28" s="392"/>
      <c r="Z28" s="828"/>
      <c r="AA28" s="829"/>
      <c r="AB28" s="392"/>
      <c r="AC28" s="828"/>
      <c r="AD28" s="829"/>
      <c r="AE28" s="392"/>
      <c r="AF28" s="685">
        <f t="shared" si="1"/>
        <v>0</v>
      </c>
      <c r="AG28" s="685">
        <f t="shared" si="1"/>
        <v>0</v>
      </c>
      <c r="AH28" s="392" t="str">
        <f t="shared" si="2"/>
        <v xml:space="preserve">    ---- </v>
      </c>
      <c r="AI28" s="701"/>
      <c r="AJ28" s="701"/>
      <c r="AK28" s="701"/>
      <c r="AL28" s="702"/>
      <c r="AM28" s="702"/>
    </row>
    <row r="29" spans="1:39" s="703" customFormat="1" ht="18.75" customHeight="1" x14ac:dyDescent="0.3">
      <c r="A29" s="480" t="s">
        <v>422</v>
      </c>
      <c r="B29" s="828"/>
      <c r="C29" s="829"/>
      <c r="D29" s="392"/>
      <c r="E29" s="828"/>
      <c r="F29" s="829"/>
      <c r="G29" s="392"/>
      <c r="H29" s="828"/>
      <c r="I29" s="829"/>
      <c r="J29" s="392"/>
      <c r="K29" s="828"/>
      <c r="L29" s="829"/>
      <c r="M29" s="392"/>
      <c r="N29" s="828"/>
      <c r="O29" s="606"/>
      <c r="P29" s="392"/>
      <c r="Q29" s="828"/>
      <c r="R29" s="829"/>
      <c r="S29" s="392"/>
      <c r="T29" s="828"/>
      <c r="U29" s="829"/>
      <c r="V29" s="392"/>
      <c r="W29" s="828"/>
      <c r="X29" s="829"/>
      <c r="Y29" s="392"/>
      <c r="Z29" s="828"/>
      <c r="AA29" s="829"/>
      <c r="AB29" s="392"/>
      <c r="AC29" s="828"/>
      <c r="AD29" s="829"/>
      <c r="AE29" s="392"/>
      <c r="AF29" s="685">
        <f t="shared" si="1"/>
        <v>0</v>
      </c>
      <c r="AG29" s="685">
        <f t="shared" si="1"/>
        <v>0</v>
      </c>
      <c r="AH29" s="392" t="str">
        <f t="shared" si="2"/>
        <v xml:space="preserve">    ---- </v>
      </c>
      <c r="AI29" s="701"/>
      <c r="AJ29" s="701"/>
      <c r="AK29" s="701"/>
      <c r="AL29" s="702"/>
      <c r="AM29" s="702"/>
    </row>
    <row r="30" spans="1:39" s="703" customFormat="1" ht="18.75" customHeight="1" x14ac:dyDescent="0.3">
      <c r="A30" s="480" t="s">
        <v>424</v>
      </c>
      <c r="B30" s="828"/>
      <c r="C30" s="829"/>
      <c r="D30" s="392"/>
      <c r="E30" s="828"/>
      <c r="F30" s="829"/>
      <c r="G30" s="392"/>
      <c r="H30" s="828"/>
      <c r="I30" s="829"/>
      <c r="J30" s="392"/>
      <c r="K30" s="828"/>
      <c r="L30" s="829"/>
      <c r="M30" s="392"/>
      <c r="N30" s="828">
        <v>99.874432999999996</v>
      </c>
      <c r="O30" s="606"/>
      <c r="P30" s="392">
        <f>IF(N30=0, "    ---- ", IF(ABS(ROUND(100/N30*O30-100,1))&lt;999,ROUND(100/N30*O30-100,1),IF(ROUND(100/N30*O30-100,1)&gt;999,999,-999)))</f>
        <v>-100</v>
      </c>
      <c r="Q30" s="828"/>
      <c r="R30" s="829"/>
      <c r="S30" s="392"/>
      <c r="T30" s="828"/>
      <c r="U30" s="829"/>
      <c r="V30" s="392"/>
      <c r="W30" s="828"/>
      <c r="X30" s="829"/>
      <c r="Y30" s="392"/>
      <c r="Z30" s="828"/>
      <c r="AA30" s="829"/>
      <c r="AB30" s="392"/>
      <c r="AC30" s="828"/>
      <c r="AD30" s="829"/>
      <c r="AE30" s="392"/>
      <c r="AF30" s="685">
        <f t="shared" si="1"/>
        <v>99.874432999999996</v>
      </c>
      <c r="AG30" s="685">
        <f t="shared" si="1"/>
        <v>0</v>
      </c>
      <c r="AH30" s="392">
        <f t="shared" si="2"/>
        <v>-100</v>
      </c>
      <c r="AI30" s="701"/>
      <c r="AJ30" s="701"/>
      <c r="AK30" s="701"/>
      <c r="AL30" s="702"/>
      <c r="AM30" s="702"/>
    </row>
    <row r="31" spans="1:39" s="697" customFormat="1" ht="18.75" customHeight="1" x14ac:dyDescent="0.3">
      <c r="A31" s="704" t="s">
        <v>441</v>
      </c>
      <c r="B31" s="801">
        <v>62.942999999999998</v>
      </c>
      <c r="C31" s="831">
        <f>SUM(C32:C34)</f>
        <v>59.975999999999999</v>
      </c>
      <c r="D31" s="692">
        <f>IF(B31=0, "    ---- ", IF(ABS(ROUND(100/B31*C31-100,1))&lt;999,ROUND(100/B31*C31-100,1),IF(ROUND(100/B31*C31-100,1)&gt;999,999,-999)))</f>
        <v>-4.7</v>
      </c>
      <c r="E31" s="830">
        <v>681.62099999999998</v>
      </c>
      <c r="F31" s="831">
        <f>SUM(F32:F34)</f>
        <v>580</v>
      </c>
      <c r="G31" s="692">
        <f>IF(E31=0, "    ---- ", IF(ABS(ROUND(100/E31*F31-100,1))&lt;999,ROUND(100/E31*F31-100,1),IF(ROUND(100/E31*F31-100,1)&gt;999,999,-999)))</f>
        <v>-14.9</v>
      </c>
      <c r="H31" s="830"/>
      <c r="I31" s="831"/>
      <c r="J31" s="692"/>
      <c r="K31" s="830">
        <v>305.55</v>
      </c>
      <c r="L31" s="831">
        <f>SUM(L32:L34)</f>
        <v>287.39999999999998</v>
      </c>
      <c r="M31" s="692">
        <f>IF(K31=0, "    ---- ", IF(ABS(ROUND(100/K31*L31-100,1))&lt;999,ROUND(100/K31*L31-100,1),IF(ROUND(100/K31*L31-100,1)&gt;999,999,-999)))</f>
        <v>-5.9</v>
      </c>
      <c r="N31" s="830">
        <v>377.869282</v>
      </c>
      <c r="O31" s="604"/>
      <c r="P31" s="692">
        <f>IF(N31=0, "    ---- ", IF(ABS(ROUND(100/N31*O31-100,1))&lt;999,ROUND(100/N31*O31-100,1),IF(ROUND(100/N31*O31-100,1)&gt;999,999,-999)))</f>
        <v>-100</v>
      </c>
      <c r="Q31" s="830">
        <v>19.600000000000001</v>
      </c>
      <c r="R31" s="831">
        <f>SUM(R32:R34)</f>
        <v>14.3</v>
      </c>
      <c r="S31" s="692">
        <f>IF(Q31=0, "    ---- ", IF(ABS(ROUND(100/Q31*R31-100,1))&lt;999,ROUND(100/Q31*R31-100,1),IF(ROUND(100/Q31*R31-100,1)&gt;999,999,-999)))</f>
        <v>-27</v>
      </c>
      <c r="T31" s="830"/>
      <c r="U31" s="831"/>
      <c r="V31" s="692"/>
      <c r="W31" s="830"/>
      <c r="X31" s="831"/>
      <c r="Y31" s="692"/>
      <c r="Z31" s="830">
        <v>516.46799999999996</v>
      </c>
      <c r="AA31" s="831">
        <f>SUM(AA32:AA34)</f>
        <v>521</v>
      </c>
      <c r="AB31" s="692">
        <f>IF(Z31=0, "    ---- ", IF(ABS(ROUND(100/Z31*AA31-100,1))&lt;999,ROUND(100/Z31*AA31-100,1),IF(ROUND(100/Z31*AA31-100,1)&gt;999,999,-999)))</f>
        <v>0.9</v>
      </c>
      <c r="AC31" s="830"/>
      <c r="AD31" s="831"/>
      <c r="AE31" s="692"/>
      <c r="AF31" s="691">
        <f t="shared" si="1"/>
        <v>1964.0512819999999</v>
      </c>
      <c r="AG31" s="691">
        <f t="shared" si="1"/>
        <v>1462.6759999999999</v>
      </c>
      <c r="AH31" s="692">
        <f t="shared" si="2"/>
        <v>-25.5</v>
      </c>
      <c r="AI31" s="699"/>
      <c r="AJ31" s="699"/>
      <c r="AK31" s="699"/>
      <c r="AL31" s="666"/>
      <c r="AM31" s="696"/>
    </row>
    <row r="32" spans="1:39" s="703" customFormat="1" ht="18.75" customHeight="1" x14ac:dyDescent="0.3">
      <c r="A32" s="480" t="s">
        <v>420</v>
      </c>
      <c r="B32" s="828"/>
      <c r="C32" s="829"/>
      <c r="D32" s="392"/>
      <c r="E32" s="828"/>
      <c r="F32" s="829"/>
      <c r="G32" s="392"/>
      <c r="H32" s="828"/>
      <c r="I32" s="829"/>
      <c r="J32" s="392"/>
      <c r="K32" s="828"/>
      <c r="L32" s="829"/>
      <c r="M32" s="392"/>
      <c r="N32" s="828"/>
      <c r="O32" s="606"/>
      <c r="P32" s="392"/>
      <c r="Q32" s="828"/>
      <c r="R32" s="829"/>
      <c r="S32" s="392"/>
      <c r="T32" s="828"/>
      <c r="U32" s="829"/>
      <c r="V32" s="392"/>
      <c r="W32" s="828"/>
      <c r="X32" s="829"/>
      <c r="Y32" s="392"/>
      <c r="Z32" s="828"/>
      <c r="AA32" s="829"/>
      <c r="AB32" s="392"/>
      <c r="AC32" s="828"/>
      <c r="AD32" s="829"/>
      <c r="AE32" s="392"/>
      <c r="AF32" s="685">
        <f t="shared" si="1"/>
        <v>0</v>
      </c>
      <c r="AG32" s="685">
        <f t="shared" si="1"/>
        <v>0</v>
      </c>
      <c r="AH32" s="392" t="str">
        <f t="shared" si="2"/>
        <v xml:space="preserve">    ---- </v>
      </c>
      <c r="AI32" s="701"/>
      <c r="AJ32" s="701"/>
      <c r="AK32" s="701"/>
      <c r="AL32" s="702"/>
      <c r="AM32" s="702"/>
    </row>
    <row r="33" spans="1:39" s="703" customFormat="1" ht="18.75" customHeight="1" x14ac:dyDescent="0.3">
      <c r="A33" s="480" t="s">
        <v>422</v>
      </c>
      <c r="B33" s="828">
        <v>62.942999999999998</v>
      </c>
      <c r="C33" s="829">
        <v>59.975999999999999</v>
      </c>
      <c r="D33" s="392">
        <f>IF(B33=0, "    ---- ", IF(ABS(ROUND(100/B33*C33-100,1))&lt;999,ROUND(100/B33*C33-100,1),IF(ROUND(100/B33*C33-100,1)&gt;999,999,-999)))</f>
        <v>-4.7</v>
      </c>
      <c r="E33" s="828">
        <v>681.62099999999998</v>
      </c>
      <c r="F33" s="829">
        <v>580</v>
      </c>
      <c r="G33" s="392">
        <f>IF(E33=0, "    ---- ", IF(ABS(ROUND(100/E33*F33-100,1))&lt;999,ROUND(100/E33*F33-100,1),IF(ROUND(100/E33*F33-100,1)&gt;999,999,-999)))</f>
        <v>-14.9</v>
      </c>
      <c r="H33" s="828"/>
      <c r="I33" s="829"/>
      <c r="J33" s="392"/>
      <c r="K33" s="828">
        <v>305.55</v>
      </c>
      <c r="L33" s="829">
        <v>287.39999999999998</v>
      </c>
      <c r="M33" s="392">
        <f>IF(K33=0, "    ---- ", IF(ABS(ROUND(100/K33*L33-100,1))&lt;999,ROUND(100/K33*L33-100,1),IF(ROUND(100/K33*L33-100,1)&gt;999,999,-999)))</f>
        <v>-5.9</v>
      </c>
      <c r="N33" s="828"/>
      <c r="O33" s="606"/>
      <c r="P33" s="392"/>
      <c r="Q33" s="828">
        <v>19.600000000000001</v>
      </c>
      <c r="R33" s="829">
        <v>14.3</v>
      </c>
      <c r="S33" s="392">
        <f>IF(Q33=0, "    ---- ", IF(ABS(ROUND(100/Q33*R33-100,1))&lt;999,ROUND(100/Q33*R33-100,1),IF(ROUND(100/Q33*R33-100,1)&gt;999,999,-999)))</f>
        <v>-27</v>
      </c>
      <c r="T33" s="828"/>
      <c r="U33" s="829"/>
      <c r="V33" s="392"/>
      <c r="W33" s="828"/>
      <c r="X33" s="829"/>
      <c r="Y33" s="392"/>
      <c r="Z33" s="828">
        <v>516.46799999999996</v>
      </c>
      <c r="AA33" s="829">
        <v>521</v>
      </c>
      <c r="AB33" s="392">
        <f>IF(Z33=0, "    ---- ", IF(ABS(ROUND(100/Z33*AA33-100,1))&lt;999,ROUND(100/Z33*AA33-100,1),IF(ROUND(100/Z33*AA33-100,1)&gt;999,999,-999)))</f>
        <v>0.9</v>
      </c>
      <c r="AC33" s="828"/>
      <c r="AD33" s="829"/>
      <c r="AE33" s="392"/>
      <c r="AF33" s="685">
        <f t="shared" si="1"/>
        <v>1586.1819999999998</v>
      </c>
      <c r="AG33" s="685">
        <f t="shared" si="1"/>
        <v>1462.6759999999999</v>
      </c>
      <c r="AH33" s="392">
        <f t="shared" si="2"/>
        <v>-7.8</v>
      </c>
      <c r="AI33" s="701"/>
      <c r="AJ33" s="701"/>
      <c r="AK33" s="701"/>
      <c r="AL33" s="702"/>
      <c r="AM33" s="702"/>
    </row>
    <row r="34" spans="1:39" s="703" customFormat="1" ht="18.75" customHeight="1" x14ac:dyDescent="0.3">
      <c r="A34" s="480" t="s">
        <v>424</v>
      </c>
      <c r="B34" s="828"/>
      <c r="C34" s="829"/>
      <c r="D34" s="392"/>
      <c r="E34" s="828"/>
      <c r="F34" s="829"/>
      <c r="G34" s="392"/>
      <c r="H34" s="828"/>
      <c r="I34" s="829"/>
      <c r="J34" s="392"/>
      <c r="K34" s="828"/>
      <c r="L34" s="829"/>
      <c r="M34" s="392"/>
      <c r="N34" s="828">
        <v>377.869282</v>
      </c>
      <c r="O34" s="606"/>
      <c r="P34" s="392">
        <f>IF(N34=0, "    ---- ", IF(ABS(ROUND(100/N34*O34-100,1))&lt;999,ROUND(100/N34*O34-100,1),IF(ROUND(100/N34*O34-100,1)&gt;999,999,-999)))</f>
        <v>-100</v>
      </c>
      <c r="Q34" s="828"/>
      <c r="R34" s="829"/>
      <c r="S34" s="392"/>
      <c r="T34" s="828"/>
      <c r="U34" s="829"/>
      <c r="V34" s="392"/>
      <c r="W34" s="828"/>
      <c r="X34" s="829"/>
      <c r="Y34" s="392"/>
      <c r="Z34" s="828"/>
      <c r="AA34" s="829"/>
      <c r="AB34" s="392"/>
      <c r="AC34" s="828"/>
      <c r="AD34" s="829"/>
      <c r="AE34" s="392"/>
      <c r="AF34" s="685">
        <f t="shared" si="1"/>
        <v>377.869282</v>
      </c>
      <c r="AG34" s="685">
        <f t="shared" si="1"/>
        <v>0</v>
      </c>
      <c r="AH34" s="392">
        <f t="shared" si="2"/>
        <v>-100</v>
      </c>
      <c r="AI34" s="705"/>
      <c r="AJ34" s="701"/>
      <c r="AK34" s="701"/>
      <c r="AL34" s="702"/>
      <c r="AM34" s="702"/>
    </row>
    <row r="35" spans="1:39" s="697" customFormat="1" ht="18.75" customHeight="1" x14ac:dyDescent="0.3">
      <c r="A35" s="704" t="s">
        <v>442</v>
      </c>
      <c r="B35" s="830">
        <f>SUM(B11+B21+B26+B31)</f>
        <v>16857.046000000002</v>
      </c>
      <c r="C35" s="831">
        <f>SUM(C11+C21+C26+C31)</f>
        <v>20732.864999999998</v>
      </c>
      <c r="D35" s="692">
        <f>IF(B35=0, "    ---- ", IF(ABS(ROUND(100/B35*C35-100,1))&lt;999,ROUND(100/B35*C35-100,1),IF(ROUND(100/B35*C35-100,1)&gt;999,999,-999)))</f>
        <v>23</v>
      </c>
      <c r="E35" s="830">
        <f>SUM(E11+E21+E26+E31)</f>
        <v>77241.34199999999</v>
      </c>
      <c r="F35" s="831">
        <f>SUM(F11+F21+F26+F31)</f>
        <v>98943.005000000005</v>
      </c>
      <c r="G35" s="692">
        <f>IF(E35=0, "    ---- ", IF(ABS(ROUND(100/E35*F35-100,1))&lt;999,ROUND(100/E35*F35-100,1),IF(ROUND(100/E35*F35-100,1)&gt;999,999,-999)))</f>
        <v>28.1</v>
      </c>
      <c r="H35" s="830">
        <f>SUM(H11+H21+H26+H31)</f>
        <v>3327.1</v>
      </c>
      <c r="I35" s="831">
        <f>SUM(I11+I21+I26+I31)</f>
        <v>4266.26</v>
      </c>
      <c r="J35" s="692">
        <f>IF(H35=0, "    ---- ", IF(ABS(ROUND(100/H35*I35-100,1))&lt;999,ROUND(100/H35*I35-100,1),IF(ROUND(100/H35*I35-100,1)&gt;999,999,-999)))</f>
        <v>28.2</v>
      </c>
      <c r="K35" s="830">
        <f>SUM(K11+K21+K26+K31)</f>
        <v>24101.75</v>
      </c>
      <c r="L35" s="831">
        <f>SUM(L11+L21+L26+L31)</f>
        <v>30130.9</v>
      </c>
      <c r="M35" s="692">
        <f>IF(K35=0, "    ---- ", IF(ABS(ROUND(100/K35*L35-100,1))&lt;999,ROUND(100/K35*L35-100,1),IF(ROUND(100/K35*L35-100,1)&gt;999,999,-999)))</f>
        <v>25</v>
      </c>
      <c r="N35" s="830">
        <f>SUM(N11+N21+N26+N31)</f>
        <v>2418.6952401500002</v>
      </c>
      <c r="O35" s="604"/>
      <c r="P35" s="692">
        <f>IF(N35=0, "    ---- ", IF(ABS(ROUND(100/N35*O35-100,1))&lt;999,ROUND(100/N35*O35-100,1),IF(ROUND(100/N35*O35-100,1)&gt;999,999,-999)))</f>
        <v>-100</v>
      </c>
      <c r="Q35" s="830">
        <f>SUM(Q11+Q21+Q26+Q31)</f>
        <v>3396.4</v>
      </c>
      <c r="R35" s="831">
        <f>SUM(R11+R21+R26+R31)</f>
        <v>4906.2</v>
      </c>
      <c r="S35" s="692">
        <f>IF(Q35=0, "    ---- ", IF(ABS(ROUND(100/Q35*R35-100,1))&lt;999,ROUND(100/Q35*R35-100,1),IF(ROUND(100/Q35*R35-100,1)&gt;999,999,-999)))</f>
        <v>44.5</v>
      </c>
      <c r="T35" s="830">
        <f>SUM(T11+T21+T26+T31)</f>
        <v>59037.757645649996</v>
      </c>
      <c r="U35" s="831">
        <f>SUM(U11+U21+U26+U31)</f>
        <v>77977.126611399901</v>
      </c>
      <c r="V35" s="692">
        <f>IF(T35=0, "    ---- ", IF(ABS(ROUND(100/T35*U35-100,1))&lt;999,ROUND(100/T35*U35-100,1),IF(ROUND(100/T35*U35-100,1)&gt;999,999,-999)))</f>
        <v>32.1</v>
      </c>
      <c r="W35" s="830">
        <f>SUM(W11+W21+W26+W31)</f>
        <v>2076.5110914399997</v>
      </c>
      <c r="X35" s="831">
        <f>SUM(X11+X21+X26+X31)</f>
        <v>2541.1866050899998</v>
      </c>
      <c r="Y35" s="692">
        <f>IF(W35=0, "    ---- ", IF(ABS(ROUND(100/W35*X35-100,1))&lt;999,ROUND(100/W35*X35-100,1),IF(ROUND(100/W35*X35-100,1)&gt;999,999,-999)))</f>
        <v>22.4</v>
      </c>
      <c r="Z35" s="830">
        <f>SUM(Z11+Z21+Z26+Z31)</f>
        <v>28424.720000000001</v>
      </c>
      <c r="AA35" s="831">
        <f>SUM(AA11+AA21+AA26+AA31)</f>
        <v>35921</v>
      </c>
      <c r="AB35" s="692">
        <f>IF(Z35=0, "    ---- ", IF(ABS(ROUND(100/Z35*AA35-100,1))&lt;999,ROUND(100/Z35*AA35-100,1),IF(ROUND(100/Z35*AA35-100,1)&gt;999,999,-999)))</f>
        <v>26.4</v>
      </c>
      <c r="AC35" s="830">
        <f>SUM(AC11+AC21+AC26+AC31)</f>
        <v>93440.9</v>
      </c>
      <c r="AD35" s="831">
        <f>SUM(AD11+AD21+AD26+AD31)</f>
        <v>114538</v>
      </c>
      <c r="AE35" s="692">
        <f t="shared" si="0"/>
        <v>22.6</v>
      </c>
      <c r="AF35" s="691">
        <f t="shared" si="1"/>
        <v>310322.22197724</v>
      </c>
      <c r="AG35" s="691">
        <f t="shared" si="1"/>
        <v>389956.54321648995</v>
      </c>
      <c r="AH35" s="692">
        <f t="shared" si="2"/>
        <v>25.7</v>
      </c>
      <c r="AI35" s="691">
        <f>AF35+'Tabell 7a'!AI47</f>
        <v>1372166.8069036552</v>
      </c>
      <c r="AJ35" s="692">
        <f>AG35+'Tabell 7a'!AJ47</f>
        <v>967799.71291138243</v>
      </c>
      <c r="AK35" s="692">
        <f t="shared" ref="AK35:AK42" si="3">IF(AI35=0, "    ---- ", IF(ABS(ROUND(100/AI35*AJ35-100,1))&lt;999,ROUND(100/AI35*AJ35-100,1),IF(ROUND(100/AI35*AJ35-100,1)&gt;999,999,-999)))</f>
        <v>-29.5</v>
      </c>
      <c r="AL35" s="666"/>
      <c r="AM35" s="696"/>
    </row>
    <row r="36" spans="1:39" s="703" customFormat="1" ht="18.75" customHeight="1" x14ac:dyDescent="0.3">
      <c r="A36" s="480" t="s">
        <v>417</v>
      </c>
      <c r="B36" s="828">
        <f>SUM(B12+B22+B27)</f>
        <v>2385.2289999999998</v>
      </c>
      <c r="C36" s="829">
        <f>SUM(C12+C22+C27)</f>
        <v>2674.4859999999999</v>
      </c>
      <c r="D36" s="392">
        <f>IF(B36=0, "    ---- ", IF(ABS(ROUND(100/B36*C36-100,1))&lt;999,ROUND(100/B36*C36-100,1),IF(ROUND(100/B36*C36-100,1)&gt;999,999,-999)))</f>
        <v>12.1</v>
      </c>
      <c r="E36" s="828">
        <f>SUM(E12+E22+E27)</f>
        <v>5327.366</v>
      </c>
      <c r="F36" s="829">
        <f>SUM(F12+F22+F27)</f>
        <v>6300.9430000000002</v>
      </c>
      <c r="G36" s="392">
        <f>IF(E36=0, "    ---- ", IF(ABS(ROUND(100/E36*F36-100,1))&lt;999,ROUND(100/E36*F36-100,1),IF(ROUND(100/E36*F36-100,1)&gt;999,999,-999)))</f>
        <v>18.3</v>
      </c>
      <c r="H36" s="828">
        <f>SUM(H12+H22+H27)</f>
        <v>0</v>
      </c>
      <c r="I36" s="829">
        <f>SUM(I12+I22+I27)</f>
        <v>0</v>
      </c>
      <c r="J36" s="392" t="str">
        <f>IF(H36=0, "    ---- ", IF(ABS(ROUND(100/H36*I36-100,1))&lt;999,ROUND(100/H36*I36-100,1),IF(ROUND(100/H36*I36-100,1)&gt;999,999,-999)))</f>
        <v xml:space="preserve">    ---- </v>
      </c>
      <c r="K36" s="828">
        <f>SUM(K12+K22+K27)</f>
        <v>521.29999999999995</v>
      </c>
      <c r="L36" s="829">
        <f>SUM(L12+L22+L27)</f>
        <v>660</v>
      </c>
      <c r="M36" s="392">
        <f>IF(K36=0, "    ---- ", IF(ABS(ROUND(100/K36*L36-100,1))&lt;999,ROUND(100/K36*L36-100,1),IF(ROUND(100/K36*L36-100,1)&gt;999,999,-999)))</f>
        <v>26.6</v>
      </c>
      <c r="N36" s="828"/>
      <c r="O36" s="606"/>
      <c r="P36" s="392"/>
      <c r="Q36" s="828"/>
      <c r="R36" s="829"/>
      <c r="S36" s="392"/>
      <c r="T36" s="828">
        <f>SUM(T12+T22+T27)</f>
        <v>23673.920913233622</v>
      </c>
      <c r="U36" s="829">
        <f>SUM(U12+U22+U27)</f>
        <v>32172.172282732427</v>
      </c>
      <c r="V36" s="392">
        <f>IF(T36=0, "    ---- ", IF(ABS(ROUND(100/T36*U36-100,1))&lt;999,ROUND(100/T36*U36-100,1),IF(ROUND(100/T36*U36-100,1)&gt;999,999,-999)))</f>
        <v>35.9</v>
      </c>
      <c r="W36" s="828">
        <f>SUM(W12+W22+W27)</f>
        <v>780.53809144000002</v>
      </c>
      <c r="X36" s="829">
        <f>SUM(X12+X22+X27)</f>
        <v>950.67500713000004</v>
      </c>
      <c r="Y36" s="392">
        <f>IF(W36=0, "    ---- ", IF(ABS(ROUND(100/W36*X36-100,1))&lt;999,ROUND(100/W36*X36-100,1),IF(ROUND(100/W36*X36-100,1)&gt;999,999,-999)))</f>
        <v>21.8</v>
      </c>
      <c r="Z36" s="828">
        <f>SUM(Z12+Z22+Z27)</f>
        <v>2150.6410000000001</v>
      </c>
      <c r="AA36" s="829">
        <f>SUM(AA12+AA22+AA27)</f>
        <v>2717</v>
      </c>
      <c r="AB36" s="392">
        <f>IF(Z36=0, "    ---- ", IF(ABS(ROUND(100/Z36*AA36-100,1))&lt;999,ROUND(100/Z36*AA36-100,1),IF(ROUND(100/Z36*AA36-100,1)&gt;999,999,-999)))</f>
        <v>26.3</v>
      </c>
      <c r="AC36" s="828">
        <f>SUM(AC12+AC22+AC27)</f>
        <v>6841.9</v>
      </c>
      <c r="AD36" s="829">
        <f>SUM(AD12+AD22+AD27)</f>
        <v>7501</v>
      </c>
      <c r="AE36" s="392">
        <f t="shared" si="0"/>
        <v>9.6</v>
      </c>
      <c r="AF36" s="685">
        <f t="shared" si="1"/>
        <v>41680.895004673628</v>
      </c>
      <c r="AG36" s="685">
        <f t="shared" si="1"/>
        <v>52976.276289862428</v>
      </c>
      <c r="AH36" s="392">
        <f t="shared" si="2"/>
        <v>27.1</v>
      </c>
      <c r="AI36" s="685">
        <f>AF36+'Tabell 7a'!AI48</f>
        <v>61969.558662888412</v>
      </c>
      <c r="AJ36" s="392">
        <f>AG36+'Tabell 7a'!AJ48</f>
        <v>71946.280831140568</v>
      </c>
      <c r="AK36" s="392">
        <f t="shared" si="3"/>
        <v>16.100000000000001</v>
      </c>
      <c r="AL36" s="702"/>
      <c r="AM36" s="702"/>
    </row>
    <row r="37" spans="1:39" s="703" customFormat="1" ht="18.75" customHeight="1" x14ac:dyDescent="0.3">
      <c r="A37" s="480" t="s">
        <v>420</v>
      </c>
      <c r="B37" s="828">
        <f>SUM(B13+B23+B28+B32)</f>
        <v>2007.402</v>
      </c>
      <c r="C37" s="829">
        <f>SUM(C13+C23+C28+C32)</f>
        <v>2171.6790000000001</v>
      </c>
      <c r="D37" s="392">
        <f>IF(B37=0, "    ---- ", IF(ABS(ROUND(100/B37*C37-100,1))&lt;999,ROUND(100/B37*C37-100,1),IF(ROUND(100/B37*C37-100,1)&gt;999,999,-999)))</f>
        <v>8.1999999999999993</v>
      </c>
      <c r="E37" s="828">
        <f>SUM(E13+E23+E28+E32)</f>
        <v>5150.6779999999999</v>
      </c>
      <c r="F37" s="829">
        <f>SUM(F13+F23+F28+F32)</f>
        <v>5604.2889999999998</v>
      </c>
      <c r="G37" s="392">
        <f>IF(E37=0, "    ---- ", IF(ABS(ROUND(100/E37*F37-100,1))&lt;999,ROUND(100/E37*F37-100,1),IF(ROUND(100/E37*F37-100,1)&gt;999,999,-999)))</f>
        <v>8.8000000000000007</v>
      </c>
      <c r="H37" s="828">
        <f>SUM(H13+H23+H28+H32)</f>
        <v>135.4</v>
      </c>
      <c r="I37" s="829">
        <f>SUM(I13+I23+I28+I32)</f>
        <v>157.59399999999999</v>
      </c>
      <c r="J37" s="392">
        <f>IF(H37=0, "    ---- ", IF(ABS(ROUND(100/H37*I37-100,1))&lt;999,ROUND(100/H37*I37-100,1),IF(ROUND(100/H37*I37-100,1)&gt;999,999,-999)))</f>
        <v>16.399999999999999</v>
      </c>
      <c r="K37" s="828">
        <f>SUM(K13+K23+K28+K32)</f>
        <v>1492.6</v>
      </c>
      <c r="L37" s="829">
        <f>SUM(L13+L23+L28+L32)</f>
        <v>1583</v>
      </c>
      <c r="M37" s="392">
        <f>IF(K37=0, "    ---- ", IF(ABS(ROUND(100/K37*L37-100,1))&lt;999,ROUND(100/K37*L37-100,1),IF(ROUND(100/K37*L37-100,1)&gt;999,999,-999)))</f>
        <v>6.1</v>
      </c>
      <c r="N37" s="828"/>
      <c r="O37" s="606"/>
      <c r="P37" s="392"/>
      <c r="Q37" s="828"/>
      <c r="R37" s="829"/>
      <c r="S37" s="392"/>
      <c r="T37" s="828">
        <f>SUM(T13+T23+T28+T32)</f>
        <v>3231.1500984697109</v>
      </c>
      <c r="U37" s="829">
        <f>SUM(U13+U23+U28+U32)</f>
        <v>4316.9146712215479</v>
      </c>
      <c r="V37" s="392">
        <f>IF(T37=0, "    ---- ", IF(ABS(ROUND(100/T37*U37-100,1))&lt;999,ROUND(100/T37*U37-100,1),IF(ROUND(100/T37*U37-100,1)&gt;999,999,-999)))</f>
        <v>33.6</v>
      </c>
      <c r="W37" s="828">
        <f>SUM(W13+W23+W28+W32)</f>
        <v>811.68600000000004</v>
      </c>
      <c r="X37" s="829">
        <f>SUM(X13+X23+X28+X32)</f>
        <v>942.67618587000004</v>
      </c>
      <c r="Y37" s="392">
        <f>IF(W37=0, "    ---- ", IF(ABS(ROUND(100/W37*X37-100,1))&lt;999,ROUND(100/W37*X37-100,1),IF(ROUND(100/W37*X37-100,1)&gt;999,999,-999)))</f>
        <v>16.100000000000001</v>
      </c>
      <c r="Z37" s="828">
        <f>SUM(Z13+Z23+Z28+Z32)</f>
        <v>2121.9920000000002</v>
      </c>
      <c r="AA37" s="829">
        <f>SUM(AA13+AA23+AA28+AA32)</f>
        <v>2664</v>
      </c>
      <c r="AB37" s="392">
        <f>IF(Z37=0, "    ---- ", IF(ABS(ROUND(100/Z37*AA37-100,1))&lt;999,ROUND(100/Z37*AA37-100,1),IF(ROUND(100/Z37*AA37-100,1)&gt;999,999,-999)))</f>
        <v>25.5</v>
      </c>
      <c r="AC37" s="828">
        <f>SUM(AC13+AC23+AC28+AC32)</f>
        <v>4159</v>
      </c>
      <c r="AD37" s="829">
        <f>SUM(AD13+AD23+AD28+AD32)</f>
        <v>4910</v>
      </c>
      <c r="AE37" s="392">
        <f t="shared" si="0"/>
        <v>18.100000000000001</v>
      </c>
      <c r="AF37" s="685">
        <f t="shared" si="1"/>
        <v>19109.90809846971</v>
      </c>
      <c r="AG37" s="685">
        <f t="shared" si="1"/>
        <v>22350.152857091547</v>
      </c>
      <c r="AH37" s="392">
        <f t="shared" si="2"/>
        <v>17</v>
      </c>
      <c r="AI37" s="685">
        <f>AF37+'Tabell 7a'!AI49</f>
        <v>67022.717930307161</v>
      </c>
      <c r="AJ37" s="392">
        <f>AG37+'Tabell 7a'!AJ49</f>
        <v>69269.079491141601</v>
      </c>
      <c r="AK37" s="392">
        <f t="shared" si="3"/>
        <v>3.4</v>
      </c>
      <c r="AL37" s="702"/>
      <c r="AM37" s="702"/>
    </row>
    <row r="38" spans="1:39" s="703" customFormat="1" ht="18.75" customHeight="1" x14ac:dyDescent="0.3">
      <c r="A38" s="522" t="s">
        <v>421</v>
      </c>
      <c r="B38" s="828"/>
      <c r="C38" s="829"/>
      <c r="D38" s="392"/>
      <c r="E38" s="828"/>
      <c r="F38" s="829"/>
      <c r="G38" s="392"/>
      <c r="H38" s="828"/>
      <c r="I38" s="829"/>
      <c r="J38" s="392"/>
      <c r="K38" s="828"/>
      <c r="L38" s="829"/>
      <c r="M38" s="392"/>
      <c r="N38" s="828"/>
      <c r="O38" s="606"/>
      <c r="P38" s="392"/>
      <c r="Q38" s="828"/>
      <c r="R38" s="829"/>
      <c r="S38" s="392"/>
      <c r="T38" s="828"/>
      <c r="U38" s="829"/>
      <c r="V38" s="392"/>
      <c r="W38" s="828"/>
      <c r="X38" s="829"/>
      <c r="Y38" s="392"/>
      <c r="Z38" s="828"/>
      <c r="AA38" s="829"/>
      <c r="AB38" s="392"/>
      <c r="AC38" s="828"/>
      <c r="AD38" s="829"/>
      <c r="AE38" s="392"/>
      <c r="AF38" s="685">
        <f t="shared" si="1"/>
        <v>0</v>
      </c>
      <c r="AG38" s="685">
        <f t="shared" si="1"/>
        <v>0</v>
      </c>
      <c r="AH38" s="392" t="str">
        <f t="shared" si="2"/>
        <v xml:space="preserve">    ---- </v>
      </c>
      <c r="AI38" s="685">
        <f>AF38+'Tabell 7a'!AI50</f>
        <v>3634.4556846300002</v>
      </c>
      <c r="AJ38" s="392">
        <f>AG38+'Tabell 7a'!AJ50</f>
        <v>3845.5521984299999</v>
      </c>
      <c r="AK38" s="392">
        <f t="shared" si="3"/>
        <v>5.8</v>
      </c>
      <c r="AL38" s="702"/>
      <c r="AM38" s="702"/>
    </row>
    <row r="39" spans="1:39" s="703" customFormat="1" ht="18.75" customHeight="1" x14ac:dyDescent="0.3">
      <c r="A39" s="480" t="s">
        <v>422</v>
      </c>
      <c r="B39" s="828">
        <f>SUM(B14+B24+B29+B33)</f>
        <v>12464.415000000001</v>
      </c>
      <c r="C39" s="829">
        <f>SUM(C14+C24+C29+C33)</f>
        <v>15886.7</v>
      </c>
      <c r="D39" s="392">
        <f>IF(B39=0, "    ---- ", IF(ABS(ROUND(100/B39*C39-100,1))&lt;999,ROUND(100/B39*C39-100,1),IF(ROUND(100/B39*C39-100,1)&gt;999,999,-999)))</f>
        <v>27.5</v>
      </c>
      <c r="E39" s="828">
        <f>SUM(E14+E24+E29+E33)</f>
        <v>66763.297999999995</v>
      </c>
      <c r="F39" s="829">
        <f>SUM(F14+F24+F29+F33)</f>
        <v>87037.773000000001</v>
      </c>
      <c r="G39" s="392">
        <f>IF(E39=0, "    ---- ", IF(ABS(ROUND(100/E39*F39-100,1))&lt;999,ROUND(100/E39*F39-100,1),IF(ROUND(100/E39*F39-100,1)&gt;999,999,-999)))</f>
        <v>30.4</v>
      </c>
      <c r="H39" s="828">
        <f>SUM(H14+H24+H29+H33)</f>
        <v>3191.7</v>
      </c>
      <c r="I39" s="829">
        <f>SUM(I14+I24+I29+I33)</f>
        <v>4108.6660000000002</v>
      </c>
      <c r="J39" s="392">
        <f>IF(H39=0, "    ---- ", IF(ABS(ROUND(100/H39*I39-100,1))&lt;999,ROUND(100/H39*I39-100,1),IF(ROUND(100/H39*I39-100,1)&gt;999,999,-999)))</f>
        <v>28.7</v>
      </c>
      <c r="K39" s="828">
        <f>SUM(K14+K24+K29+K33)</f>
        <v>22087.85</v>
      </c>
      <c r="L39" s="829">
        <f>SUM(L14+L24+L29+L33)</f>
        <v>27887.9</v>
      </c>
      <c r="M39" s="392">
        <f>IF(K39=0, "    ---- ", IF(ABS(ROUND(100/K39*L39-100,1))&lt;999,ROUND(100/K39*L39-100,1),IF(ROUND(100/K39*L39-100,1)&gt;999,999,-999)))</f>
        <v>26.3</v>
      </c>
      <c r="N39" s="828"/>
      <c r="O39" s="606"/>
      <c r="P39" s="392"/>
      <c r="Q39" s="828">
        <f>SUM(Q14+Q24+Q29+Q33)</f>
        <v>3396.4</v>
      </c>
      <c r="R39" s="829">
        <f>SUM(R14+R24+R29+R33)</f>
        <v>4906.2</v>
      </c>
      <c r="S39" s="392">
        <f>IF(Q39=0, "    ---- ", IF(ABS(ROUND(100/Q39*R39-100,1))&lt;999,ROUND(100/Q39*R39-100,1),IF(ROUND(100/Q39*R39-100,1)&gt;999,999,-999)))</f>
        <v>44.5</v>
      </c>
      <c r="T39" s="828">
        <f>SUM(T14+T24+T29+T33)</f>
        <v>32132.686633946665</v>
      </c>
      <c r="U39" s="829">
        <f>SUM(U14+U24+U29+U33)</f>
        <v>41488.039657445923</v>
      </c>
      <c r="V39" s="392">
        <f>IF(T39=0, "    ---- ", IF(ABS(ROUND(100/T39*U39-100,1))&lt;999,ROUND(100/T39*U39-100,1),IF(ROUND(100/T39*U39-100,1)&gt;999,999,-999)))</f>
        <v>29.1</v>
      </c>
      <c r="W39" s="828">
        <f>SUM(W14+W24+W29+W33)</f>
        <v>484.28699999999998</v>
      </c>
      <c r="X39" s="829">
        <f>SUM(X14+X24+X29+X33)</f>
        <v>647.83541208999998</v>
      </c>
      <c r="Y39" s="392">
        <f>IF(W39=0, "    ---- ", IF(ABS(ROUND(100/W39*X39-100,1))&lt;999,ROUND(100/W39*X39-100,1),IF(ROUND(100/W39*X39-100,1)&gt;999,999,-999)))</f>
        <v>33.799999999999997</v>
      </c>
      <c r="Z39" s="828">
        <f>SUM(Z14+Z24+Z29+Z33)</f>
        <v>24152.087</v>
      </c>
      <c r="AA39" s="829">
        <f>SUM(AA14+AA24+AA29+AA33)</f>
        <v>30540</v>
      </c>
      <c r="AB39" s="392">
        <f>IF(Z39=0, "    ---- ", IF(ABS(ROUND(100/Z39*AA39-100,1))&lt;999,ROUND(100/Z39*AA39-100,1),IF(ROUND(100/Z39*AA39-100,1)&gt;999,999,-999)))</f>
        <v>26.4</v>
      </c>
      <c r="AC39" s="828">
        <f>SUM(AC14+AC24+AC29+AC33)</f>
        <v>82440</v>
      </c>
      <c r="AD39" s="829">
        <f>SUM(AD14+AD24+AD29+AD33)</f>
        <v>102127</v>
      </c>
      <c r="AE39" s="392">
        <f t="shared" si="0"/>
        <v>23.9</v>
      </c>
      <c r="AF39" s="685">
        <f t="shared" si="1"/>
        <v>247112.72363394665</v>
      </c>
      <c r="AG39" s="685">
        <f t="shared" si="1"/>
        <v>314630.11406953592</v>
      </c>
      <c r="AH39" s="392">
        <f t="shared" si="2"/>
        <v>27.3</v>
      </c>
      <c r="AI39" s="685">
        <f>AF39+'Tabell 7a'!AI51</f>
        <v>632534.0305735271</v>
      </c>
      <c r="AJ39" s="392">
        <f>AG39+'Tabell 7a'!AJ51</f>
        <v>705841.14364287048</v>
      </c>
      <c r="AK39" s="392">
        <f t="shared" si="3"/>
        <v>11.6</v>
      </c>
      <c r="AL39" s="702"/>
      <c r="AM39" s="702"/>
    </row>
    <row r="40" spans="1:39" s="703" customFormat="1" ht="18.75" customHeight="1" x14ac:dyDescent="0.3">
      <c r="A40" s="480" t="s">
        <v>424</v>
      </c>
      <c r="B40" s="828"/>
      <c r="C40" s="829"/>
      <c r="D40" s="392"/>
      <c r="E40" s="828"/>
      <c r="F40" s="829"/>
      <c r="G40" s="392"/>
      <c r="H40" s="828"/>
      <c r="I40" s="829"/>
      <c r="J40" s="392"/>
      <c r="K40" s="828"/>
      <c r="L40" s="829"/>
      <c r="M40" s="392"/>
      <c r="N40" s="828">
        <f>SUM(N15+N25+N30+N34)</f>
        <v>2418.6952401500002</v>
      </c>
      <c r="O40" s="606"/>
      <c r="P40" s="392">
        <f>IF(N40=0, "    ---- ", IF(ABS(ROUND(100/N40*O40-100,1))&lt;999,ROUND(100/N40*O40-100,1),IF(ROUND(100/N40*O40-100,1)&gt;999,999,-999)))</f>
        <v>-100</v>
      </c>
      <c r="Q40" s="828"/>
      <c r="R40" s="829"/>
      <c r="S40" s="392"/>
      <c r="T40" s="828"/>
      <c r="U40" s="829"/>
      <c r="V40" s="392"/>
      <c r="W40" s="828"/>
      <c r="X40" s="829"/>
      <c r="Y40" s="392"/>
      <c r="Z40" s="828"/>
      <c r="AA40" s="829"/>
      <c r="AB40" s="392"/>
      <c r="AC40" s="828"/>
      <c r="AD40" s="829"/>
      <c r="AE40" s="392"/>
      <c r="AF40" s="685">
        <f t="shared" si="1"/>
        <v>2418.6952401500002</v>
      </c>
      <c r="AG40" s="685">
        <f t="shared" si="1"/>
        <v>0</v>
      </c>
      <c r="AH40" s="392">
        <f t="shared" si="2"/>
        <v>-100</v>
      </c>
      <c r="AI40" s="685">
        <f>AF40+'Tabell 7a'!AI52</f>
        <v>551363.19574320992</v>
      </c>
      <c r="AJ40" s="392">
        <f>AG40+'Tabell 7a'!AJ52</f>
        <v>78596</v>
      </c>
      <c r="AK40" s="392">
        <f t="shared" si="3"/>
        <v>-85.7</v>
      </c>
      <c r="AL40" s="702"/>
      <c r="AM40" s="702"/>
    </row>
    <row r="41" spans="1:39" s="703" customFormat="1" ht="18.75" customHeight="1" x14ac:dyDescent="0.3">
      <c r="A41" s="522" t="s">
        <v>425</v>
      </c>
      <c r="B41" s="828"/>
      <c r="C41" s="829"/>
      <c r="D41" s="392"/>
      <c r="E41" s="828"/>
      <c r="F41" s="829"/>
      <c r="G41" s="392"/>
      <c r="H41" s="828"/>
      <c r="I41" s="829"/>
      <c r="J41" s="392"/>
      <c r="K41" s="828"/>
      <c r="L41" s="829"/>
      <c r="M41" s="392"/>
      <c r="N41" s="828"/>
      <c r="O41" s="606"/>
      <c r="P41" s="392"/>
      <c r="Q41" s="828"/>
      <c r="R41" s="829"/>
      <c r="S41" s="392"/>
      <c r="T41" s="828"/>
      <c r="U41" s="829"/>
      <c r="V41" s="392"/>
      <c r="W41" s="828"/>
      <c r="X41" s="829"/>
      <c r="Y41" s="392"/>
      <c r="Z41" s="828"/>
      <c r="AA41" s="829"/>
      <c r="AB41" s="392"/>
      <c r="AC41" s="828"/>
      <c r="AD41" s="829"/>
      <c r="AE41" s="392"/>
      <c r="AF41" s="691">
        <f t="shared" si="1"/>
        <v>0</v>
      </c>
      <c r="AG41" s="691">
        <f t="shared" si="1"/>
        <v>0</v>
      </c>
      <c r="AH41" s="392" t="str">
        <f t="shared" si="2"/>
        <v xml:space="preserve">    ---- </v>
      </c>
      <c r="AI41" s="685">
        <f>AF41+'Tabell 7a'!AI53</f>
        <v>5562.5154270925796</v>
      </c>
      <c r="AJ41" s="392">
        <f>AG41+'Tabell 7a'!AJ53</f>
        <v>5538.2547477997005</v>
      </c>
      <c r="AK41" s="392">
        <f t="shared" si="3"/>
        <v>-0.4</v>
      </c>
      <c r="AL41" s="702"/>
      <c r="AM41" s="702"/>
    </row>
    <row r="42" spans="1:39" s="703" customFormat="1" ht="18.75" customHeight="1" x14ac:dyDescent="0.3">
      <c r="A42" s="774" t="s">
        <v>432</v>
      </c>
      <c r="B42" s="832"/>
      <c r="C42" s="816"/>
      <c r="D42" s="707"/>
      <c r="E42" s="832"/>
      <c r="F42" s="816"/>
      <c r="G42" s="707"/>
      <c r="H42" s="832"/>
      <c r="I42" s="816"/>
      <c r="J42" s="707"/>
      <c r="K42" s="832"/>
      <c r="L42" s="816"/>
      <c r="M42" s="707"/>
      <c r="N42" s="832"/>
      <c r="O42" s="620"/>
      <c r="P42" s="707"/>
      <c r="Q42" s="832"/>
      <c r="R42" s="816"/>
      <c r="S42" s="707"/>
      <c r="T42" s="832"/>
      <c r="U42" s="816"/>
      <c r="V42" s="707"/>
      <c r="W42" s="832"/>
      <c r="X42" s="816"/>
      <c r="Y42" s="707"/>
      <c r="Z42" s="832"/>
      <c r="AA42" s="816"/>
      <c r="AB42" s="707"/>
      <c r="AC42" s="832"/>
      <c r="AD42" s="816"/>
      <c r="AE42" s="707"/>
      <c r="AF42" s="706">
        <f>+B42+E42+H42+K42+N42+Q42+T42+W42+Z42+AC42</f>
        <v>0</v>
      </c>
      <c r="AG42" s="706">
        <f>+C42+F42+I42+L42+O42+R42+U42+X42+AA42+AD42</f>
        <v>0</v>
      </c>
      <c r="AH42" s="707" t="str">
        <f t="shared" si="2"/>
        <v xml:space="preserve">    ---- </v>
      </c>
      <c r="AI42" s="706">
        <f>AF42+'Tabell 7a'!AI54</f>
        <v>50080.332882000002</v>
      </c>
      <c r="AJ42" s="707">
        <f>AG42+'Tabell 7a'!AJ54</f>
        <v>32763.402000000002</v>
      </c>
      <c r="AK42" s="707">
        <f t="shared" si="3"/>
        <v>-34.6</v>
      </c>
      <c r="AL42" s="702"/>
      <c r="AM42" s="702"/>
    </row>
    <row r="43" spans="1:39" s="708" customFormat="1" ht="18.75" customHeight="1" x14ac:dyDescent="0.3">
      <c r="A43" s="524" t="s">
        <v>257</v>
      </c>
      <c r="B43" s="524"/>
      <c r="K43" s="524"/>
      <c r="T43" s="709"/>
      <c r="X43" s="710"/>
      <c r="Y43" s="710"/>
      <c r="Z43" s="524"/>
      <c r="AF43" s="524"/>
      <c r="AI43" s="524"/>
      <c r="AL43" s="711"/>
      <c r="AM43" s="711"/>
    </row>
    <row r="44" spans="1:39" s="708" customFormat="1" ht="18.75" customHeight="1" x14ac:dyDescent="0.3">
      <c r="A44" s="524" t="s">
        <v>259</v>
      </c>
      <c r="B44" s="712"/>
      <c r="K44" s="524"/>
      <c r="X44" s="710"/>
      <c r="Y44" s="710"/>
      <c r="Z44" s="524"/>
      <c r="AI44" s="524"/>
      <c r="AL44" s="711"/>
      <c r="AM44" s="711"/>
    </row>
    <row r="45" spans="1:39" s="708" customFormat="1" ht="18.75" x14ac:dyDescent="0.3">
      <c r="B45" s="625"/>
      <c r="C45" s="625"/>
      <c r="K45" s="625"/>
      <c r="L45" s="625"/>
      <c r="T45" s="625"/>
      <c r="U45" s="625"/>
      <c r="W45" s="625"/>
      <c r="X45" s="625"/>
      <c r="Z45" s="625"/>
      <c r="AA45" s="625"/>
      <c r="AC45" s="625"/>
      <c r="AD45" s="625"/>
      <c r="AF45" s="625"/>
      <c r="AG45" s="625"/>
      <c r="AI45" s="625"/>
      <c r="AJ45" s="625"/>
    </row>
    <row r="46" spans="1:39" s="708" customFormat="1" ht="18.75" x14ac:dyDescent="0.3">
      <c r="B46" s="625"/>
      <c r="C46" s="625"/>
      <c r="K46" s="625"/>
      <c r="L46" s="625"/>
      <c r="T46" s="625"/>
      <c r="U46" s="625"/>
      <c r="W46" s="625"/>
      <c r="X46" s="625"/>
      <c r="Z46" s="625"/>
      <c r="AA46" s="625"/>
      <c r="AC46" s="625"/>
      <c r="AD46" s="625"/>
      <c r="AF46" s="625"/>
      <c r="AG46" s="625"/>
      <c r="AI46" s="625"/>
      <c r="AJ46" s="625"/>
    </row>
    <row r="47" spans="1:39" s="708" customFormat="1" ht="18.75" x14ac:dyDescent="0.3">
      <c r="B47" s="625"/>
      <c r="C47" s="625"/>
      <c r="K47" s="625"/>
      <c r="L47" s="625"/>
      <c r="T47" s="625"/>
      <c r="U47" s="625"/>
      <c r="W47" s="625"/>
      <c r="X47" s="625"/>
      <c r="Z47" s="625"/>
      <c r="AA47" s="625"/>
      <c r="AC47" s="625"/>
      <c r="AD47" s="625"/>
      <c r="AF47" s="625"/>
      <c r="AG47" s="625"/>
      <c r="AI47" s="625"/>
      <c r="AJ47" s="625"/>
    </row>
    <row r="48" spans="1:39" s="708" customFormat="1" ht="18.75" x14ac:dyDescent="0.3">
      <c r="A48" s="711"/>
      <c r="B48" s="625"/>
      <c r="C48" s="625"/>
      <c r="D48" s="711"/>
      <c r="E48" s="711"/>
      <c r="F48" s="711"/>
      <c r="G48" s="711"/>
      <c r="H48" s="711"/>
      <c r="I48" s="711"/>
      <c r="J48" s="711"/>
      <c r="K48" s="625"/>
      <c r="L48" s="625"/>
      <c r="M48" s="711"/>
      <c r="N48" s="711"/>
      <c r="O48" s="711"/>
      <c r="P48" s="711"/>
      <c r="Q48" s="711"/>
      <c r="R48" s="711"/>
      <c r="S48" s="711"/>
      <c r="T48" s="625"/>
      <c r="U48" s="625"/>
      <c r="V48" s="711"/>
      <c r="W48" s="625"/>
      <c r="X48" s="625"/>
      <c r="Y48" s="711"/>
      <c r="Z48" s="625"/>
      <c r="AA48" s="625"/>
      <c r="AB48" s="711"/>
      <c r="AC48" s="625"/>
      <c r="AD48" s="625"/>
      <c r="AE48" s="711"/>
      <c r="AF48" s="625"/>
      <c r="AG48" s="625"/>
      <c r="AH48" s="711"/>
      <c r="AI48" s="625"/>
      <c r="AJ48" s="625"/>
      <c r="AK48" s="711"/>
    </row>
    <row r="49" s="711" customFormat="1" ht="18.75" x14ac:dyDescent="0.3"/>
    <row r="50" s="711" customFormat="1" ht="18.75" x14ac:dyDescent="0.3"/>
    <row r="51" s="708" customFormat="1" ht="18.75" x14ac:dyDescent="0.3"/>
    <row r="52" s="708" customFormat="1" ht="18.75" x14ac:dyDescent="0.3"/>
    <row r="53" s="708" customFormat="1" ht="18.75" x14ac:dyDescent="0.3"/>
    <row r="54" s="708" customFormat="1" ht="18.75" x14ac:dyDescent="0.3"/>
    <row r="55" s="708" customFormat="1" ht="18.75" x14ac:dyDescent="0.3"/>
    <row r="56" s="708" customFormat="1" ht="18.75" x14ac:dyDescent="0.3"/>
    <row r="57" s="708" customFormat="1" ht="18.75" x14ac:dyDescent="0.3"/>
    <row r="58" s="708" customFormat="1" ht="18.75" x14ac:dyDescent="0.3"/>
    <row r="59" s="708" customFormat="1" ht="18.75" x14ac:dyDescent="0.3"/>
    <row r="60" s="708" customFormat="1" ht="18.75" x14ac:dyDescent="0.3"/>
    <row r="61" s="708" customFormat="1" ht="18.75" x14ac:dyDescent="0.3"/>
    <row r="62" s="708" customFormat="1" ht="18.75" x14ac:dyDescent="0.3"/>
    <row r="63" s="708" customFormat="1" ht="18.75" x14ac:dyDescent="0.3"/>
    <row r="64" s="708" customFormat="1" ht="18.75" x14ac:dyDescent="0.3"/>
    <row r="65" s="708" customFormat="1" ht="18.75" x14ac:dyDescent="0.3"/>
    <row r="66" s="708" customFormat="1" ht="18.75" x14ac:dyDescent="0.3"/>
    <row r="67" s="708" customFormat="1" ht="18.75" x14ac:dyDescent="0.3"/>
    <row r="68" s="708" customFormat="1" ht="18.75" x14ac:dyDescent="0.3"/>
    <row r="69" s="708" customFormat="1" ht="18.75" x14ac:dyDescent="0.3"/>
    <row r="70" s="708" customFormat="1" ht="18.75" x14ac:dyDescent="0.3"/>
    <row r="71" s="708" customFormat="1" ht="18.75" x14ac:dyDescent="0.3"/>
    <row r="72" s="708" customFormat="1" ht="18.75" x14ac:dyDescent="0.3"/>
  </sheetData>
  <mergeCells count="22">
    <mergeCell ref="AI6:AK6"/>
    <mergeCell ref="B6:D6"/>
    <mergeCell ref="E6:G6"/>
    <mergeCell ref="H6:J6"/>
    <mergeCell ref="K6:M6"/>
    <mergeCell ref="Q6:S6"/>
    <mergeCell ref="T6:V6"/>
    <mergeCell ref="W6:Y6"/>
    <mergeCell ref="Z6:AB6"/>
    <mergeCell ref="AC6:AE6"/>
    <mergeCell ref="AF6:AH6"/>
    <mergeCell ref="AI5:AK5"/>
    <mergeCell ref="B5:D5"/>
    <mergeCell ref="E5:G5"/>
    <mergeCell ref="H5:J5"/>
    <mergeCell ref="K5:M5"/>
    <mergeCell ref="Q5:S5"/>
    <mergeCell ref="T5:V5"/>
    <mergeCell ref="W5:Y5"/>
    <mergeCell ref="Z5:AB5"/>
    <mergeCell ref="AC5:AE5"/>
    <mergeCell ref="AF5:AH5"/>
  </mergeCells>
  <conditionalFormatting sqref="O35">
    <cfRule type="expression" dxfId="17" priority="182">
      <formula>#REF!="40≠41+42+43+44+45+46+47"</formula>
    </cfRule>
  </conditionalFormatting>
  <conditionalFormatting sqref="AC35:AD35">
    <cfRule type="expression" dxfId="16" priority="88">
      <formula>#REF!="40≠41+42+43+44+45+46+47"</formula>
    </cfRule>
  </conditionalFormatting>
  <conditionalFormatting sqref="T35:U35">
    <cfRule type="expression" dxfId="15" priority="77">
      <formula>#REF!="40≠41+42+43+44+45+46+47"</formula>
    </cfRule>
  </conditionalFormatting>
  <conditionalFormatting sqref="E35:F35">
    <cfRule type="expression" dxfId="14" priority="66">
      <formula>#REF!="40≠41+42+43+44+45+46+47"</formula>
    </cfRule>
  </conditionalFormatting>
  <conditionalFormatting sqref="B35:C35">
    <cfRule type="expression" dxfId="13" priority="59">
      <formula>#REF!="40≠41+42+43+44+45+46+47"</formula>
    </cfRule>
  </conditionalFormatting>
  <conditionalFormatting sqref="H35:I35">
    <cfRule type="expression" dxfId="12" priority="48">
      <formula>#REF!="40≠41+42+43+44+45+46+47"</formula>
    </cfRule>
  </conditionalFormatting>
  <conditionalFormatting sqref="W35:X35">
    <cfRule type="expression" dxfId="11" priority="37">
      <formula>#REF!="40≠41+42+43+44+45+46+47"</formula>
    </cfRule>
  </conditionalFormatting>
  <conditionalFormatting sqref="Q35:R35">
    <cfRule type="expression" dxfId="10" priority="26">
      <formula>#REF!="40≠41+42+43+44+45+46+47"</formula>
    </cfRule>
  </conditionalFormatting>
  <conditionalFormatting sqref="Z35:AA35">
    <cfRule type="expression" dxfId="9" priority="15">
      <formula>#REF!="40≠41+42+43+44+45+46+47"</formula>
    </cfRule>
  </conditionalFormatting>
  <conditionalFormatting sqref="N35">
    <cfRule type="expression" dxfId="8" priority="1">
      <formula>#REF!="40≠41+42+43+44+45+46+47"</formula>
    </cfRule>
  </conditionalFormatting>
  <conditionalFormatting sqref="AI11:AJ11 K11:L11 AC11:AD11 T11:U11 E11:F11 B11:C11 H11:I11 W11:X11 Q11:R11 Z11:AA11 AF11:AG41 N11:O11">
    <cfRule type="expression" dxfId="7" priority="1538">
      <formula>#REF!="11≠12+13+14+15"</formula>
    </cfRule>
  </conditionalFormatting>
  <conditionalFormatting sqref="AI16:AJ16 K16:L16 L21 AC16:AD16 AD21 T16:U16 U21 E16:F16 F21 B16:C16 C21 H16:I16 I21 W16:X16 X21 Q16:R16 R21 Z16:AA16 AA21 N16:O16">
    <cfRule type="expression" dxfId="6" priority="1540">
      <formula>#REF!="16≠17+18+19+20"</formula>
    </cfRule>
  </conditionalFormatting>
  <conditionalFormatting sqref="AI21:AJ21 K21 AC21 T21 E21 B21 H21 W21 Q21 Z21 N21:O21">
    <cfRule type="expression" dxfId="5" priority="1541">
      <formula>#REF!="21≠22+23+24+25"</formula>
    </cfRule>
  </conditionalFormatting>
  <conditionalFormatting sqref="AI26:AJ26 K26:L26 AC26:AD26 T26:U26 E26:F26 B26:C26 H26:I26 W26:X26 Q26:R26 Z26:AA26 N26:O26">
    <cfRule type="expression" dxfId="4" priority="1542">
      <formula>#REF!="26≠27+28+29+30"</formula>
    </cfRule>
  </conditionalFormatting>
  <conditionalFormatting sqref="AI31:AJ31">
    <cfRule type="expression" dxfId="3" priority="1543">
      <formula>#REF!="36≠37+38+39"</formula>
    </cfRule>
  </conditionalFormatting>
  <conditionalFormatting sqref="AI35:AJ35">
    <cfRule type="expression" dxfId="2" priority="1544">
      <formula>#REF!="40≠41+42+43+44+45+46+47"</formula>
    </cfRule>
  </conditionalFormatting>
  <conditionalFormatting sqref="K31:L31 AC31:AD31 T31:U31 E31:F31 B31:C31 H31:I31 W31:X31 Q31:R31 Z31:AA31 N31:O31">
    <cfRule type="expression" dxfId="1" priority="1545">
      <formula>#REF!="36≠37+38+39"</formula>
    </cfRule>
  </conditionalFormatting>
  <conditionalFormatting sqref="K35:L35">
    <cfRule type="expression" dxfId="0" priority="1554">
      <formula>#REF!="40≠41+42+43+44+45+46+47"</formula>
    </cfRule>
  </conditionalFormatting>
  <hyperlinks>
    <hyperlink ref="B1" location="Innhold!A1" display="Tilbake" xr:uid="{00000000-0004-0000-24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4" manualBreakCount="4">
    <brk id="10" min="1" max="48" man="1"/>
    <brk id="19" min="1" max="48" man="1"/>
    <brk id="25" min="1" max="48" man="1"/>
    <brk id="34" min="1" max="48"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Y59"/>
  <sheetViews>
    <sheetView showGridLines="0" zoomScale="70" zoomScaleNormal="70" workbookViewId="0">
      <pane xSplit="1" ySplit="6" topLeftCell="B7"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62" style="456" customWidth="1"/>
    <col min="2" max="34" width="11.7109375" style="456" customWidth="1"/>
    <col min="35" max="253" width="11.42578125" style="456"/>
    <col min="254" max="254" width="62" style="456" customWidth="1"/>
    <col min="255" max="290" width="11.7109375" style="456" customWidth="1"/>
    <col min="291" max="509" width="11.42578125" style="456"/>
    <col min="510" max="510" width="62" style="456" customWidth="1"/>
    <col min="511" max="546" width="11.7109375" style="456" customWidth="1"/>
    <col min="547" max="765" width="11.42578125" style="456"/>
    <col min="766" max="766" width="62" style="456" customWidth="1"/>
    <col min="767" max="802" width="11.7109375" style="456" customWidth="1"/>
    <col min="803" max="1021" width="11.42578125" style="456"/>
    <col min="1022" max="1022" width="62" style="456" customWidth="1"/>
    <col min="1023" max="1058" width="11.7109375" style="456" customWidth="1"/>
    <col min="1059" max="1277" width="11.42578125" style="456"/>
    <col min="1278" max="1278" width="62" style="456" customWidth="1"/>
    <col min="1279" max="1314" width="11.7109375" style="456" customWidth="1"/>
    <col min="1315" max="1533" width="11.42578125" style="456"/>
    <col min="1534" max="1534" width="62" style="456" customWidth="1"/>
    <col min="1535" max="1570" width="11.7109375" style="456" customWidth="1"/>
    <col min="1571" max="1789" width="11.42578125" style="456"/>
    <col min="1790" max="1790" width="62" style="456" customWidth="1"/>
    <col min="1791" max="1826" width="11.7109375" style="456" customWidth="1"/>
    <col min="1827" max="2045" width="11.42578125" style="456"/>
    <col min="2046" max="2046" width="62" style="456" customWidth="1"/>
    <col min="2047" max="2082" width="11.7109375" style="456" customWidth="1"/>
    <col min="2083" max="2301" width="11.42578125" style="456"/>
    <col min="2302" max="2302" width="62" style="456" customWidth="1"/>
    <col min="2303" max="2338" width="11.7109375" style="456" customWidth="1"/>
    <col min="2339" max="2557" width="11.42578125" style="456"/>
    <col min="2558" max="2558" width="62" style="456" customWidth="1"/>
    <col min="2559" max="2594" width="11.7109375" style="456" customWidth="1"/>
    <col min="2595" max="2813" width="11.42578125" style="456"/>
    <col min="2814" max="2814" width="62" style="456" customWidth="1"/>
    <col min="2815" max="2850" width="11.7109375" style="456" customWidth="1"/>
    <col min="2851" max="3069" width="11.42578125" style="456"/>
    <col min="3070" max="3070" width="62" style="456" customWidth="1"/>
    <col min="3071" max="3106" width="11.7109375" style="456" customWidth="1"/>
    <col min="3107" max="3325" width="11.42578125" style="456"/>
    <col min="3326" max="3326" width="62" style="456" customWidth="1"/>
    <col min="3327" max="3362" width="11.7109375" style="456" customWidth="1"/>
    <col min="3363" max="3581" width="11.42578125" style="456"/>
    <col min="3582" max="3582" width="62" style="456" customWidth="1"/>
    <col min="3583" max="3618" width="11.7109375" style="456" customWidth="1"/>
    <col min="3619" max="3837" width="11.42578125" style="456"/>
    <col min="3838" max="3838" width="62" style="456" customWidth="1"/>
    <col min="3839" max="3874" width="11.7109375" style="456" customWidth="1"/>
    <col min="3875" max="4093" width="11.42578125" style="456"/>
    <col min="4094" max="4094" width="62" style="456" customWidth="1"/>
    <col min="4095" max="4130" width="11.7109375" style="456" customWidth="1"/>
    <col min="4131" max="4349" width="11.42578125" style="456"/>
    <col min="4350" max="4350" width="62" style="456" customWidth="1"/>
    <col min="4351" max="4386" width="11.7109375" style="456" customWidth="1"/>
    <col min="4387" max="4605" width="11.42578125" style="456"/>
    <col min="4606" max="4606" width="62" style="456" customWidth="1"/>
    <col min="4607" max="4642" width="11.7109375" style="456" customWidth="1"/>
    <col min="4643" max="4861" width="11.42578125" style="456"/>
    <col min="4862" max="4862" width="62" style="456" customWidth="1"/>
    <col min="4863" max="4898" width="11.7109375" style="456" customWidth="1"/>
    <col min="4899" max="5117" width="11.42578125" style="456"/>
    <col min="5118" max="5118" width="62" style="456" customWidth="1"/>
    <col min="5119" max="5154" width="11.7109375" style="456" customWidth="1"/>
    <col min="5155" max="5373" width="11.42578125" style="456"/>
    <col min="5374" max="5374" width="62" style="456" customWidth="1"/>
    <col min="5375" max="5410" width="11.7109375" style="456" customWidth="1"/>
    <col min="5411" max="5629" width="11.42578125" style="456"/>
    <col min="5630" max="5630" width="62" style="456" customWidth="1"/>
    <col min="5631" max="5666" width="11.7109375" style="456" customWidth="1"/>
    <col min="5667" max="5885" width="11.42578125" style="456"/>
    <col min="5886" max="5886" width="62" style="456" customWidth="1"/>
    <col min="5887" max="5922" width="11.7109375" style="456" customWidth="1"/>
    <col min="5923" max="6141" width="11.42578125" style="456"/>
    <col min="6142" max="6142" width="62" style="456" customWidth="1"/>
    <col min="6143" max="6178" width="11.7109375" style="456" customWidth="1"/>
    <col min="6179" max="6397" width="11.42578125" style="456"/>
    <col min="6398" max="6398" width="62" style="456" customWidth="1"/>
    <col min="6399" max="6434" width="11.7109375" style="456" customWidth="1"/>
    <col min="6435" max="6653" width="11.42578125" style="456"/>
    <col min="6654" max="6654" width="62" style="456" customWidth="1"/>
    <col min="6655" max="6690" width="11.7109375" style="456" customWidth="1"/>
    <col min="6691" max="6909" width="11.42578125" style="456"/>
    <col min="6910" max="6910" width="62" style="456" customWidth="1"/>
    <col min="6911" max="6946" width="11.7109375" style="456" customWidth="1"/>
    <col min="6947" max="7165" width="11.42578125" style="456"/>
    <col min="7166" max="7166" width="62" style="456" customWidth="1"/>
    <col min="7167" max="7202" width="11.7109375" style="456" customWidth="1"/>
    <col min="7203" max="7421" width="11.42578125" style="456"/>
    <col min="7422" max="7422" width="62" style="456" customWidth="1"/>
    <col min="7423" max="7458" width="11.7109375" style="456" customWidth="1"/>
    <col min="7459" max="7677" width="11.42578125" style="456"/>
    <col min="7678" max="7678" width="62" style="456" customWidth="1"/>
    <col min="7679" max="7714" width="11.7109375" style="456" customWidth="1"/>
    <col min="7715" max="7933" width="11.42578125" style="456"/>
    <col min="7934" max="7934" width="62" style="456" customWidth="1"/>
    <col min="7935" max="7970" width="11.7109375" style="456" customWidth="1"/>
    <col min="7971" max="8189" width="11.42578125" style="456"/>
    <col min="8190" max="8190" width="62" style="456" customWidth="1"/>
    <col min="8191" max="8226" width="11.7109375" style="456" customWidth="1"/>
    <col min="8227" max="8445" width="11.42578125" style="456"/>
    <col min="8446" max="8446" width="62" style="456" customWidth="1"/>
    <col min="8447" max="8482" width="11.7109375" style="456" customWidth="1"/>
    <col min="8483" max="8701" width="11.42578125" style="456"/>
    <col min="8702" max="8702" width="62" style="456" customWidth="1"/>
    <col min="8703" max="8738" width="11.7109375" style="456" customWidth="1"/>
    <col min="8739" max="8957" width="11.42578125" style="456"/>
    <col min="8958" max="8958" width="62" style="456" customWidth="1"/>
    <col min="8959" max="8994" width="11.7109375" style="456" customWidth="1"/>
    <col min="8995" max="9213" width="11.42578125" style="456"/>
    <col min="9214" max="9214" width="62" style="456" customWidth="1"/>
    <col min="9215" max="9250" width="11.7109375" style="456" customWidth="1"/>
    <col min="9251" max="9469" width="11.42578125" style="456"/>
    <col min="9470" max="9470" width="62" style="456" customWidth="1"/>
    <col min="9471" max="9506" width="11.7109375" style="456" customWidth="1"/>
    <col min="9507" max="9725" width="11.42578125" style="456"/>
    <col min="9726" max="9726" width="62" style="456" customWidth="1"/>
    <col min="9727" max="9762" width="11.7109375" style="456" customWidth="1"/>
    <col min="9763" max="9981" width="11.42578125" style="456"/>
    <col min="9982" max="9982" width="62" style="456" customWidth="1"/>
    <col min="9983" max="10018" width="11.7109375" style="456" customWidth="1"/>
    <col min="10019" max="10237" width="11.42578125" style="456"/>
    <col min="10238" max="10238" width="62" style="456" customWidth="1"/>
    <col min="10239" max="10274" width="11.7109375" style="456" customWidth="1"/>
    <col min="10275" max="10493" width="11.42578125" style="456"/>
    <col min="10494" max="10494" width="62" style="456" customWidth="1"/>
    <col min="10495" max="10530" width="11.7109375" style="456" customWidth="1"/>
    <col min="10531" max="10749" width="11.42578125" style="456"/>
    <col min="10750" max="10750" width="62" style="456" customWidth="1"/>
    <col min="10751" max="10786" width="11.7109375" style="456" customWidth="1"/>
    <col min="10787" max="11005" width="11.42578125" style="456"/>
    <col min="11006" max="11006" width="62" style="456" customWidth="1"/>
    <col min="11007" max="11042" width="11.7109375" style="456" customWidth="1"/>
    <col min="11043" max="11261" width="11.42578125" style="456"/>
    <col min="11262" max="11262" width="62" style="456" customWidth="1"/>
    <col min="11263" max="11298" width="11.7109375" style="456" customWidth="1"/>
    <col min="11299" max="11517" width="11.42578125" style="456"/>
    <col min="11518" max="11518" width="62" style="456" customWidth="1"/>
    <col min="11519" max="11554" width="11.7109375" style="456" customWidth="1"/>
    <col min="11555" max="11773" width="11.42578125" style="456"/>
    <col min="11774" max="11774" width="62" style="456" customWidth="1"/>
    <col min="11775" max="11810" width="11.7109375" style="456" customWidth="1"/>
    <col min="11811" max="12029" width="11.42578125" style="456"/>
    <col min="12030" max="12030" width="62" style="456" customWidth="1"/>
    <col min="12031" max="12066" width="11.7109375" style="456" customWidth="1"/>
    <col min="12067" max="12285" width="11.42578125" style="456"/>
    <col min="12286" max="12286" width="62" style="456" customWidth="1"/>
    <col min="12287" max="12322" width="11.7109375" style="456" customWidth="1"/>
    <col min="12323" max="12541" width="11.42578125" style="456"/>
    <col min="12542" max="12542" width="62" style="456" customWidth="1"/>
    <col min="12543" max="12578" width="11.7109375" style="456" customWidth="1"/>
    <col min="12579" max="12797" width="11.42578125" style="456"/>
    <col min="12798" max="12798" width="62" style="456" customWidth="1"/>
    <col min="12799" max="12834" width="11.7109375" style="456" customWidth="1"/>
    <col min="12835" max="13053" width="11.42578125" style="456"/>
    <col min="13054" max="13054" width="62" style="456" customWidth="1"/>
    <col min="13055" max="13090" width="11.7109375" style="456" customWidth="1"/>
    <col min="13091" max="13309" width="11.42578125" style="456"/>
    <col min="13310" max="13310" width="62" style="456" customWidth="1"/>
    <col min="13311" max="13346" width="11.7109375" style="456" customWidth="1"/>
    <col min="13347" max="13565" width="11.42578125" style="456"/>
    <col min="13566" max="13566" width="62" style="456" customWidth="1"/>
    <col min="13567" max="13602" width="11.7109375" style="456" customWidth="1"/>
    <col min="13603" max="13821" width="11.42578125" style="456"/>
    <col min="13822" max="13822" width="62" style="456" customWidth="1"/>
    <col min="13823" max="13858" width="11.7109375" style="456" customWidth="1"/>
    <col min="13859" max="14077" width="11.42578125" style="456"/>
    <col min="14078" max="14078" width="62" style="456" customWidth="1"/>
    <col min="14079" max="14114" width="11.7109375" style="456" customWidth="1"/>
    <col min="14115" max="14333" width="11.42578125" style="456"/>
    <col min="14334" max="14334" width="62" style="456" customWidth="1"/>
    <col min="14335" max="14370" width="11.7109375" style="456" customWidth="1"/>
    <col min="14371" max="14589" width="11.42578125" style="456"/>
    <col min="14590" max="14590" width="62" style="456" customWidth="1"/>
    <col min="14591" max="14626" width="11.7109375" style="456" customWidth="1"/>
    <col min="14627" max="14845" width="11.42578125" style="456"/>
    <col min="14846" max="14846" width="62" style="456" customWidth="1"/>
    <col min="14847" max="14882" width="11.7109375" style="456" customWidth="1"/>
    <col min="14883" max="15101" width="11.42578125" style="456"/>
    <col min="15102" max="15102" width="62" style="456" customWidth="1"/>
    <col min="15103" max="15138" width="11.7109375" style="456" customWidth="1"/>
    <col min="15139" max="15357" width="11.42578125" style="456"/>
    <col min="15358" max="15358" width="62" style="456" customWidth="1"/>
    <col min="15359" max="15394" width="11.7109375" style="456" customWidth="1"/>
    <col min="15395" max="15613" width="11.42578125" style="456"/>
    <col min="15614" max="15614" width="62" style="456" customWidth="1"/>
    <col min="15615" max="15650" width="11.7109375" style="456" customWidth="1"/>
    <col min="15651" max="15869" width="11.42578125" style="456"/>
    <col min="15870" max="15870" width="62" style="456" customWidth="1"/>
    <col min="15871" max="15906" width="11.7109375" style="456" customWidth="1"/>
    <col min="15907" max="16125" width="11.42578125" style="456"/>
    <col min="16126" max="16126" width="62" style="456" customWidth="1"/>
    <col min="16127" max="16162" width="11.7109375" style="456" customWidth="1"/>
    <col min="16163" max="16384" width="11.42578125" style="456"/>
  </cols>
  <sheetData>
    <row r="1" spans="1:51" ht="20.25" customHeight="1" x14ac:dyDescent="0.3">
      <c r="A1" s="454" t="s">
        <v>176</v>
      </c>
      <c r="B1" s="420" t="s">
        <v>52</v>
      </c>
      <c r="AI1" s="713"/>
    </row>
    <row r="2" spans="1:51" ht="20.100000000000001" customHeight="1" x14ac:dyDescent="0.3">
      <c r="A2" s="454" t="s">
        <v>272</v>
      </c>
      <c r="C2" s="944"/>
      <c r="D2" s="944"/>
      <c r="E2" s="944"/>
      <c r="F2" s="641"/>
      <c r="G2" s="641"/>
      <c r="H2" s="641"/>
      <c r="I2" s="641"/>
      <c r="AI2" s="713"/>
    </row>
    <row r="3" spans="1:51" ht="20.100000000000001" customHeight="1" x14ac:dyDescent="0.3">
      <c r="A3" s="714" t="s">
        <v>340</v>
      </c>
      <c r="AI3" s="715"/>
    </row>
    <row r="4" spans="1:51" ht="20.100000000000001" customHeight="1" x14ac:dyDescent="0.3">
      <c r="A4" s="460" t="s">
        <v>367</v>
      </c>
      <c r="B4" s="465"/>
      <c r="C4" s="464"/>
      <c r="D4" s="466"/>
      <c r="E4" s="465"/>
      <c r="F4" s="464"/>
      <c r="G4" s="466"/>
      <c r="H4" s="464"/>
      <c r="I4" s="464"/>
      <c r="J4" s="466"/>
      <c r="K4" s="465"/>
      <c r="L4" s="464"/>
      <c r="M4" s="466"/>
      <c r="N4" s="465"/>
      <c r="O4" s="464"/>
      <c r="P4" s="466"/>
      <c r="Q4" s="465"/>
      <c r="R4" s="464"/>
      <c r="S4" s="466"/>
      <c r="T4" s="465"/>
      <c r="U4" s="464"/>
      <c r="V4" s="466"/>
      <c r="W4" s="465"/>
      <c r="X4" s="464"/>
      <c r="Y4" s="466"/>
      <c r="Z4" s="465"/>
      <c r="AA4" s="464"/>
      <c r="AB4" s="466"/>
      <c r="AC4" s="465"/>
      <c r="AD4" s="464"/>
      <c r="AE4" s="466"/>
      <c r="AF4" s="465"/>
      <c r="AG4" s="716"/>
      <c r="AH4" s="466"/>
      <c r="AI4" s="717"/>
      <c r="AJ4" s="718"/>
      <c r="AK4" s="718"/>
      <c r="AL4" s="718"/>
      <c r="AM4" s="718"/>
      <c r="AN4" s="718"/>
      <c r="AO4" s="718"/>
      <c r="AP4" s="718"/>
      <c r="AQ4" s="718"/>
      <c r="AR4" s="718"/>
      <c r="AS4" s="718"/>
      <c r="AT4" s="718"/>
      <c r="AU4" s="718"/>
      <c r="AV4" s="718"/>
      <c r="AW4" s="718"/>
      <c r="AX4" s="718"/>
      <c r="AY4" s="718"/>
    </row>
    <row r="5" spans="1:51" ht="20.100000000000001" customHeight="1" x14ac:dyDescent="0.3">
      <c r="A5" s="471"/>
      <c r="B5" s="979" t="s">
        <v>179</v>
      </c>
      <c r="C5" s="980"/>
      <c r="D5" s="981"/>
      <c r="E5" s="979" t="s">
        <v>180</v>
      </c>
      <c r="F5" s="980"/>
      <c r="G5" s="981"/>
      <c r="H5" s="980" t="s">
        <v>181</v>
      </c>
      <c r="I5" s="980"/>
      <c r="J5" s="981"/>
      <c r="K5" s="979" t="s">
        <v>182</v>
      </c>
      <c r="L5" s="980"/>
      <c r="M5" s="981"/>
      <c r="N5" s="931" t="s">
        <v>183</v>
      </c>
      <c r="O5" s="932"/>
      <c r="P5" s="933"/>
      <c r="Q5" s="979" t="s">
        <v>63</v>
      </c>
      <c r="R5" s="980"/>
      <c r="S5" s="981"/>
      <c r="T5" s="852"/>
      <c r="U5" s="853"/>
      <c r="V5" s="854"/>
      <c r="W5" s="979" t="s">
        <v>184</v>
      </c>
      <c r="X5" s="980"/>
      <c r="Y5" s="981"/>
      <c r="Z5" s="979"/>
      <c r="AA5" s="980"/>
      <c r="AB5" s="981"/>
      <c r="AC5" s="979" t="s">
        <v>75</v>
      </c>
      <c r="AD5" s="980"/>
      <c r="AE5" s="981"/>
      <c r="AF5" s="979" t="s">
        <v>290</v>
      </c>
      <c r="AG5" s="980"/>
      <c r="AH5" s="981"/>
      <c r="AI5" s="527"/>
      <c r="AJ5" s="719"/>
      <c r="AK5" s="1020"/>
      <c r="AL5" s="1020"/>
      <c r="AM5" s="1020"/>
      <c r="AN5" s="1020"/>
      <c r="AO5" s="1020"/>
      <c r="AP5" s="1020"/>
      <c r="AQ5" s="1020"/>
      <c r="AR5" s="1020"/>
      <c r="AS5" s="1020"/>
      <c r="AT5" s="1020"/>
      <c r="AU5" s="1020"/>
      <c r="AV5" s="1020"/>
      <c r="AW5" s="1020"/>
      <c r="AX5" s="1020"/>
      <c r="AY5" s="1020"/>
    </row>
    <row r="6" spans="1:51" ht="20.100000000000001" customHeight="1" x14ac:dyDescent="0.3">
      <c r="A6" s="472"/>
      <c r="B6" s="982" t="s">
        <v>185</v>
      </c>
      <c r="C6" s="983"/>
      <c r="D6" s="984"/>
      <c r="E6" s="982" t="s">
        <v>186</v>
      </c>
      <c r="F6" s="983"/>
      <c r="G6" s="984"/>
      <c r="H6" s="983" t="s">
        <v>186</v>
      </c>
      <c r="I6" s="983"/>
      <c r="J6" s="984"/>
      <c r="K6" s="982" t="s">
        <v>187</v>
      </c>
      <c r="L6" s="983"/>
      <c r="M6" s="984"/>
      <c r="N6" s="982" t="s">
        <v>63</v>
      </c>
      <c r="O6" s="983"/>
      <c r="P6" s="984"/>
      <c r="Q6" s="982" t="s">
        <v>188</v>
      </c>
      <c r="R6" s="983"/>
      <c r="S6" s="984"/>
      <c r="T6" s="982" t="s">
        <v>68</v>
      </c>
      <c r="U6" s="983"/>
      <c r="V6" s="984"/>
      <c r="W6" s="982" t="s">
        <v>185</v>
      </c>
      <c r="X6" s="983"/>
      <c r="Y6" s="984"/>
      <c r="Z6" s="982" t="s">
        <v>70</v>
      </c>
      <c r="AA6" s="983"/>
      <c r="AB6" s="984"/>
      <c r="AC6" s="982" t="s">
        <v>186</v>
      </c>
      <c r="AD6" s="983"/>
      <c r="AE6" s="984"/>
      <c r="AF6" s="982" t="s">
        <v>291</v>
      </c>
      <c r="AG6" s="983"/>
      <c r="AH6" s="984"/>
      <c r="AI6" s="527"/>
      <c r="AJ6" s="719"/>
      <c r="AK6" s="1020"/>
      <c r="AL6" s="1020"/>
      <c r="AM6" s="1020"/>
      <c r="AN6" s="1020"/>
      <c r="AO6" s="1020"/>
      <c r="AP6" s="1020"/>
      <c r="AQ6" s="1020"/>
      <c r="AR6" s="1020"/>
      <c r="AS6" s="1020"/>
      <c r="AT6" s="1020"/>
      <c r="AU6" s="1020"/>
      <c r="AV6" s="1020"/>
      <c r="AW6" s="1020"/>
      <c r="AX6" s="1020"/>
      <c r="AY6" s="1020"/>
    </row>
    <row r="7" spans="1:51" ht="20.100000000000001" customHeight="1" x14ac:dyDescent="0.3">
      <c r="A7" s="472"/>
      <c r="B7" s="653"/>
      <c r="C7" s="653"/>
      <c r="D7" s="473" t="s">
        <v>83</v>
      </c>
      <c r="E7" s="653"/>
      <c r="F7" s="653"/>
      <c r="G7" s="473" t="s">
        <v>83</v>
      </c>
      <c r="H7" s="653"/>
      <c r="I7" s="653"/>
      <c r="J7" s="473" t="s">
        <v>83</v>
      </c>
      <c r="K7" s="653"/>
      <c r="L7" s="653"/>
      <c r="M7" s="473" t="s">
        <v>83</v>
      </c>
      <c r="N7" s="653"/>
      <c r="O7" s="653"/>
      <c r="P7" s="473" t="s">
        <v>83</v>
      </c>
      <c r="Q7" s="653"/>
      <c r="R7" s="653"/>
      <c r="S7" s="473" t="s">
        <v>83</v>
      </c>
      <c r="T7" s="653"/>
      <c r="U7" s="653"/>
      <c r="V7" s="473" t="s">
        <v>83</v>
      </c>
      <c r="W7" s="653"/>
      <c r="X7" s="653"/>
      <c r="Y7" s="473" t="s">
        <v>83</v>
      </c>
      <c r="Z7" s="653"/>
      <c r="AA7" s="653"/>
      <c r="AB7" s="473" t="s">
        <v>83</v>
      </c>
      <c r="AC7" s="653"/>
      <c r="AD7" s="653"/>
      <c r="AE7" s="473" t="s">
        <v>83</v>
      </c>
      <c r="AF7" s="653"/>
      <c r="AG7" s="653"/>
      <c r="AH7" s="473" t="s">
        <v>83</v>
      </c>
      <c r="AI7" s="527"/>
      <c r="AJ7" s="719"/>
      <c r="AK7" s="719"/>
      <c r="AL7" s="719"/>
      <c r="AM7" s="719"/>
      <c r="AN7" s="719"/>
      <c r="AO7" s="719"/>
      <c r="AP7" s="719"/>
      <c r="AQ7" s="719"/>
      <c r="AR7" s="719"/>
      <c r="AS7" s="719"/>
      <c r="AT7" s="719"/>
      <c r="AU7" s="719"/>
      <c r="AV7" s="719"/>
      <c r="AW7" s="719"/>
      <c r="AX7" s="719"/>
      <c r="AY7" s="719"/>
    </row>
    <row r="8" spans="1:51" ht="20.100000000000001" customHeight="1" x14ac:dyDescent="0.25">
      <c r="A8" s="720" t="s">
        <v>293</v>
      </c>
      <c r="B8" s="842">
        <v>2018</v>
      </c>
      <c r="C8" s="842">
        <v>2019</v>
      </c>
      <c r="D8" s="475" t="s">
        <v>85</v>
      </c>
      <c r="E8" s="842">
        <v>2018</v>
      </c>
      <c r="F8" s="842">
        <v>2019</v>
      </c>
      <c r="G8" s="475" t="s">
        <v>85</v>
      </c>
      <c r="H8" s="655">
        <v>2017</v>
      </c>
      <c r="I8" s="655">
        <v>2018</v>
      </c>
      <c r="J8" s="475" t="s">
        <v>85</v>
      </c>
      <c r="K8" s="655">
        <v>2018</v>
      </c>
      <c r="L8" s="655">
        <v>2019</v>
      </c>
      <c r="M8" s="475" t="s">
        <v>85</v>
      </c>
      <c r="N8" s="842">
        <v>2018</v>
      </c>
      <c r="O8" s="655">
        <v>2019</v>
      </c>
      <c r="P8" s="475" t="s">
        <v>85</v>
      </c>
      <c r="Q8" s="655">
        <v>2018</v>
      </c>
      <c r="R8" s="655">
        <v>2019</v>
      </c>
      <c r="S8" s="475" t="s">
        <v>85</v>
      </c>
      <c r="T8" s="842">
        <v>2018</v>
      </c>
      <c r="U8" s="842">
        <v>2019</v>
      </c>
      <c r="V8" s="475" t="s">
        <v>85</v>
      </c>
      <c r="W8" s="842">
        <v>2018</v>
      </c>
      <c r="X8" s="842">
        <v>2019</v>
      </c>
      <c r="Y8" s="475" t="s">
        <v>85</v>
      </c>
      <c r="Z8" s="842">
        <v>2018</v>
      </c>
      <c r="AA8" s="842">
        <v>2019</v>
      </c>
      <c r="AB8" s="475" t="s">
        <v>85</v>
      </c>
      <c r="AC8" s="655">
        <v>2018</v>
      </c>
      <c r="AD8" s="655">
        <v>2019</v>
      </c>
      <c r="AE8" s="475" t="s">
        <v>85</v>
      </c>
      <c r="AF8" s="655">
        <v>2018</v>
      </c>
      <c r="AG8" s="655">
        <v>2019</v>
      </c>
      <c r="AH8" s="475" t="s">
        <v>85</v>
      </c>
      <c r="AI8" s="527"/>
      <c r="AJ8" s="721"/>
      <c r="AK8" s="722"/>
      <c r="AL8" s="722"/>
      <c r="AM8" s="721"/>
      <c r="AN8" s="722"/>
      <c r="AO8" s="722"/>
      <c r="AP8" s="721"/>
      <c r="AQ8" s="722"/>
      <c r="AR8" s="722"/>
      <c r="AS8" s="721"/>
      <c r="AT8" s="722"/>
      <c r="AU8" s="722"/>
      <c r="AV8" s="721"/>
      <c r="AW8" s="722"/>
      <c r="AX8" s="722"/>
      <c r="AY8" s="721"/>
    </row>
    <row r="9" spans="1:51" s="728" customFormat="1" ht="20.100000000000001" customHeight="1" x14ac:dyDescent="0.3">
      <c r="A9" s="723"/>
      <c r="B9" s="848"/>
      <c r="C9" s="775"/>
      <c r="D9" s="725"/>
      <c r="E9" s="848"/>
      <c r="F9" s="775"/>
      <c r="G9" s="725"/>
      <c r="H9" s="848"/>
      <c r="I9" s="775"/>
      <c r="J9" s="725"/>
      <c r="K9" s="833"/>
      <c r="L9" s="768"/>
      <c r="M9" s="725"/>
      <c r="N9" s="848"/>
      <c r="O9" s="775"/>
      <c r="P9" s="725"/>
      <c r="Q9" s="833"/>
      <c r="R9" s="771"/>
      <c r="S9" s="725"/>
      <c r="T9" s="878"/>
      <c r="U9" s="836"/>
      <c r="V9" s="725"/>
      <c r="W9" s="848"/>
      <c r="X9" s="775"/>
      <c r="Y9" s="725"/>
      <c r="Z9" s="848"/>
      <c r="AA9" s="775"/>
      <c r="AB9" s="726"/>
      <c r="AC9" s="848"/>
      <c r="AD9" s="775"/>
      <c r="AE9" s="725"/>
      <c r="AF9" s="724"/>
      <c r="AG9" s="725"/>
      <c r="AH9" s="725"/>
      <c r="AI9" s="727"/>
      <c r="AJ9" s="727"/>
    </row>
    <row r="10" spans="1:51" s="732" customFormat="1" ht="20.100000000000001" customHeight="1" x14ac:dyDescent="0.3">
      <c r="A10" s="480" t="s">
        <v>443</v>
      </c>
      <c r="B10" s="848"/>
      <c r="C10" s="775"/>
      <c r="D10" s="725"/>
      <c r="E10" s="848">
        <v>22.7</v>
      </c>
      <c r="F10" s="775">
        <v>24.11</v>
      </c>
      <c r="G10" s="725"/>
      <c r="H10" s="848">
        <v>37.700000000000003</v>
      </c>
      <c r="I10" s="775">
        <v>46.2</v>
      </c>
      <c r="J10" s="725"/>
      <c r="K10" s="833">
        <v>17.079999999999998</v>
      </c>
      <c r="L10" s="768">
        <v>18.88</v>
      </c>
      <c r="M10" s="725"/>
      <c r="N10" s="848">
        <v>24.4</v>
      </c>
      <c r="O10" s="775"/>
      <c r="P10" s="725"/>
      <c r="Q10" s="833">
        <v>40.799999999999997</v>
      </c>
      <c r="R10" s="768">
        <v>46.9</v>
      </c>
      <c r="S10" s="725">
        <f>IF(Q10=0, "    ---- ", IF(ABS(ROUND(100/Q10*R10-100,1))&lt;999,ROUND(100/Q10*R10-100,1),IF(ROUND(100/Q10*R10-100,1)&gt;999,999,-999)))</f>
        <v>15</v>
      </c>
      <c r="T10" s="872">
        <v>31.3</v>
      </c>
      <c r="U10" s="838">
        <v>33.700000000000003</v>
      </c>
      <c r="V10" s="725"/>
      <c r="W10" s="864">
        <f>(1430+7239+1240+7492+9304+545)/(63589+3249)*100</f>
        <v>40.770220533229597</v>
      </c>
      <c r="X10" s="779">
        <f>(1430+8119+1240+7241+16522+559)/(66898+1578)*100</f>
        <v>51.274899234768391</v>
      </c>
      <c r="Y10" s="725"/>
      <c r="Z10" s="872">
        <v>39.082350796675001</v>
      </c>
      <c r="AA10" s="838">
        <v>38.354442555705653</v>
      </c>
      <c r="AB10" s="725"/>
      <c r="AC10" s="872">
        <v>23.6</v>
      </c>
      <c r="AD10" s="838">
        <v>25.1</v>
      </c>
      <c r="AE10" s="725"/>
      <c r="AF10" s="724"/>
      <c r="AG10" s="725"/>
      <c r="AH10" s="725"/>
      <c r="AI10" s="731"/>
      <c r="AJ10" s="731"/>
    </row>
    <row r="11" spans="1:51" s="732" customFormat="1" ht="20.100000000000001" customHeight="1" x14ac:dyDescent="0.3">
      <c r="A11" s="480" t="s">
        <v>349</v>
      </c>
      <c r="B11" s="849">
        <v>25</v>
      </c>
      <c r="C11" s="825">
        <v>42.593000000000004</v>
      </c>
      <c r="D11" s="482">
        <f>IF(B11=0, "    ---- ", IF(ABS(ROUND(100/B11*C11-100,1))&lt;999,ROUND(100/B11*C11-100,1),IF(ROUND(100/B11*C11-100,1)&gt;999,999,-999)))</f>
        <v>70.400000000000006</v>
      </c>
      <c r="E11" s="865">
        <v>1456.796</v>
      </c>
      <c r="F11" s="776">
        <v>5557.1989999999996</v>
      </c>
      <c r="G11" s="482">
        <f>IF(E11=0, "    ---- ", IF(ABS(ROUND(100/E11*F11-100,1))&lt;999,ROUND(100/E11*F11-100,1),IF(ROUND(100/E11*F11-100,1)&gt;999,999,-999)))</f>
        <v>281.5</v>
      </c>
      <c r="H11" s="849"/>
      <c r="I11" s="776"/>
      <c r="J11" s="482"/>
      <c r="K11" s="834">
        <v>5.7329999999999997</v>
      </c>
      <c r="L11" s="769">
        <v>21.2</v>
      </c>
      <c r="M11" s="482">
        <f>IF(K11=0, "    ---- ", IF(ABS(ROUND(100/K11*L11-100,1))&lt;999,ROUND(100/K11*L11-100,1),IF(ROUND(100/K11*L11-100,1)&gt;999,999,-999)))</f>
        <v>269.8</v>
      </c>
      <c r="N11" s="865">
        <v>33439.041881999998</v>
      </c>
      <c r="O11" s="776"/>
      <c r="P11" s="482">
        <f>IF(N11=0, "    ---- ", IF(ABS(ROUND(100/N11*O11-100,1))&lt;999,ROUND(100/N11*O11-100,1),IF(ROUND(100/N11*O11-100,1)&gt;999,999,-999)))</f>
        <v>-100</v>
      </c>
      <c r="Q11" s="834">
        <v>8</v>
      </c>
      <c r="R11" s="769">
        <v>19</v>
      </c>
      <c r="S11" s="482"/>
      <c r="T11" s="824">
        <v>987</v>
      </c>
      <c r="U11" s="825">
        <v>1630</v>
      </c>
      <c r="V11" s="482">
        <f>IF(T11=0, "    ---- ", IF(ABS(ROUND(100/T11*U11-100,1))&lt;999,ROUND(100/T11*U11-100,1),IF(ROUND(100/T11*U11-100,1)&gt;999,999,-999)))</f>
        <v>65.099999999999994</v>
      </c>
      <c r="W11" s="865">
        <v>9304</v>
      </c>
      <c r="X11" s="776">
        <v>16522</v>
      </c>
      <c r="Y11" s="482">
        <f>IF(W11=0, "    ---- ", IF(ABS(ROUND(100/W11*X11-100,1))&lt;999,ROUND(100/W11*X11-100,1),IF(ROUND(100/W11*X11-100,1)&gt;999,999,-999)))</f>
        <v>77.599999999999994</v>
      </c>
      <c r="Z11" s="824">
        <v>1544.798</v>
      </c>
      <c r="AA11" s="393">
        <v>2326.306</v>
      </c>
      <c r="AB11" s="482">
        <f>IF(Z11=0, "    ---- ", IF(ABS(ROUND(100/Z11*AA11-100,1))&lt;999,ROUND(100/Z11*AA11-100,1),IF(ROUND(100/Z11*AA11-100,1)&gt;999,999,-999)))</f>
        <v>50.6</v>
      </c>
      <c r="AC11" s="824">
        <v>2245</v>
      </c>
      <c r="AD11" s="825">
        <v>5500</v>
      </c>
      <c r="AE11" s="482">
        <f>IF(AC11=0, "    ---- ", IF(ABS(ROUND(100/AC11*AD11-100,1))&lt;999,ROUND(100/AC11*AD11-100,1),IF(ROUND(100/AC11*AD11-100,1)&gt;999,999,-999)))</f>
        <v>145</v>
      </c>
      <c r="AF11" s="484">
        <f>B11+E11+H11+K11+N11+Q11+T11+W11+Z11+AC11</f>
        <v>49015.368882000002</v>
      </c>
      <c r="AG11" s="484">
        <f>C11+F11+I11+L11+O11+R11+U11+X11+AA11+AD11</f>
        <v>31618.297999999999</v>
      </c>
      <c r="AH11" s="482">
        <f>IF(AF11=0, "    ---- ", IF(ABS(ROUND(100/AF11*AG11-100,1))&lt;999,ROUND(100/AF11*AG11-100,1),IF(ROUND(100/AF11*AG11-100,1)&gt;999,999,-999)))</f>
        <v>-35.5</v>
      </c>
      <c r="AI11" s="731"/>
      <c r="AJ11" s="731"/>
    </row>
    <row r="12" spans="1:51" s="732" customFormat="1" ht="20.100000000000001" customHeight="1" x14ac:dyDescent="0.3">
      <c r="A12" s="669" t="s">
        <v>444</v>
      </c>
      <c r="B12" s="850"/>
      <c r="C12" s="778"/>
      <c r="D12" s="734"/>
      <c r="E12" s="850">
        <v>5878.8739999999998</v>
      </c>
      <c r="F12" s="778">
        <v>5265.9759999999997</v>
      </c>
      <c r="G12" s="734">
        <f>IF(E12=0, "    ---- ", IF(ABS(ROUND(100/E12*F12-100,1))&lt;999,ROUND(100/E12*F12-100,1),IF(ROUND(100/E12*F12-100,1)&gt;999,999,-999)))</f>
        <v>-10.4</v>
      </c>
      <c r="H12" s="915"/>
      <c r="I12" s="778"/>
      <c r="J12" s="734"/>
      <c r="K12" s="835"/>
      <c r="L12" s="770"/>
      <c r="M12" s="734"/>
      <c r="N12" s="850">
        <v>365</v>
      </c>
      <c r="O12" s="778"/>
      <c r="P12" s="734">
        <f>IF(N12=0, "    ---- ", IF(ABS(ROUND(100/N12*O12-100,1))&lt;999,ROUND(100/N12*O12-100,1),IF(ROUND(100/N12*O12-100,1)&gt;999,999,-999)))</f>
        <v>-100</v>
      </c>
      <c r="Q12" s="835">
        <v>25</v>
      </c>
      <c r="R12" s="770">
        <v>43</v>
      </c>
      <c r="S12" s="734">
        <f>IF(Q12=0, "    ---- ", IF(ABS(ROUND(100/Q12*R12-100,1))&lt;999,ROUND(100/Q12*R12-100,1),IF(ROUND(100/Q12*R12-100,1)&gt;999,999,-999)))</f>
        <v>72</v>
      </c>
      <c r="T12" s="802">
        <v>1113</v>
      </c>
      <c r="U12" s="803">
        <v>1154</v>
      </c>
      <c r="V12" s="734">
        <f>IF(T12=0, "    ---- ", IF(ABS(ROUND(100/T12*U12-100,1))&lt;999,ROUND(100/T12*U12-100,1),IF(ROUND(100/T12*U12-100,1)&gt;999,999,-999)))</f>
        <v>3.7</v>
      </c>
      <c r="W12" s="850">
        <v>545</v>
      </c>
      <c r="X12" s="778">
        <v>559</v>
      </c>
      <c r="Y12" s="734">
        <f>IF(W12=0, "    ---- ", IF(ABS(ROUND(100/W12*X12-100,1))&lt;999,ROUND(100/W12*X12-100,1),IF(ROUND(100/W12*X12-100,1)&gt;999,999,-999)))</f>
        <v>2.6</v>
      </c>
      <c r="Z12" s="826">
        <v>30.024000000000001</v>
      </c>
      <c r="AA12" s="827">
        <v>29.821999999999999</v>
      </c>
      <c r="AB12" s="734">
        <f>IF(Z12=0, "    ---- ", IF(ABS(ROUND(100/Z12*AA12-100,1))&lt;999,ROUND(100/Z12*AA12-100,1),IF(ROUND(100/Z12*AA12-100,1)&gt;999,999,-999)))</f>
        <v>-0.7</v>
      </c>
      <c r="AC12" s="826">
        <v>5009</v>
      </c>
      <c r="AD12" s="827">
        <v>4697</v>
      </c>
      <c r="AE12" s="734">
        <f>IF(AC12=0, "    ---- ", IF(ABS(ROUND(100/AC12*AD12-100,1))&lt;999,ROUND(100/AC12*AD12-100,1),IF(ROUND(100/AC12*AD12-100,1)&gt;999,999,-999)))</f>
        <v>-6.2</v>
      </c>
      <c r="AF12" s="733">
        <f>B12+E12+H12+K12+N12+Q12+T12+W12+Z12+AC12</f>
        <v>12965.898000000001</v>
      </c>
      <c r="AG12" s="733">
        <f>C12+F12+I12+L12+O12+R12+U12+X12+AA12+AD12</f>
        <v>11748.797999999999</v>
      </c>
      <c r="AH12" s="734">
        <f>IF(AF12=0, "    ---- ", IF(ABS(ROUND(100/AF12*AG12-100,1))&lt;999,ROUND(100/AF12*AG12-100,1),IF(ROUND(100/AF12*AG12-100,1)&gt;999,999,-999)))</f>
        <v>-9.4</v>
      </c>
      <c r="AI12" s="731"/>
      <c r="AJ12" s="731"/>
    </row>
    <row r="13" spans="1:51" s="732" customFormat="1" ht="20.100000000000001" customHeight="1" x14ac:dyDescent="0.3">
      <c r="A13" s="498"/>
      <c r="B13" s="838"/>
      <c r="C13" s="838"/>
      <c r="D13" s="730"/>
      <c r="E13" s="838"/>
      <c r="F13" s="838"/>
      <c r="G13" s="730"/>
      <c r="H13" s="735"/>
      <c r="I13" s="730"/>
      <c r="J13" s="730"/>
      <c r="K13" s="836"/>
      <c r="L13" s="836"/>
      <c r="M13" s="730"/>
      <c r="N13" s="773"/>
      <c r="O13" s="773"/>
      <c r="P13" s="730"/>
      <c r="Q13" s="836"/>
      <c r="R13" s="836"/>
      <c r="S13" s="730"/>
      <c r="T13" s="836"/>
      <c r="U13" s="836"/>
      <c r="V13" s="730"/>
      <c r="W13" s="838"/>
      <c r="X13" s="838"/>
      <c r="Y13" s="730"/>
      <c r="Z13" s="838"/>
      <c r="AA13" s="838"/>
      <c r="AB13" s="730"/>
      <c r="AC13" s="838"/>
      <c r="AD13" s="838"/>
      <c r="AE13" s="730"/>
      <c r="AF13" s="730"/>
      <c r="AG13" s="730"/>
      <c r="AH13" s="730"/>
      <c r="AI13" s="731"/>
      <c r="AJ13" s="731"/>
    </row>
    <row r="14" spans="1:51" s="732" customFormat="1" ht="20.100000000000001" customHeight="1" x14ac:dyDescent="0.3">
      <c r="A14" s="763" t="s">
        <v>445</v>
      </c>
      <c r="B14" s="837"/>
      <c r="C14" s="837"/>
      <c r="D14" s="737"/>
      <c r="E14" s="837"/>
      <c r="F14" s="837"/>
      <c r="G14" s="737"/>
      <c r="H14" s="738"/>
      <c r="I14" s="737"/>
      <c r="J14" s="737"/>
      <c r="K14" s="837"/>
      <c r="L14" s="837"/>
      <c r="M14" s="737"/>
      <c r="N14" s="772"/>
      <c r="O14" s="772"/>
      <c r="P14" s="737"/>
      <c r="Q14" s="837"/>
      <c r="R14" s="837"/>
      <c r="S14" s="737"/>
      <c r="T14" s="837"/>
      <c r="U14" s="837"/>
      <c r="V14" s="737"/>
      <c r="W14" s="837"/>
      <c r="X14" s="837"/>
      <c r="Y14" s="737"/>
      <c r="Z14" s="837"/>
      <c r="AA14" s="837"/>
      <c r="AB14" s="737"/>
      <c r="AC14" s="837"/>
      <c r="AD14" s="837"/>
      <c r="AE14" s="737"/>
      <c r="AF14" s="663"/>
      <c r="AG14" s="737"/>
      <c r="AH14" s="737"/>
      <c r="AI14" s="731"/>
      <c r="AJ14" s="731"/>
    </row>
    <row r="15" spans="1:51" s="732" customFormat="1" ht="20.100000000000001" customHeight="1" x14ac:dyDescent="0.3">
      <c r="A15" s="763" t="s">
        <v>446</v>
      </c>
      <c r="B15" s="837"/>
      <c r="C15" s="837"/>
      <c r="D15" s="737"/>
      <c r="E15" s="837"/>
      <c r="F15" s="837"/>
      <c r="G15" s="737"/>
      <c r="H15" s="738"/>
      <c r="I15" s="737"/>
      <c r="J15" s="737"/>
      <c r="K15" s="837"/>
      <c r="L15" s="837"/>
      <c r="M15" s="737"/>
      <c r="N15" s="772"/>
      <c r="O15" s="772"/>
      <c r="P15" s="737"/>
      <c r="Q15" s="837"/>
      <c r="R15" s="837"/>
      <c r="S15" s="737"/>
      <c r="T15" s="837"/>
      <c r="U15" s="837"/>
      <c r="V15" s="737"/>
      <c r="W15" s="837"/>
      <c r="X15" s="837"/>
      <c r="Y15" s="737"/>
      <c r="Z15" s="837"/>
      <c r="AA15" s="837"/>
      <c r="AB15" s="737"/>
      <c r="AC15" s="837"/>
      <c r="AD15" s="837"/>
      <c r="AE15" s="737"/>
      <c r="AF15" s="663"/>
      <c r="AG15" s="737"/>
      <c r="AH15" s="737"/>
      <c r="AI15" s="731"/>
      <c r="AJ15" s="731"/>
    </row>
    <row r="16" spans="1:51" s="732" customFormat="1" ht="20.100000000000001" customHeight="1" x14ac:dyDescent="0.3">
      <c r="A16" s="764" t="s">
        <v>494</v>
      </c>
      <c r="B16" s="837"/>
      <c r="C16" s="837">
        <f>AVERAGE(C17:C21)</f>
        <v>2.2960000000000003</v>
      </c>
      <c r="D16" s="737"/>
      <c r="E16" s="837"/>
      <c r="F16" s="837">
        <f>AVERAGE(F17:F21)</f>
        <v>4.2539999999999996</v>
      </c>
      <c r="G16" s="737"/>
      <c r="H16" s="737"/>
      <c r="I16" s="737"/>
      <c r="J16" s="737"/>
      <c r="K16" s="837"/>
      <c r="L16" s="837">
        <f>AVERAGE(L17:L21)</f>
        <v>4.2904</v>
      </c>
      <c r="M16" s="737"/>
      <c r="N16" s="772"/>
      <c r="O16" s="772">
        <f>AVERAGE(O17:O21)</f>
        <v>3.8827499999999997</v>
      </c>
      <c r="P16" s="737"/>
      <c r="Q16" s="837"/>
      <c r="R16" s="837">
        <f>AVERAGE(R17:R21)</f>
        <v>5.2600000000000007</v>
      </c>
      <c r="S16" s="737"/>
      <c r="T16" s="837"/>
      <c r="U16" s="837">
        <f>AVERAGE(U17:U21)</f>
        <v>4.3620000000000001</v>
      </c>
      <c r="V16" s="737"/>
      <c r="W16" s="837"/>
      <c r="X16" s="837">
        <f>AVERAGE(X17:X21)</f>
        <v>4.7559999999999993</v>
      </c>
      <c r="Y16" s="737"/>
      <c r="Z16" s="837"/>
      <c r="AA16" s="837">
        <f>AVERAGE(AA17:AA21)</f>
        <v>5.2649167947948374</v>
      </c>
      <c r="AB16" s="737"/>
      <c r="AC16" s="837"/>
      <c r="AD16" s="837">
        <f>AVERAGE(AD17:AD21)</f>
        <v>4.6100000000000012</v>
      </c>
      <c r="AE16" s="737"/>
      <c r="AF16" s="663"/>
      <c r="AG16" s="737"/>
      <c r="AH16" s="737"/>
      <c r="AI16" s="731"/>
      <c r="AJ16" s="731"/>
    </row>
    <row r="17" spans="1:36" s="728" customFormat="1" ht="20.100000000000001" customHeight="1" x14ac:dyDescent="0.3">
      <c r="A17" s="765">
        <v>2019</v>
      </c>
      <c r="B17" s="838"/>
      <c r="C17" s="838">
        <v>1.97</v>
      </c>
      <c r="D17" s="730"/>
      <c r="E17" s="837"/>
      <c r="F17" s="838">
        <v>3.93</v>
      </c>
      <c r="G17" s="730"/>
      <c r="H17" s="735"/>
      <c r="I17" s="730"/>
      <c r="J17" s="730"/>
      <c r="K17" s="838"/>
      <c r="L17" s="838">
        <v>4.1399999999999997</v>
      </c>
      <c r="M17" s="730"/>
      <c r="N17" s="772"/>
      <c r="O17" s="773"/>
      <c r="P17" s="730"/>
      <c r="Q17" s="838"/>
      <c r="R17" s="838">
        <v>3.4</v>
      </c>
      <c r="S17" s="730"/>
      <c r="T17" s="838"/>
      <c r="U17" s="838">
        <v>4.63</v>
      </c>
      <c r="V17" s="730"/>
      <c r="W17" s="838"/>
      <c r="X17" s="838">
        <v>2.1</v>
      </c>
      <c r="Y17" s="730"/>
      <c r="Z17" s="837"/>
      <c r="AA17" s="838">
        <v>7.9659633792055002</v>
      </c>
      <c r="AB17" s="730"/>
      <c r="AC17" s="838"/>
      <c r="AD17" s="838">
        <v>3.78</v>
      </c>
      <c r="AE17" s="730"/>
      <c r="AF17" s="486"/>
      <c r="AG17" s="730"/>
      <c r="AH17" s="730"/>
      <c r="AI17" s="727"/>
      <c r="AJ17" s="727"/>
    </row>
    <row r="18" spans="1:36" s="728" customFormat="1" ht="20.100000000000001" customHeight="1" x14ac:dyDescent="0.3">
      <c r="A18" s="765">
        <v>2018</v>
      </c>
      <c r="B18" s="838"/>
      <c r="C18" s="838">
        <v>3.47</v>
      </c>
      <c r="D18" s="729"/>
      <c r="E18" s="838"/>
      <c r="F18" s="838">
        <v>3.46</v>
      </c>
      <c r="G18" s="729"/>
      <c r="H18" s="739"/>
      <c r="I18" s="729"/>
      <c r="J18" s="729"/>
      <c r="K18" s="838"/>
      <c r="L18" s="838">
        <v>5.2</v>
      </c>
      <c r="M18" s="729"/>
      <c r="N18" s="773"/>
      <c r="O18" s="773">
        <v>3.5110000000000001</v>
      </c>
      <c r="P18" s="729"/>
      <c r="Q18" s="838"/>
      <c r="R18" s="838">
        <v>4.5</v>
      </c>
      <c r="S18" s="729"/>
      <c r="T18" s="838"/>
      <c r="U18" s="838">
        <v>4.83</v>
      </c>
      <c r="V18" s="729"/>
      <c r="W18" s="838"/>
      <c r="X18" s="838">
        <v>4.5999999999999996</v>
      </c>
      <c r="Y18" s="729"/>
      <c r="Z18" s="838"/>
      <c r="AA18" s="838">
        <v>5.7548555647528596</v>
      </c>
      <c r="AB18" s="729"/>
      <c r="AC18" s="838"/>
      <c r="AD18" s="838">
        <v>3.21</v>
      </c>
      <c r="AE18" s="730"/>
      <c r="AF18" s="486"/>
      <c r="AG18" s="730"/>
      <c r="AH18" s="730"/>
      <c r="AI18" s="727"/>
      <c r="AJ18" s="727"/>
    </row>
    <row r="19" spans="1:36" s="732" customFormat="1" ht="20.100000000000001" customHeight="1" x14ac:dyDescent="0.3">
      <c r="A19" s="765">
        <v>2017</v>
      </c>
      <c r="B19" s="838"/>
      <c r="C19" s="838">
        <v>1.99</v>
      </c>
      <c r="D19" s="729"/>
      <c r="E19" s="838"/>
      <c r="F19" s="838">
        <v>4.57</v>
      </c>
      <c r="G19" s="729"/>
      <c r="H19" s="739"/>
      <c r="I19" s="729"/>
      <c r="J19" s="729"/>
      <c r="K19" s="838"/>
      <c r="L19" s="838">
        <v>3.68</v>
      </c>
      <c r="M19" s="729"/>
      <c r="N19" s="773"/>
      <c r="O19" s="773">
        <v>3.94</v>
      </c>
      <c r="P19" s="729"/>
      <c r="Q19" s="838"/>
      <c r="R19" s="838">
        <v>8.3000000000000007</v>
      </c>
      <c r="S19" s="729"/>
      <c r="T19" s="838"/>
      <c r="U19" s="838">
        <v>4.28</v>
      </c>
      <c r="V19" s="729"/>
      <c r="W19" s="838"/>
      <c r="X19" s="838">
        <v>7.9</v>
      </c>
      <c r="Y19" s="729"/>
      <c r="Z19" s="838"/>
      <c r="AA19" s="838">
        <v>6.0806192431269102</v>
      </c>
      <c r="AB19" s="729"/>
      <c r="AC19" s="838"/>
      <c r="AD19" s="838">
        <v>4.8099999999999996</v>
      </c>
      <c r="AE19" s="730"/>
      <c r="AF19" s="486"/>
      <c r="AG19" s="730"/>
      <c r="AH19" s="730"/>
      <c r="AI19" s="731"/>
      <c r="AJ19" s="731"/>
    </row>
    <row r="20" spans="1:36" s="732" customFormat="1" ht="20.100000000000001" customHeight="1" x14ac:dyDescent="0.3">
      <c r="A20" s="765">
        <v>2016</v>
      </c>
      <c r="B20" s="838"/>
      <c r="C20" s="838">
        <v>1.93</v>
      </c>
      <c r="D20" s="729"/>
      <c r="E20" s="838"/>
      <c r="F20" s="838">
        <v>4.26</v>
      </c>
      <c r="G20" s="729"/>
      <c r="H20" s="739"/>
      <c r="I20" s="729"/>
      <c r="J20" s="729"/>
      <c r="K20" s="838"/>
      <c r="L20" s="838">
        <v>3.76</v>
      </c>
      <c r="M20" s="729"/>
      <c r="N20" s="773"/>
      <c r="O20" s="773">
        <v>4.45</v>
      </c>
      <c r="P20" s="729"/>
      <c r="Q20" s="838"/>
      <c r="R20" s="838">
        <v>5.3</v>
      </c>
      <c r="S20" s="729"/>
      <c r="T20" s="838"/>
      <c r="U20" s="838">
        <v>4.1500000000000004</v>
      </c>
      <c r="V20" s="729"/>
      <c r="W20" s="838"/>
      <c r="X20" s="838">
        <v>6.28</v>
      </c>
      <c r="Y20" s="729"/>
      <c r="Z20" s="838"/>
      <c r="AA20" s="838">
        <v>3.99</v>
      </c>
      <c r="AB20" s="729"/>
      <c r="AC20" s="838"/>
      <c r="AD20" s="838">
        <v>6.01</v>
      </c>
      <c r="AE20" s="730"/>
      <c r="AF20" s="486"/>
      <c r="AG20" s="730"/>
      <c r="AH20" s="730"/>
      <c r="AI20" s="731"/>
      <c r="AJ20" s="731"/>
    </row>
    <row r="21" spans="1:36" s="732" customFormat="1" ht="20.100000000000001" customHeight="1" x14ac:dyDescent="0.3">
      <c r="A21" s="765">
        <v>2015</v>
      </c>
      <c r="B21" s="838"/>
      <c r="C21" s="838">
        <v>2.12</v>
      </c>
      <c r="D21" s="729"/>
      <c r="E21" s="838"/>
      <c r="F21" s="838">
        <v>5.05</v>
      </c>
      <c r="G21" s="729"/>
      <c r="H21" s="739"/>
      <c r="I21" s="729"/>
      <c r="J21" s="729"/>
      <c r="K21" s="838"/>
      <c r="L21" s="838">
        <v>4.6719999999999997</v>
      </c>
      <c r="M21" s="729"/>
      <c r="N21" s="773"/>
      <c r="O21" s="773">
        <v>3.63</v>
      </c>
      <c r="P21" s="729"/>
      <c r="Q21" s="838"/>
      <c r="R21" s="838">
        <v>4.8</v>
      </c>
      <c r="S21" s="729"/>
      <c r="T21" s="838"/>
      <c r="U21" s="838">
        <v>3.92</v>
      </c>
      <c r="V21" s="729"/>
      <c r="W21" s="838"/>
      <c r="X21" s="838">
        <v>2.9</v>
      </c>
      <c r="Y21" s="729"/>
      <c r="Z21" s="838"/>
      <c r="AA21" s="838">
        <v>2.53314578688892</v>
      </c>
      <c r="AB21" s="729"/>
      <c r="AC21" s="838"/>
      <c r="AD21" s="838">
        <v>5.24</v>
      </c>
      <c r="AE21" s="730"/>
      <c r="AF21" s="486"/>
      <c r="AG21" s="730"/>
      <c r="AH21" s="730"/>
      <c r="AI21" s="731"/>
      <c r="AJ21" s="731"/>
    </row>
    <row r="22" spans="1:36" s="732" customFormat="1" ht="20.100000000000001" customHeight="1" x14ac:dyDescent="0.3">
      <c r="A22" s="766" t="s">
        <v>447</v>
      </c>
      <c r="B22" s="838"/>
      <c r="C22" s="838"/>
      <c r="D22" s="730"/>
      <c r="E22" s="838"/>
      <c r="F22" s="838"/>
      <c r="G22" s="730"/>
      <c r="H22" s="735"/>
      <c r="I22" s="730"/>
      <c r="J22" s="730"/>
      <c r="K22" s="838"/>
      <c r="L22" s="838"/>
      <c r="M22" s="730"/>
      <c r="N22" s="773"/>
      <c r="O22" s="773"/>
      <c r="P22" s="730"/>
      <c r="Q22" s="838"/>
      <c r="R22" s="838"/>
      <c r="S22" s="730"/>
      <c r="T22" s="838"/>
      <c r="U22" s="838"/>
      <c r="V22" s="730"/>
      <c r="W22" s="838"/>
      <c r="X22" s="838"/>
      <c r="Y22" s="730"/>
      <c r="Z22" s="838"/>
      <c r="AA22" s="838"/>
      <c r="AB22" s="730"/>
      <c r="AC22" s="838"/>
      <c r="AD22" s="838"/>
      <c r="AE22" s="730"/>
      <c r="AF22" s="486"/>
      <c r="AG22" s="730"/>
      <c r="AH22" s="730"/>
      <c r="AI22" s="731"/>
      <c r="AJ22" s="731"/>
    </row>
    <row r="23" spans="1:36" s="732" customFormat="1" ht="20.100000000000001" customHeight="1" x14ac:dyDescent="0.3">
      <c r="A23" s="765">
        <v>2019</v>
      </c>
      <c r="B23" s="838"/>
      <c r="C23" s="838"/>
      <c r="D23" s="730"/>
      <c r="E23" s="838"/>
      <c r="F23" s="838">
        <v>5.66</v>
      </c>
      <c r="G23" s="730"/>
      <c r="H23" s="735"/>
      <c r="I23" s="730"/>
      <c r="J23" s="730"/>
      <c r="K23" s="838"/>
      <c r="L23" s="838"/>
      <c r="M23" s="730"/>
      <c r="N23" s="773"/>
      <c r="O23" s="773"/>
      <c r="P23" s="730"/>
      <c r="Q23" s="838"/>
      <c r="R23" s="838"/>
      <c r="S23" s="730"/>
      <c r="T23" s="838"/>
      <c r="U23" s="838">
        <v>4.63</v>
      </c>
      <c r="V23" s="730"/>
      <c r="W23" s="838"/>
      <c r="X23" s="838"/>
      <c r="Y23" s="730"/>
      <c r="Z23" s="838"/>
      <c r="AA23" s="838">
        <v>10.5600917124546</v>
      </c>
      <c r="AB23" s="730"/>
      <c r="AC23" s="838"/>
      <c r="AD23" s="838"/>
      <c r="AE23" s="730"/>
      <c r="AF23" s="486"/>
      <c r="AG23" s="730"/>
      <c r="AH23" s="730"/>
      <c r="AI23" s="731"/>
      <c r="AJ23" s="731"/>
    </row>
    <row r="24" spans="1:36" s="732" customFormat="1" ht="20.100000000000001" customHeight="1" x14ac:dyDescent="0.3">
      <c r="A24" s="765">
        <v>2018</v>
      </c>
      <c r="B24" s="838"/>
      <c r="C24" s="838"/>
      <c r="D24" s="729"/>
      <c r="E24" s="838"/>
      <c r="F24" s="838">
        <v>3.61</v>
      </c>
      <c r="G24" s="729"/>
      <c r="H24" s="739"/>
      <c r="I24" s="729"/>
      <c r="J24" s="729"/>
      <c r="K24" s="838"/>
      <c r="L24" s="838"/>
      <c r="M24" s="729"/>
      <c r="N24" s="773"/>
      <c r="O24" s="773"/>
      <c r="P24" s="729"/>
      <c r="Q24" s="838"/>
      <c r="R24" s="838"/>
      <c r="S24" s="729"/>
      <c r="T24" s="838"/>
      <c r="U24" s="838">
        <v>4.83</v>
      </c>
      <c r="V24" s="729"/>
      <c r="W24" s="838"/>
      <c r="X24" s="838"/>
      <c r="Y24" s="729"/>
      <c r="Z24" s="838"/>
      <c r="AA24" s="838">
        <v>5.4919117102760797</v>
      </c>
      <c r="AB24" s="729"/>
      <c r="AC24" s="838"/>
      <c r="AD24" s="838"/>
      <c r="AE24" s="730"/>
      <c r="AF24" s="486"/>
      <c r="AG24" s="730"/>
      <c r="AH24" s="730"/>
      <c r="AI24" s="731"/>
      <c r="AJ24" s="731"/>
    </row>
    <row r="25" spans="1:36" s="732" customFormat="1" ht="20.100000000000001" customHeight="1" x14ac:dyDescent="0.3">
      <c r="A25" s="765">
        <v>2017</v>
      </c>
      <c r="B25" s="838"/>
      <c r="C25" s="838"/>
      <c r="D25" s="729"/>
      <c r="E25" s="838"/>
      <c r="F25" s="838">
        <v>5.0199999999999996</v>
      </c>
      <c r="G25" s="729"/>
      <c r="H25" s="739"/>
      <c r="I25" s="729"/>
      <c r="J25" s="729"/>
      <c r="K25" s="838"/>
      <c r="L25" s="838"/>
      <c r="M25" s="729"/>
      <c r="N25" s="773"/>
      <c r="O25" s="773"/>
      <c r="P25" s="729"/>
      <c r="Q25" s="838"/>
      <c r="R25" s="838"/>
      <c r="S25" s="729"/>
      <c r="T25" s="838"/>
      <c r="U25" s="838">
        <v>4.28</v>
      </c>
      <c r="V25" s="729"/>
      <c r="W25" s="838"/>
      <c r="X25" s="838"/>
      <c r="Y25" s="729"/>
      <c r="Z25" s="838"/>
      <c r="AA25" s="838">
        <v>7.2430320850932501</v>
      </c>
      <c r="AB25" s="729"/>
      <c r="AC25" s="838"/>
      <c r="AD25" s="838"/>
      <c r="AE25" s="730"/>
      <c r="AF25" s="486"/>
      <c r="AG25" s="730"/>
      <c r="AH25" s="730"/>
      <c r="AI25" s="731"/>
      <c r="AJ25" s="731"/>
    </row>
    <row r="26" spans="1:36" s="732" customFormat="1" ht="20.100000000000001" customHeight="1" x14ac:dyDescent="0.3">
      <c r="A26" s="765">
        <v>2016</v>
      </c>
      <c r="B26" s="838"/>
      <c r="C26" s="838"/>
      <c r="D26" s="729"/>
      <c r="E26" s="838"/>
      <c r="F26" s="838">
        <v>4.3499999999999996</v>
      </c>
      <c r="G26" s="729"/>
      <c r="H26" s="739"/>
      <c r="I26" s="729"/>
      <c r="J26" s="729"/>
      <c r="K26" s="838"/>
      <c r="L26" s="838"/>
      <c r="M26" s="729"/>
      <c r="N26" s="773"/>
      <c r="O26" s="773"/>
      <c r="P26" s="729"/>
      <c r="Q26" s="838"/>
      <c r="R26" s="838"/>
      <c r="S26" s="729"/>
      <c r="T26" s="838"/>
      <c r="U26" s="838">
        <v>4.1500000000000004</v>
      </c>
      <c r="V26" s="729"/>
      <c r="W26" s="838"/>
      <c r="X26" s="838"/>
      <c r="Y26" s="729"/>
      <c r="Z26" s="838"/>
      <c r="AA26" s="838">
        <v>4.8582381483282404</v>
      </c>
      <c r="AB26" s="729"/>
      <c r="AC26" s="838"/>
      <c r="AD26" s="838"/>
      <c r="AE26" s="730"/>
      <c r="AF26" s="486"/>
      <c r="AG26" s="730"/>
      <c r="AH26" s="730"/>
      <c r="AI26" s="731"/>
      <c r="AJ26" s="731"/>
    </row>
    <row r="27" spans="1:36" s="732" customFormat="1" ht="20.100000000000001" customHeight="1" x14ac:dyDescent="0.3">
      <c r="A27" s="765">
        <v>2015</v>
      </c>
      <c r="B27" s="838"/>
      <c r="C27" s="838"/>
      <c r="D27" s="729"/>
      <c r="E27" s="838"/>
      <c r="F27" s="838">
        <v>5.26</v>
      </c>
      <c r="G27" s="729"/>
      <c r="H27" s="739"/>
      <c r="I27" s="729"/>
      <c r="J27" s="729"/>
      <c r="K27" s="838"/>
      <c r="L27" s="838"/>
      <c r="M27" s="729"/>
      <c r="N27" s="773"/>
      <c r="O27" s="773"/>
      <c r="P27" s="729"/>
      <c r="Q27" s="838"/>
      <c r="R27" s="838"/>
      <c r="S27" s="729"/>
      <c r="T27" s="838"/>
      <c r="U27" s="838">
        <v>3.92</v>
      </c>
      <c r="V27" s="729"/>
      <c r="W27" s="838"/>
      <c r="X27" s="838"/>
      <c r="Y27" s="729"/>
      <c r="Z27" s="838"/>
      <c r="AA27" s="838">
        <v>4.8899999999999997</v>
      </c>
      <c r="AB27" s="729"/>
      <c r="AC27" s="838"/>
      <c r="AD27" s="838"/>
      <c r="AE27" s="730"/>
      <c r="AF27" s="486"/>
      <c r="AG27" s="730"/>
      <c r="AH27" s="730"/>
      <c r="AI27" s="731"/>
      <c r="AJ27" s="731"/>
    </row>
    <row r="28" spans="1:36" s="732" customFormat="1" ht="20.100000000000001" customHeight="1" x14ac:dyDescent="0.3">
      <c r="A28" s="766" t="s">
        <v>448</v>
      </c>
      <c r="B28" s="838"/>
      <c r="C28" s="838"/>
      <c r="D28" s="730"/>
      <c r="E28" s="838"/>
      <c r="F28" s="838"/>
      <c r="G28" s="730"/>
      <c r="H28" s="735"/>
      <c r="I28" s="730"/>
      <c r="J28" s="730"/>
      <c r="K28" s="838"/>
      <c r="L28" s="838"/>
      <c r="M28" s="730"/>
      <c r="N28" s="773"/>
      <c r="O28" s="773"/>
      <c r="P28" s="730"/>
      <c r="Q28" s="838"/>
      <c r="R28" s="838"/>
      <c r="S28" s="730"/>
      <c r="T28" s="838"/>
      <c r="U28" s="838"/>
      <c r="V28" s="730"/>
      <c r="W28" s="838"/>
      <c r="X28" s="838"/>
      <c r="Y28" s="730"/>
      <c r="Z28" s="838"/>
      <c r="AA28" s="838"/>
      <c r="AB28" s="730"/>
      <c r="AC28" s="838"/>
      <c r="AD28" s="838"/>
      <c r="AE28" s="730"/>
      <c r="AF28" s="486"/>
      <c r="AG28" s="730"/>
      <c r="AH28" s="730"/>
      <c r="AI28" s="731"/>
      <c r="AJ28" s="731"/>
    </row>
    <row r="29" spans="1:36" s="732" customFormat="1" ht="20.100000000000001" customHeight="1" x14ac:dyDescent="0.3">
      <c r="A29" s="765">
        <v>2019</v>
      </c>
      <c r="B29" s="838"/>
      <c r="C29" s="838">
        <v>1.97</v>
      </c>
      <c r="D29" s="730"/>
      <c r="E29" s="838"/>
      <c r="F29" s="838">
        <v>4.7699999999999996</v>
      </c>
      <c r="G29" s="730"/>
      <c r="H29" s="735"/>
      <c r="I29" s="740"/>
      <c r="J29" s="730"/>
      <c r="K29" s="838"/>
      <c r="L29" s="838">
        <v>4.34</v>
      </c>
      <c r="M29" s="730"/>
      <c r="N29" s="773"/>
      <c r="O29" s="773"/>
      <c r="P29" s="730"/>
      <c r="Q29" s="838"/>
      <c r="R29" s="838">
        <v>3.4</v>
      </c>
      <c r="S29" s="730"/>
      <c r="T29" s="838"/>
      <c r="U29" s="838">
        <v>4.63</v>
      </c>
      <c r="V29" s="730"/>
      <c r="W29" s="838"/>
      <c r="X29" s="838"/>
      <c r="Y29" s="730"/>
      <c r="Z29" s="838"/>
      <c r="AA29" s="838">
        <v>7.6999415752564602</v>
      </c>
      <c r="AB29" s="730"/>
      <c r="AC29" s="838"/>
      <c r="AD29" s="838"/>
      <c r="AE29" s="730"/>
      <c r="AF29" s="486"/>
      <c r="AG29" s="730"/>
      <c r="AH29" s="730"/>
      <c r="AI29" s="731"/>
      <c r="AJ29" s="731"/>
    </row>
    <row r="30" spans="1:36" s="732" customFormat="1" ht="20.100000000000001" customHeight="1" x14ac:dyDescent="0.3">
      <c r="A30" s="765">
        <v>2018</v>
      </c>
      <c r="B30" s="838"/>
      <c r="C30" s="838">
        <v>3.47</v>
      </c>
      <c r="D30" s="729"/>
      <c r="E30" s="838"/>
      <c r="F30" s="838">
        <v>2.95</v>
      </c>
      <c r="G30" s="729"/>
      <c r="H30" s="739"/>
      <c r="I30" s="741"/>
      <c r="J30" s="729"/>
      <c r="K30" s="838"/>
      <c r="L30" s="838">
        <v>5.61</v>
      </c>
      <c r="M30" s="729"/>
      <c r="N30" s="773"/>
      <c r="O30" s="773"/>
      <c r="P30" s="729"/>
      <c r="Q30" s="838"/>
      <c r="R30" s="838">
        <v>4.5</v>
      </c>
      <c r="S30" s="729"/>
      <c r="T30" s="838"/>
      <c r="U30" s="838">
        <v>4.83</v>
      </c>
      <c r="V30" s="729"/>
      <c r="W30" s="838"/>
      <c r="X30" s="838"/>
      <c r="Y30" s="729"/>
      <c r="Z30" s="838"/>
      <c r="AA30" s="838">
        <v>2.8899617646606801</v>
      </c>
      <c r="AB30" s="729"/>
      <c r="AC30" s="838"/>
      <c r="AD30" s="838"/>
      <c r="AE30" s="730"/>
      <c r="AF30" s="486"/>
      <c r="AG30" s="730"/>
      <c r="AH30" s="730"/>
      <c r="AI30" s="731"/>
      <c r="AJ30" s="731"/>
    </row>
    <row r="31" spans="1:36" s="732" customFormat="1" ht="20.100000000000001" customHeight="1" x14ac:dyDescent="0.3">
      <c r="A31" s="765">
        <v>2017</v>
      </c>
      <c r="B31" s="838"/>
      <c r="C31" s="838">
        <v>1.99</v>
      </c>
      <c r="D31" s="729"/>
      <c r="E31" s="838"/>
      <c r="F31" s="838">
        <v>4.74</v>
      </c>
      <c r="G31" s="729"/>
      <c r="H31" s="739"/>
      <c r="I31" s="741"/>
      <c r="J31" s="729"/>
      <c r="K31" s="838"/>
      <c r="L31" s="838">
        <v>3.75</v>
      </c>
      <c r="M31" s="729"/>
      <c r="N31" s="773"/>
      <c r="O31" s="773"/>
      <c r="P31" s="729"/>
      <c r="Q31" s="838"/>
      <c r="R31" s="838">
        <v>8.3000000000000007</v>
      </c>
      <c r="S31" s="729"/>
      <c r="T31" s="838"/>
      <c r="U31" s="838">
        <v>4.28</v>
      </c>
      <c r="V31" s="729"/>
      <c r="W31" s="838"/>
      <c r="X31" s="838"/>
      <c r="Y31" s="729"/>
      <c r="Z31" s="838"/>
      <c r="AA31" s="838">
        <v>5.7183720533544404</v>
      </c>
      <c r="AB31" s="729"/>
      <c r="AC31" s="838"/>
      <c r="AD31" s="838"/>
      <c r="AE31" s="730"/>
      <c r="AF31" s="486"/>
      <c r="AG31" s="730"/>
      <c r="AH31" s="730"/>
      <c r="AI31" s="731"/>
      <c r="AJ31" s="731"/>
    </row>
    <row r="32" spans="1:36" s="732" customFormat="1" ht="20.100000000000001" customHeight="1" x14ac:dyDescent="0.3">
      <c r="A32" s="765">
        <v>2016</v>
      </c>
      <c r="B32" s="838"/>
      <c r="C32" s="838">
        <v>1.93</v>
      </c>
      <c r="D32" s="729"/>
      <c r="E32" s="838"/>
      <c r="F32" s="838">
        <v>3.54</v>
      </c>
      <c r="G32" s="729"/>
      <c r="H32" s="739"/>
      <c r="I32" s="741"/>
      <c r="J32" s="729"/>
      <c r="K32" s="838"/>
      <c r="L32" s="838">
        <v>4.08</v>
      </c>
      <c r="M32" s="729"/>
      <c r="N32" s="773"/>
      <c r="O32" s="773">
        <v>4.45</v>
      </c>
      <c r="P32" s="729"/>
      <c r="Q32" s="838"/>
      <c r="R32" s="838">
        <v>5.3</v>
      </c>
      <c r="S32" s="729"/>
      <c r="T32" s="838"/>
      <c r="U32" s="838">
        <v>4.1500000000000004</v>
      </c>
      <c r="V32" s="729"/>
      <c r="W32" s="838"/>
      <c r="X32" s="838"/>
      <c r="Y32" s="729"/>
      <c r="Z32" s="838"/>
      <c r="AA32" s="838">
        <v>3.46</v>
      </c>
      <c r="AB32" s="729"/>
      <c r="AC32" s="838"/>
      <c r="AD32" s="838"/>
      <c r="AE32" s="730"/>
      <c r="AF32" s="486"/>
      <c r="AG32" s="730"/>
      <c r="AH32" s="730"/>
      <c r="AI32" s="731"/>
      <c r="AJ32" s="731"/>
    </row>
    <row r="33" spans="1:36" s="732" customFormat="1" ht="20.100000000000001" customHeight="1" x14ac:dyDescent="0.3">
      <c r="A33" s="765">
        <v>2015</v>
      </c>
      <c r="B33" s="838"/>
      <c r="C33" s="838">
        <v>2.12</v>
      </c>
      <c r="D33" s="729"/>
      <c r="E33" s="838"/>
      <c r="F33" s="838">
        <v>4.79</v>
      </c>
      <c r="G33" s="729"/>
      <c r="H33" s="739"/>
      <c r="I33" s="741"/>
      <c r="J33" s="729"/>
      <c r="K33" s="838"/>
      <c r="L33" s="838">
        <v>5.43</v>
      </c>
      <c r="M33" s="729"/>
      <c r="N33" s="773"/>
      <c r="O33" s="773">
        <v>3.63</v>
      </c>
      <c r="P33" s="729"/>
      <c r="Q33" s="838"/>
      <c r="R33" s="838">
        <v>4.8</v>
      </c>
      <c r="S33" s="729"/>
      <c r="T33" s="838"/>
      <c r="U33" s="838">
        <v>3.92</v>
      </c>
      <c r="V33" s="729"/>
      <c r="W33" s="838"/>
      <c r="X33" s="838"/>
      <c r="Y33" s="729"/>
      <c r="Z33" s="838"/>
      <c r="AA33" s="838">
        <v>1.9026112643808699</v>
      </c>
      <c r="AB33" s="729"/>
      <c r="AC33" s="838"/>
      <c r="AD33" s="838"/>
      <c r="AE33" s="730"/>
      <c r="AF33" s="486"/>
      <c r="AG33" s="730"/>
      <c r="AH33" s="730"/>
      <c r="AI33" s="731"/>
      <c r="AJ33" s="731"/>
    </row>
    <row r="34" spans="1:36" s="732" customFormat="1" ht="20.100000000000001" customHeight="1" x14ac:dyDescent="0.3">
      <c r="A34" s="763" t="s">
        <v>449</v>
      </c>
      <c r="B34" s="837"/>
      <c r="C34" s="837"/>
      <c r="D34" s="737"/>
      <c r="E34" s="837"/>
      <c r="F34" s="837"/>
      <c r="G34" s="737"/>
      <c r="H34" s="738"/>
      <c r="I34" s="737"/>
      <c r="J34" s="737"/>
      <c r="K34" s="837"/>
      <c r="L34" s="837"/>
      <c r="M34" s="737"/>
      <c r="N34" s="772"/>
      <c r="O34" s="772"/>
      <c r="P34" s="737"/>
      <c r="Q34" s="837"/>
      <c r="R34" s="837"/>
      <c r="S34" s="737"/>
      <c r="T34" s="837"/>
      <c r="U34" s="837"/>
      <c r="V34" s="737"/>
      <c r="W34" s="837"/>
      <c r="X34" s="837"/>
      <c r="Y34" s="737"/>
      <c r="Z34" s="837"/>
      <c r="AA34" s="837"/>
      <c r="AB34" s="737"/>
      <c r="AC34" s="837"/>
      <c r="AD34" s="837"/>
      <c r="AE34" s="737"/>
      <c r="AF34" s="663"/>
      <c r="AG34" s="737"/>
      <c r="AH34" s="737"/>
      <c r="AI34" s="731"/>
      <c r="AJ34" s="731"/>
    </row>
    <row r="35" spans="1:36" s="732" customFormat="1" ht="20.100000000000001" customHeight="1" x14ac:dyDescent="0.3">
      <c r="A35" s="764" t="s">
        <v>494</v>
      </c>
      <c r="B35" s="851"/>
      <c r="C35" s="837">
        <f>AVERAGE(C36:C40)</f>
        <v>2.8459999999999996</v>
      </c>
      <c r="D35" s="737"/>
      <c r="E35" s="851"/>
      <c r="F35" s="837">
        <f>AVERAGE(F36:F40)</f>
        <v>4.4539999999999997</v>
      </c>
      <c r="G35" s="737"/>
      <c r="H35" s="737"/>
      <c r="I35" s="737"/>
      <c r="J35" s="737"/>
      <c r="K35" s="837"/>
      <c r="L35" s="837">
        <f>AVERAGE(L36:L40)</f>
        <v>4.3778000000000006</v>
      </c>
      <c r="M35" s="737"/>
      <c r="N35" s="777"/>
      <c r="O35" s="772">
        <f>AVERAGE(O36:O40)</f>
        <v>4.3077500000000004</v>
      </c>
      <c r="P35" s="737"/>
      <c r="Q35" s="837"/>
      <c r="R35" s="837">
        <f>AVERAGE(R36:R40)</f>
        <v>4.6459999999999999</v>
      </c>
      <c r="S35" s="737"/>
      <c r="T35" s="837"/>
      <c r="U35" s="837">
        <f>AVERAGE(U36:U40)</f>
        <v>4.5</v>
      </c>
      <c r="V35" s="737"/>
      <c r="W35" s="851"/>
      <c r="X35" s="837">
        <f>AVERAGE(X36:X40)</f>
        <v>6.3900000000000006</v>
      </c>
      <c r="Y35" s="737"/>
      <c r="Z35" s="851"/>
      <c r="AA35" s="837">
        <f>AVERAGE(AA36:AA40)</f>
        <v>6.0702933079776145</v>
      </c>
      <c r="AB35" s="737"/>
      <c r="AC35" s="851"/>
      <c r="AD35" s="837">
        <f>AVERAGE(AD36:AD40)</f>
        <v>4.4640000000000004</v>
      </c>
      <c r="AE35" s="737"/>
      <c r="AF35" s="663"/>
      <c r="AG35" s="737"/>
      <c r="AH35" s="737"/>
      <c r="AI35" s="731"/>
      <c r="AJ35" s="731"/>
    </row>
    <row r="36" spans="1:36" s="728" customFormat="1" ht="20.100000000000001" customHeight="1" x14ac:dyDescent="0.3">
      <c r="A36" s="765">
        <v>2019</v>
      </c>
      <c r="B36" s="836"/>
      <c r="C36" s="836">
        <v>4.62</v>
      </c>
      <c r="D36" s="730"/>
      <c r="E36" s="851"/>
      <c r="F36" s="836">
        <v>5.92</v>
      </c>
      <c r="G36" s="730"/>
      <c r="H36" s="740"/>
      <c r="I36" s="736"/>
      <c r="J36" s="730"/>
      <c r="K36" s="838"/>
      <c r="L36" s="838">
        <v>4.38</v>
      </c>
      <c r="M36" s="730"/>
      <c r="N36" s="777"/>
      <c r="O36" s="771"/>
      <c r="P36" s="730"/>
      <c r="Q36" s="838"/>
      <c r="R36" s="838">
        <v>4.0999999999999996</v>
      </c>
      <c r="S36" s="730"/>
      <c r="T36" s="838"/>
      <c r="U36" s="838">
        <v>5.81</v>
      </c>
      <c r="V36" s="730"/>
      <c r="W36" s="836"/>
      <c r="X36" s="836">
        <v>10.3</v>
      </c>
      <c r="Y36" s="730"/>
      <c r="Z36" s="851"/>
      <c r="AA36" s="836">
        <v>11.5251573312757</v>
      </c>
      <c r="AB36" s="730"/>
      <c r="AC36" s="836"/>
      <c r="AD36" s="836">
        <v>5.49</v>
      </c>
      <c r="AE36" s="730"/>
      <c r="AF36" s="486"/>
      <c r="AG36" s="730"/>
      <c r="AH36" s="730"/>
      <c r="AI36" s="727"/>
      <c r="AJ36" s="727"/>
    </row>
    <row r="37" spans="1:36" s="728" customFormat="1" ht="20.100000000000001" customHeight="1" x14ac:dyDescent="0.3">
      <c r="A37" s="765">
        <v>2018</v>
      </c>
      <c r="B37" s="836"/>
      <c r="C37" s="836">
        <v>0.59</v>
      </c>
      <c r="D37" s="729"/>
      <c r="E37" s="836"/>
      <c r="F37" s="836">
        <v>2.5</v>
      </c>
      <c r="G37" s="729"/>
      <c r="H37" s="741"/>
      <c r="I37" s="742"/>
      <c r="J37" s="729"/>
      <c r="K37" s="838"/>
      <c r="L37" s="838">
        <v>3.95</v>
      </c>
      <c r="M37" s="729"/>
      <c r="N37" s="771"/>
      <c r="O37" s="771">
        <v>3.5110000000000001</v>
      </c>
      <c r="P37" s="729"/>
      <c r="Q37" s="838"/>
      <c r="R37" s="838">
        <v>3</v>
      </c>
      <c r="S37" s="729"/>
      <c r="T37" s="838"/>
      <c r="U37" s="838">
        <v>3.9</v>
      </c>
      <c r="V37" s="729"/>
      <c r="W37" s="836"/>
      <c r="X37" s="836">
        <v>2</v>
      </c>
      <c r="Y37" s="729"/>
      <c r="Z37" s="836"/>
      <c r="AA37" s="836">
        <v>2.3197820675014702</v>
      </c>
      <c r="AB37" s="729"/>
      <c r="AC37" s="836"/>
      <c r="AD37" s="836">
        <v>2.36</v>
      </c>
      <c r="AE37" s="730"/>
      <c r="AF37" s="486"/>
      <c r="AG37" s="730"/>
      <c r="AH37" s="730"/>
      <c r="AI37" s="727"/>
      <c r="AJ37" s="727"/>
    </row>
    <row r="38" spans="1:36" s="732" customFormat="1" ht="20.100000000000001" customHeight="1" x14ac:dyDescent="0.3">
      <c r="A38" s="765">
        <v>2017</v>
      </c>
      <c r="B38" s="836"/>
      <c r="C38" s="836">
        <v>4.1500000000000004</v>
      </c>
      <c r="D38" s="729"/>
      <c r="E38" s="836"/>
      <c r="F38" s="836">
        <v>4.92</v>
      </c>
      <c r="G38" s="729"/>
      <c r="H38" s="741"/>
      <c r="I38" s="742"/>
      <c r="J38" s="729"/>
      <c r="K38" s="838"/>
      <c r="L38" s="838">
        <v>4.22</v>
      </c>
      <c r="M38" s="729"/>
      <c r="N38" s="771"/>
      <c r="O38" s="771">
        <v>3.94</v>
      </c>
      <c r="P38" s="729"/>
      <c r="Q38" s="838"/>
      <c r="R38" s="838">
        <v>5.6</v>
      </c>
      <c r="S38" s="729"/>
      <c r="T38" s="838"/>
      <c r="U38" s="838">
        <v>4.82</v>
      </c>
      <c r="V38" s="729"/>
      <c r="W38" s="836"/>
      <c r="X38" s="836">
        <v>9.1999999999999993</v>
      </c>
      <c r="Y38" s="729"/>
      <c r="Z38" s="836"/>
      <c r="AA38" s="836">
        <v>8.0327444650206896</v>
      </c>
      <c r="AB38" s="729"/>
      <c r="AC38" s="836"/>
      <c r="AD38" s="836">
        <v>5.32</v>
      </c>
      <c r="AE38" s="730"/>
      <c r="AF38" s="486"/>
      <c r="AG38" s="730"/>
      <c r="AH38" s="730"/>
      <c r="AI38" s="731"/>
      <c r="AJ38" s="731"/>
    </row>
    <row r="39" spans="1:36" s="732" customFormat="1" ht="20.100000000000001" customHeight="1" x14ac:dyDescent="0.3">
      <c r="A39" s="765">
        <v>2016</v>
      </c>
      <c r="B39" s="836"/>
      <c r="C39" s="836">
        <v>4.18</v>
      </c>
      <c r="D39" s="729"/>
      <c r="E39" s="836"/>
      <c r="F39" s="836">
        <v>4.2699999999999996</v>
      </c>
      <c r="G39" s="729"/>
      <c r="H39" s="741"/>
      <c r="I39" s="742"/>
      <c r="J39" s="729"/>
      <c r="K39" s="838"/>
      <c r="L39" s="838">
        <v>4.66</v>
      </c>
      <c r="M39" s="729"/>
      <c r="N39" s="771"/>
      <c r="O39" s="771">
        <v>5.83</v>
      </c>
      <c r="P39" s="729"/>
      <c r="Q39" s="838"/>
      <c r="R39" s="838">
        <v>5.83</v>
      </c>
      <c r="S39" s="729"/>
      <c r="T39" s="838"/>
      <c r="U39" s="838">
        <v>4.42</v>
      </c>
      <c r="V39" s="729"/>
      <c r="W39" s="836"/>
      <c r="X39" s="836">
        <v>5.35</v>
      </c>
      <c r="Y39" s="729"/>
      <c r="Z39" s="836"/>
      <c r="AA39" s="836">
        <v>4.8899999999999997</v>
      </c>
      <c r="AB39" s="729"/>
      <c r="AC39" s="836"/>
      <c r="AD39" s="836">
        <v>4.8099999999999996</v>
      </c>
      <c r="AE39" s="730"/>
      <c r="AF39" s="486"/>
      <c r="AG39" s="730"/>
      <c r="AH39" s="730"/>
      <c r="AI39" s="731"/>
      <c r="AJ39" s="731"/>
    </row>
    <row r="40" spans="1:36" s="732" customFormat="1" ht="20.100000000000001" customHeight="1" x14ac:dyDescent="0.3">
      <c r="A40" s="765">
        <v>2015</v>
      </c>
      <c r="B40" s="836"/>
      <c r="C40" s="836">
        <v>0.69</v>
      </c>
      <c r="D40" s="729"/>
      <c r="E40" s="836"/>
      <c r="F40" s="836">
        <v>4.66</v>
      </c>
      <c r="G40" s="729"/>
      <c r="H40" s="741"/>
      <c r="I40" s="742"/>
      <c r="J40" s="729"/>
      <c r="K40" s="838"/>
      <c r="L40" s="838">
        <v>4.6790000000000003</v>
      </c>
      <c r="M40" s="729"/>
      <c r="N40" s="771"/>
      <c r="O40" s="771">
        <v>3.95</v>
      </c>
      <c r="P40" s="729"/>
      <c r="Q40" s="838"/>
      <c r="R40" s="838">
        <v>4.7</v>
      </c>
      <c r="S40" s="729"/>
      <c r="T40" s="838"/>
      <c r="U40" s="838">
        <v>3.55</v>
      </c>
      <c r="V40" s="729"/>
      <c r="W40" s="836"/>
      <c r="X40" s="836">
        <v>5.0999999999999996</v>
      </c>
      <c r="Y40" s="729"/>
      <c r="Z40" s="836"/>
      <c r="AA40" s="836">
        <v>3.5837826760902098</v>
      </c>
      <c r="AB40" s="729"/>
      <c r="AC40" s="836"/>
      <c r="AD40" s="836">
        <v>4.34</v>
      </c>
      <c r="AE40" s="730"/>
      <c r="AF40" s="486"/>
      <c r="AG40" s="730"/>
      <c r="AH40" s="730"/>
      <c r="AI40" s="731"/>
      <c r="AJ40" s="731"/>
    </row>
    <row r="41" spans="1:36" s="732" customFormat="1" ht="20.100000000000001" customHeight="1" x14ac:dyDescent="0.3">
      <c r="A41" s="766" t="s">
        <v>447</v>
      </c>
      <c r="B41" s="838"/>
      <c r="C41" s="838"/>
      <c r="D41" s="730"/>
      <c r="E41" s="838"/>
      <c r="F41" s="838"/>
      <c r="G41" s="730"/>
      <c r="H41" s="735"/>
      <c r="I41" s="730"/>
      <c r="J41" s="730"/>
      <c r="K41" s="838"/>
      <c r="L41" s="838"/>
      <c r="M41" s="730"/>
      <c r="N41" s="773"/>
      <c r="O41" s="773"/>
      <c r="P41" s="730"/>
      <c r="Q41" s="838"/>
      <c r="R41" s="838"/>
      <c r="S41" s="730"/>
      <c r="T41" s="838"/>
      <c r="U41" s="838"/>
      <c r="V41" s="730"/>
      <c r="W41" s="838"/>
      <c r="X41" s="838"/>
      <c r="Y41" s="730"/>
      <c r="Z41" s="838"/>
      <c r="AA41" s="838"/>
      <c r="AB41" s="730"/>
      <c r="AC41" s="838"/>
      <c r="AD41" s="838"/>
      <c r="AE41" s="730"/>
      <c r="AF41" s="486"/>
      <c r="AG41" s="730"/>
      <c r="AH41" s="730"/>
      <c r="AI41" s="731"/>
      <c r="AJ41" s="731"/>
    </row>
    <row r="42" spans="1:36" s="732" customFormat="1" ht="20.100000000000001" customHeight="1" x14ac:dyDescent="0.3">
      <c r="A42" s="765">
        <v>2019</v>
      </c>
      <c r="B42" s="838"/>
      <c r="C42" s="838"/>
      <c r="D42" s="730"/>
      <c r="E42" s="838"/>
      <c r="F42" s="838">
        <v>6.56</v>
      </c>
      <c r="G42" s="730"/>
      <c r="H42" s="735"/>
      <c r="I42" s="730"/>
      <c r="J42" s="730"/>
      <c r="K42" s="838"/>
      <c r="L42" s="838"/>
      <c r="M42" s="730"/>
      <c r="N42" s="773"/>
      <c r="O42" s="773"/>
      <c r="P42" s="730"/>
      <c r="Q42" s="838"/>
      <c r="R42" s="838"/>
      <c r="S42" s="730"/>
      <c r="T42" s="838"/>
      <c r="U42" s="838">
        <v>5.81</v>
      </c>
      <c r="V42" s="730"/>
      <c r="W42" s="838"/>
      <c r="X42" s="838"/>
      <c r="Y42" s="730"/>
      <c r="Z42" s="838"/>
      <c r="AA42" s="838">
        <v>14.544672445740501</v>
      </c>
      <c r="AB42" s="730"/>
      <c r="AC42" s="838"/>
      <c r="AD42" s="838"/>
      <c r="AE42" s="730"/>
      <c r="AF42" s="486"/>
      <c r="AG42" s="730"/>
      <c r="AH42" s="730"/>
      <c r="AI42" s="731"/>
      <c r="AJ42" s="731"/>
    </row>
    <row r="43" spans="1:36" s="732" customFormat="1" ht="20.100000000000001" customHeight="1" x14ac:dyDescent="0.3">
      <c r="A43" s="765">
        <v>2018</v>
      </c>
      <c r="B43" s="838"/>
      <c r="C43" s="838"/>
      <c r="D43" s="729"/>
      <c r="E43" s="838"/>
      <c r="F43" s="838">
        <v>2.5299999999999998</v>
      </c>
      <c r="G43" s="729"/>
      <c r="H43" s="739"/>
      <c r="I43" s="729"/>
      <c r="J43" s="729"/>
      <c r="K43" s="838"/>
      <c r="L43" s="838"/>
      <c r="M43" s="729"/>
      <c r="N43" s="773"/>
      <c r="O43" s="773"/>
      <c r="P43" s="729"/>
      <c r="Q43" s="838"/>
      <c r="R43" s="838"/>
      <c r="S43" s="729"/>
      <c r="T43" s="838"/>
      <c r="U43" s="838">
        <v>3.9</v>
      </c>
      <c r="V43" s="729"/>
      <c r="W43" s="838"/>
      <c r="X43" s="838"/>
      <c r="Y43" s="729"/>
      <c r="Z43" s="838"/>
      <c r="AA43" s="838">
        <v>2.1130300921210501</v>
      </c>
      <c r="AB43" s="729"/>
      <c r="AC43" s="838"/>
      <c r="AD43" s="838"/>
      <c r="AE43" s="730"/>
      <c r="AF43" s="486"/>
      <c r="AG43" s="730"/>
      <c r="AH43" s="730"/>
      <c r="AI43" s="731"/>
      <c r="AJ43" s="731"/>
    </row>
    <row r="44" spans="1:36" s="732" customFormat="1" ht="20.100000000000001" customHeight="1" x14ac:dyDescent="0.3">
      <c r="A44" s="765">
        <v>2017</v>
      </c>
      <c r="B44" s="838"/>
      <c r="C44" s="838"/>
      <c r="D44" s="729"/>
      <c r="E44" s="838"/>
      <c r="F44" s="838">
        <v>5.69</v>
      </c>
      <c r="G44" s="729"/>
      <c r="H44" s="739"/>
      <c r="I44" s="729"/>
      <c r="J44" s="729"/>
      <c r="K44" s="838"/>
      <c r="L44" s="838"/>
      <c r="M44" s="729"/>
      <c r="N44" s="773"/>
      <c r="O44" s="773"/>
      <c r="P44" s="729"/>
      <c r="Q44" s="838"/>
      <c r="R44" s="838"/>
      <c r="S44" s="729"/>
      <c r="T44" s="838"/>
      <c r="U44" s="838">
        <v>4.82</v>
      </c>
      <c r="V44" s="729"/>
      <c r="W44" s="838"/>
      <c r="X44" s="838"/>
      <c r="Y44" s="729"/>
      <c r="Z44" s="838"/>
      <c r="AA44" s="838">
        <v>8.5075958174620503</v>
      </c>
      <c r="AB44" s="729"/>
      <c r="AC44" s="838"/>
      <c r="AD44" s="838"/>
      <c r="AE44" s="730"/>
      <c r="AF44" s="486"/>
      <c r="AG44" s="730"/>
      <c r="AH44" s="730"/>
      <c r="AI44" s="731"/>
      <c r="AJ44" s="731"/>
    </row>
    <row r="45" spans="1:36" s="732" customFormat="1" ht="19.5" customHeight="1" x14ac:dyDescent="0.3">
      <c r="A45" s="765">
        <v>2016</v>
      </c>
      <c r="B45" s="838"/>
      <c r="C45" s="838"/>
      <c r="D45" s="729"/>
      <c r="E45" s="838"/>
      <c r="F45" s="838">
        <v>4.62</v>
      </c>
      <c r="G45" s="729"/>
      <c r="H45" s="739"/>
      <c r="I45" s="729"/>
      <c r="J45" s="729"/>
      <c r="K45" s="838"/>
      <c r="L45" s="838"/>
      <c r="M45" s="729"/>
      <c r="N45" s="773"/>
      <c r="O45" s="773"/>
      <c r="P45" s="729"/>
      <c r="Q45" s="838"/>
      <c r="R45" s="838"/>
      <c r="S45" s="729"/>
      <c r="T45" s="838"/>
      <c r="U45" s="838">
        <v>4.42</v>
      </c>
      <c r="V45" s="729"/>
      <c r="W45" s="838"/>
      <c r="X45" s="838"/>
      <c r="Y45" s="729"/>
      <c r="Z45" s="838"/>
      <c r="AA45" s="838">
        <v>5.23</v>
      </c>
      <c r="AB45" s="729"/>
      <c r="AC45" s="838"/>
      <c r="AD45" s="838"/>
      <c r="AE45" s="730"/>
      <c r="AF45" s="486"/>
      <c r="AG45" s="730"/>
      <c r="AH45" s="730"/>
      <c r="AI45" s="731"/>
      <c r="AJ45" s="731"/>
    </row>
    <row r="46" spans="1:36" ht="19.5" customHeight="1" x14ac:dyDescent="0.3">
      <c r="A46" s="765">
        <v>2015</v>
      </c>
      <c r="B46" s="838"/>
      <c r="C46" s="838"/>
      <c r="D46" s="729"/>
      <c r="E46" s="838"/>
      <c r="F46" s="838">
        <v>4.29</v>
      </c>
      <c r="G46" s="729"/>
      <c r="H46" s="739"/>
      <c r="I46" s="729"/>
      <c r="J46" s="729"/>
      <c r="K46" s="838"/>
      <c r="L46" s="838"/>
      <c r="M46" s="729"/>
      <c r="N46" s="773"/>
      <c r="O46" s="773"/>
      <c r="P46" s="729"/>
      <c r="Q46" s="838"/>
      <c r="R46" s="838"/>
      <c r="S46" s="729"/>
      <c r="T46" s="838"/>
      <c r="U46" s="838">
        <v>3.55</v>
      </c>
      <c r="V46" s="729"/>
      <c r="W46" s="838"/>
      <c r="X46" s="838"/>
      <c r="Y46" s="729"/>
      <c r="Z46" s="838"/>
      <c r="AA46" s="838">
        <v>4.00108762548372</v>
      </c>
      <c r="AB46" s="729"/>
      <c r="AC46" s="838"/>
      <c r="AD46" s="838">
        <v>4.41</v>
      </c>
      <c r="AE46" s="730"/>
      <c r="AF46" s="486"/>
      <c r="AG46" s="730"/>
      <c r="AH46" s="730"/>
      <c r="AJ46" s="527"/>
    </row>
    <row r="47" spans="1:36" s="509" customFormat="1" ht="18.75" x14ac:dyDescent="0.3">
      <c r="A47" s="766" t="s">
        <v>448</v>
      </c>
      <c r="B47" s="838"/>
      <c r="C47" s="838"/>
      <c r="D47" s="730"/>
      <c r="E47" s="838"/>
      <c r="F47" s="838"/>
      <c r="G47" s="730"/>
      <c r="H47" s="735"/>
      <c r="I47" s="730"/>
      <c r="J47" s="730"/>
      <c r="K47" s="838"/>
      <c r="L47" s="838"/>
      <c r="M47" s="730"/>
      <c r="N47" s="773"/>
      <c r="O47" s="773"/>
      <c r="P47" s="730"/>
      <c r="Q47" s="838"/>
      <c r="R47" s="838"/>
      <c r="S47" s="730"/>
      <c r="T47" s="838"/>
      <c r="U47" s="838"/>
      <c r="V47" s="730"/>
      <c r="W47" s="836"/>
      <c r="X47" s="836"/>
      <c r="Y47" s="730"/>
      <c r="Z47" s="836"/>
      <c r="AA47" s="836"/>
      <c r="AB47" s="730"/>
      <c r="AC47" s="838"/>
      <c r="AD47" s="838"/>
      <c r="AE47" s="730"/>
      <c r="AF47" s="486"/>
      <c r="AG47" s="730"/>
      <c r="AH47" s="730"/>
    </row>
    <row r="48" spans="1:36" s="509" customFormat="1" ht="18.75" x14ac:dyDescent="0.3">
      <c r="A48" s="765">
        <v>2019</v>
      </c>
      <c r="B48" s="838"/>
      <c r="C48" s="838">
        <v>4.62</v>
      </c>
      <c r="D48" s="730"/>
      <c r="E48" s="838"/>
      <c r="F48" s="838">
        <v>6.94</v>
      </c>
      <c r="G48" s="730"/>
      <c r="H48" s="735"/>
      <c r="I48" s="730"/>
      <c r="J48" s="730"/>
      <c r="K48" s="838"/>
      <c r="L48" s="838">
        <v>4.72</v>
      </c>
      <c r="M48" s="730"/>
      <c r="N48" s="773"/>
      <c r="O48" s="773"/>
      <c r="P48" s="730"/>
      <c r="Q48" s="838"/>
      <c r="R48" s="838">
        <v>4.0999999999999996</v>
      </c>
      <c r="S48" s="730"/>
      <c r="T48" s="838"/>
      <c r="U48" s="838">
        <v>5.81</v>
      </c>
      <c r="V48" s="730"/>
      <c r="W48" s="836"/>
      <c r="X48" s="836"/>
      <c r="Y48" s="730"/>
      <c r="Z48" s="836"/>
      <c r="AA48" s="836">
        <v>12.781629706371699</v>
      </c>
      <c r="AB48" s="730"/>
      <c r="AC48" s="838"/>
      <c r="AD48" s="838"/>
      <c r="AE48" s="730"/>
      <c r="AF48" s="486"/>
      <c r="AG48" s="730"/>
      <c r="AH48" s="730"/>
    </row>
    <row r="49" spans="1:34" s="509" customFormat="1" ht="18.75" x14ac:dyDescent="0.3">
      <c r="A49" s="765">
        <v>2018</v>
      </c>
      <c r="B49" s="838"/>
      <c r="C49" s="838">
        <v>0.59</v>
      </c>
      <c r="D49" s="730"/>
      <c r="E49" s="838"/>
      <c r="F49" s="838">
        <v>1.55</v>
      </c>
      <c r="G49" s="729"/>
      <c r="H49" s="739"/>
      <c r="I49" s="729"/>
      <c r="J49" s="729"/>
      <c r="K49" s="838"/>
      <c r="L49" s="838">
        <v>4.3</v>
      </c>
      <c r="M49" s="729"/>
      <c r="N49" s="773"/>
      <c r="O49" s="773"/>
      <c r="P49" s="729"/>
      <c r="Q49" s="838"/>
      <c r="R49" s="838">
        <v>3</v>
      </c>
      <c r="S49" s="729"/>
      <c r="T49" s="838"/>
      <c r="U49" s="838">
        <v>3.9</v>
      </c>
      <c r="V49" s="729"/>
      <c r="W49" s="836"/>
      <c r="X49" s="836"/>
      <c r="Y49" s="729"/>
      <c r="Z49" s="836"/>
      <c r="AA49" s="836">
        <v>1.37514717427514</v>
      </c>
      <c r="AB49" s="729"/>
      <c r="AC49" s="838"/>
      <c r="AD49" s="838"/>
      <c r="AE49" s="730"/>
      <c r="AF49" s="486"/>
      <c r="AG49" s="730"/>
      <c r="AH49" s="730"/>
    </row>
    <row r="50" spans="1:34" s="509" customFormat="1" ht="18.75" x14ac:dyDescent="0.3">
      <c r="A50" s="765">
        <v>2017</v>
      </c>
      <c r="B50" s="838"/>
      <c r="C50" s="838">
        <v>4.1500000000000004</v>
      </c>
      <c r="D50" s="730"/>
      <c r="E50" s="838"/>
      <c r="F50" s="838">
        <v>5.43</v>
      </c>
      <c r="G50" s="729"/>
      <c r="H50" s="739"/>
      <c r="I50" s="729"/>
      <c r="J50" s="729"/>
      <c r="K50" s="838"/>
      <c r="L50" s="838">
        <v>4.47</v>
      </c>
      <c r="M50" s="729"/>
      <c r="N50" s="773"/>
      <c r="O50" s="773"/>
      <c r="P50" s="729"/>
      <c r="Q50" s="838"/>
      <c r="R50" s="838">
        <v>5.6</v>
      </c>
      <c r="S50" s="729"/>
      <c r="T50" s="838"/>
      <c r="U50" s="838">
        <v>4.82</v>
      </c>
      <c r="V50" s="729"/>
      <c r="W50" s="836"/>
      <c r="X50" s="836"/>
      <c r="Y50" s="729"/>
      <c r="Z50" s="836"/>
      <c r="AA50" s="836">
        <v>7.7392028099042101</v>
      </c>
      <c r="AB50" s="729"/>
      <c r="AC50" s="838"/>
      <c r="AD50" s="838"/>
      <c r="AE50" s="730"/>
      <c r="AF50" s="486"/>
      <c r="AG50" s="730"/>
      <c r="AH50" s="730"/>
    </row>
    <row r="51" spans="1:34" s="509" customFormat="1" ht="18.75" x14ac:dyDescent="0.3">
      <c r="A51" s="765">
        <v>2016</v>
      </c>
      <c r="B51" s="838"/>
      <c r="C51" s="838">
        <v>4.18</v>
      </c>
      <c r="D51" s="730"/>
      <c r="E51" s="838"/>
      <c r="F51" s="838">
        <v>4.3499999999999996</v>
      </c>
      <c r="G51" s="729"/>
      <c r="H51" s="739"/>
      <c r="I51" s="729"/>
      <c r="J51" s="729"/>
      <c r="K51" s="838"/>
      <c r="L51" s="838">
        <v>4.87</v>
      </c>
      <c r="M51" s="729"/>
      <c r="N51" s="773"/>
      <c r="O51" s="773">
        <v>5.83</v>
      </c>
      <c r="P51" s="729"/>
      <c r="Q51" s="838"/>
      <c r="R51" s="838">
        <v>5.83</v>
      </c>
      <c r="S51" s="729"/>
      <c r="T51" s="838"/>
      <c r="U51" s="838">
        <v>4.42</v>
      </c>
      <c r="V51" s="729"/>
      <c r="W51" s="836"/>
      <c r="X51" s="836"/>
      <c r="Y51" s="729"/>
      <c r="Z51" s="836"/>
      <c r="AA51" s="836">
        <v>4.6399999999999997</v>
      </c>
      <c r="AB51" s="729"/>
      <c r="AC51" s="838"/>
      <c r="AD51" s="838"/>
      <c r="AE51" s="730"/>
      <c r="AF51" s="486"/>
      <c r="AG51" s="730"/>
      <c r="AH51" s="730"/>
    </row>
    <row r="52" spans="1:34" s="509" customFormat="1" ht="18.75" x14ac:dyDescent="0.3">
      <c r="A52" s="765">
        <v>2015</v>
      </c>
      <c r="B52" s="839"/>
      <c r="C52" s="839">
        <v>0.69</v>
      </c>
      <c r="D52" s="743"/>
      <c r="E52" s="839"/>
      <c r="F52" s="839">
        <v>4.34</v>
      </c>
      <c r="G52" s="744"/>
      <c r="H52" s="745"/>
      <c r="I52" s="744"/>
      <c r="J52" s="744"/>
      <c r="K52" s="839"/>
      <c r="L52" s="839">
        <v>5.4189999999999996</v>
      </c>
      <c r="M52" s="744"/>
      <c r="N52" s="949"/>
      <c r="O52" s="949">
        <v>3.95</v>
      </c>
      <c r="P52" s="744"/>
      <c r="Q52" s="839"/>
      <c r="R52" s="839">
        <v>4.7</v>
      </c>
      <c r="S52" s="744"/>
      <c r="T52" s="839"/>
      <c r="U52" s="839">
        <v>3.55</v>
      </c>
      <c r="V52" s="744"/>
      <c r="W52" s="866"/>
      <c r="X52" s="866"/>
      <c r="Y52" s="744"/>
      <c r="Z52" s="866"/>
      <c r="AA52" s="866">
        <v>3.6594227914219499</v>
      </c>
      <c r="AB52" s="744"/>
      <c r="AC52" s="839"/>
      <c r="AD52" s="839">
        <v>4.7699999999999996</v>
      </c>
      <c r="AE52" s="743"/>
      <c r="AF52" s="670"/>
      <c r="AG52" s="743"/>
      <c r="AH52" s="743"/>
    </row>
    <row r="53" spans="1:34" s="509" customFormat="1" ht="18.75" x14ac:dyDescent="0.3">
      <c r="A53" s="767" t="s">
        <v>257</v>
      </c>
      <c r="E53" s="767"/>
      <c r="F53" s="767"/>
      <c r="Q53" s="767"/>
      <c r="R53" s="767"/>
    </row>
    <row r="54" spans="1:34" s="509" customFormat="1" ht="18.75" x14ac:dyDescent="0.3"/>
    <row r="55" spans="1:34" s="509" customFormat="1" ht="18.75" x14ac:dyDescent="0.3"/>
    <row r="56" spans="1:34" s="509" customFormat="1" ht="18.75" x14ac:dyDescent="0.3"/>
    <row r="57" spans="1:34" s="509" customFormat="1" ht="18.75" x14ac:dyDescent="0.3"/>
    <row r="58" spans="1:34" s="509" customFormat="1" ht="18.75" x14ac:dyDescent="0.3"/>
    <row r="59" spans="1:34" s="509" customFormat="1" ht="18.75" x14ac:dyDescent="0.3"/>
  </sheetData>
  <protectedRanges>
    <protectedRange sqref="W10:X10" name="Område1_6_1_1"/>
  </protectedRanges>
  <mergeCells count="30">
    <mergeCell ref="AN6:AP6"/>
    <mergeCell ref="AQ6:AS6"/>
    <mergeCell ref="AT6:AV6"/>
    <mergeCell ref="AW6:AY6"/>
    <mergeCell ref="W6:Y6"/>
    <mergeCell ref="Z6:AB6"/>
    <mergeCell ref="AC6:AE6"/>
    <mergeCell ref="AF6:AH6"/>
    <mergeCell ref="AK6:AM6"/>
    <mergeCell ref="AQ5:AS5"/>
    <mergeCell ref="AT5:AV5"/>
    <mergeCell ref="AW5:AY5"/>
    <mergeCell ref="B6:D6"/>
    <mergeCell ref="E6:G6"/>
    <mergeCell ref="H6:J6"/>
    <mergeCell ref="K6:M6"/>
    <mergeCell ref="N6:P6"/>
    <mergeCell ref="Q6:S6"/>
    <mergeCell ref="T6:V6"/>
    <mergeCell ref="Z5:AB5"/>
    <mergeCell ref="AC5:AE5"/>
    <mergeCell ref="AF5:AH5"/>
    <mergeCell ref="AK5:AM5"/>
    <mergeCell ref="AN5:AP5"/>
    <mergeCell ref="W5:Y5"/>
    <mergeCell ref="B5:D5"/>
    <mergeCell ref="E5:G5"/>
    <mergeCell ref="H5:J5"/>
    <mergeCell ref="K5:M5"/>
    <mergeCell ref="Q5:S5"/>
  </mergeCells>
  <hyperlinks>
    <hyperlink ref="B1" location="Innhold!A1" display="Tilbake" xr:uid="{00000000-0004-0000-2500-000000000000}"/>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4" manualBreakCount="4">
    <brk id="10" min="1" max="72" man="1"/>
    <brk id="19" min="1" max="72" man="1"/>
    <brk id="25" min="1" max="72" man="1"/>
    <brk id="37"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9"/>
  <dimension ref="A2:Q65"/>
  <sheetViews>
    <sheetView showGridLines="0" topLeftCell="B1" zoomScale="90" zoomScaleNormal="90" workbookViewId="0">
      <selection activeCell="C4" sqref="C4"/>
    </sheetView>
  </sheetViews>
  <sheetFormatPr baseColWidth="10" defaultColWidth="11.42578125" defaultRowHeight="12.75" x14ac:dyDescent="0.2"/>
  <cols>
    <col min="1" max="1" width="66.28515625" style="1" customWidth="1"/>
    <col min="2" max="2" width="4.28515625" style="50" customWidth="1"/>
    <col min="3" max="3" width="105.140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30"/>
      <c r="D2" s="330"/>
      <c r="E2" s="330"/>
    </row>
    <row r="3" spans="1:17" x14ac:dyDescent="0.2">
      <c r="A3" s="43" t="s">
        <v>51</v>
      </c>
    </row>
    <row r="4" spans="1:17" x14ac:dyDescent="0.2">
      <c r="C4" s="330"/>
      <c r="D4" s="330"/>
      <c r="E4" s="330"/>
      <c r="F4" s="330"/>
      <c r="G4" s="330"/>
      <c r="H4" s="330"/>
      <c r="I4" s="330"/>
      <c r="J4" s="330"/>
      <c r="K4" s="330"/>
    </row>
    <row r="6" spans="1:17" ht="15.75" x14ac:dyDescent="0.25">
      <c r="C6" s="337" t="s">
        <v>16</v>
      </c>
      <c r="D6" s="3"/>
      <c r="E6" s="337"/>
    </row>
    <row r="7" spans="1:17" ht="18.75" customHeight="1" x14ac:dyDescent="0.2">
      <c r="C7" s="3"/>
      <c r="D7" s="3"/>
      <c r="E7" s="50"/>
    </row>
    <row r="8" spans="1:17" ht="15.75" x14ac:dyDescent="0.25">
      <c r="B8" s="331">
        <v>1</v>
      </c>
      <c r="C8" s="332" t="s">
        <v>354</v>
      </c>
      <c r="E8" s="341"/>
    </row>
    <row r="9" spans="1:17" ht="31.5" x14ac:dyDescent="0.2">
      <c r="B9" s="331">
        <v>2</v>
      </c>
      <c r="C9" s="334" t="s">
        <v>280</v>
      </c>
      <c r="E9" s="8"/>
      <c r="Q9" s="3"/>
    </row>
    <row r="10" spans="1:17" ht="47.25" x14ac:dyDescent="0.2">
      <c r="B10" s="331">
        <v>3</v>
      </c>
      <c r="C10" s="332" t="s">
        <v>281</v>
      </c>
      <c r="E10" s="8"/>
    </row>
    <row r="11" spans="1:17" ht="47.25" x14ac:dyDescent="0.2">
      <c r="B11" s="331">
        <v>4</v>
      </c>
      <c r="C11" s="334" t="s">
        <v>282</v>
      </c>
      <c r="E11" s="8"/>
    </row>
    <row r="12" spans="1:17" ht="31.5" x14ac:dyDescent="0.2">
      <c r="B12" s="331">
        <v>5</v>
      </c>
      <c r="C12" s="332" t="s">
        <v>21</v>
      </c>
      <c r="E12" s="3"/>
    </row>
    <row r="13" spans="1:17" ht="15.75" x14ac:dyDescent="0.2">
      <c r="B13" s="331">
        <v>6</v>
      </c>
      <c r="C13" s="332" t="s">
        <v>355</v>
      </c>
      <c r="E13" s="3"/>
    </row>
    <row r="14" spans="1:17" ht="15.75" x14ac:dyDescent="0.2">
      <c r="B14" s="331">
        <v>7</v>
      </c>
      <c r="C14" s="332" t="s">
        <v>17</v>
      </c>
    </row>
    <row r="15" spans="1:17" ht="18.75" customHeight="1" x14ac:dyDescent="0.2">
      <c r="B15" s="331">
        <v>8</v>
      </c>
      <c r="C15" s="332" t="s">
        <v>18</v>
      </c>
    </row>
    <row r="16" spans="1:17" ht="18.75" customHeight="1" x14ac:dyDescent="0.2">
      <c r="B16" s="331">
        <v>9</v>
      </c>
      <c r="C16" s="332" t="s">
        <v>22</v>
      </c>
    </row>
    <row r="17" spans="2:9" ht="63" x14ac:dyDescent="0.25">
      <c r="B17" s="331">
        <v>10</v>
      </c>
      <c r="C17" s="332" t="s">
        <v>364</v>
      </c>
      <c r="E17" s="337"/>
    </row>
    <row r="18" spans="2:9" ht="15.75" x14ac:dyDescent="0.2">
      <c r="B18" s="331">
        <v>11</v>
      </c>
      <c r="C18" s="332" t="s">
        <v>19</v>
      </c>
      <c r="E18" s="8"/>
    </row>
    <row r="19" spans="2:9" ht="15.75" x14ac:dyDescent="0.2">
      <c r="B19" s="331">
        <v>12</v>
      </c>
      <c r="C19" s="332" t="s">
        <v>284</v>
      </c>
      <c r="E19" s="8"/>
    </row>
    <row r="20" spans="2:9" ht="15.75" x14ac:dyDescent="0.2">
      <c r="B20" s="331">
        <v>13</v>
      </c>
      <c r="C20" s="332" t="s">
        <v>20</v>
      </c>
      <c r="E20" s="3"/>
    </row>
    <row r="21" spans="2:9" ht="47.25" x14ac:dyDescent="0.2">
      <c r="B21" s="331">
        <v>14</v>
      </c>
      <c r="C21" s="332" t="s">
        <v>285</v>
      </c>
      <c r="E21" s="342"/>
    </row>
    <row r="22" spans="2:9" ht="31.5" x14ac:dyDescent="0.2">
      <c r="B22" s="331">
        <v>15</v>
      </c>
      <c r="C22" s="334" t="s">
        <v>343</v>
      </c>
      <c r="E22" s="3"/>
    </row>
    <row r="23" spans="2:9" ht="15.75" x14ac:dyDescent="0.25">
      <c r="B23" s="331">
        <v>16</v>
      </c>
      <c r="C23" s="336" t="s">
        <v>283</v>
      </c>
      <c r="D23" s="335"/>
      <c r="E23" s="330"/>
      <c r="F23" s="335"/>
      <c r="G23" s="2"/>
      <c r="H23" s="2"/>
      <c r="I23" s="2"/>
    </row>
    <row r="24" spans="2:9" ht="18.75" customHeight="1" x14ac:dyDescent="0.25">
      <c r="B24" s="333">
        <v>17</v>
      </c>
      <c r="C24" s="336" t="s">
        <v>286</v>
      </c>
    </row>
    <row r="25" spans="2:9" ht="18.75" customHeight="1" x14ac:dyDescent="0.25">
      <c r="B25" s="333"/>
      <c r="C25" s="339"/>
    </row>
    <row r="26" spans="2:9" ht="18.75" customHeight="1" x14ac:dyDescent="0.25">
      <c r="B26" s="333"/>
      <c r="C26" s="353"/>
    </row>
    <row r="27" spans="2:9" ht="18.75" customHeight="1" x14ac:dyDescent="0.2">
      <c r="C27" s="339"/>
    </row>
    <row r="28" spans="2:9" ht="18.75" customHeight="1" x14ac:dyDescent="0.2">
      <c r="C28" s="339"/>
    </row>
    <row r="29" spans="2:9" ht="18.75" customHeight="1" x14ac:dyDescent="0.2">
      <c r="C29" s="339"/>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40"/>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30"/>
      <c r="E50" s="330"/>
      <c r="F50" s="330"/>
      <c r="G50" s="330"/>
      <c r="H50" s="330"/>
      <c r="I50" s="330"/>
      <c r="J50" s="330"/>
      <c r="K50" s="330"/>
      <c r="L50" s="330"/>
      <c r="M50" s="330"/>
      <c r="N50" s="330"/>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xmlns:xlrd2="http://schemas.microsoft.com/office/spreadsheetml/2017/richdata2" ref="B5:E41">
    <sortCondition ref="B5:B41"/>
  </sortState>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IF110"/>
  <sheetViews>
    <sheetView showGridLines="0" showZeros="0" zoomScale="70" zoomScaleNormal="70" workbookViewId="0">
      <pane ySplit="7" topLeftCell="A8" activePane="bottomLeft" state="frozen"/>
      <selection activeCell="J44" sqref="J44"/>
      <selection pane="bottomLeft" activeCell="A4" sqref="A4"/>
    </sheetView>
  </sheetViews>
  <sheetFormatPr baseColWidth="10" defaultColWidth="11.42578125" defaultRowHeight="12.75" x14ac:dyDescent="0.2"/>
  <cols>
    <col min="1" max="1" width="49" style="87" customWidth="1"/>
    <col min="2" max="3" width="15.7109375" style="87" customWidth="1"/>
    <col min="4" max="4" width="8.7109375" style="87" customWidth="1"/>
    <col min="5" max="5" width="9" style="87" bestFit="1" customWidth="1"/>
    <col min="6" max="6" width="4.7109375" style="87" customWidth="1"/>
    <col min="7" max="7" width="18.42578125" style="87" customWidth="1"/>
    <col min="8" max="8" width="17.85546875" style="87" customWidth="1"/>
    <col min="9" max="9" width="8.7109375" style="87" customWidth="1"/>
    <col min="10" max="10" width="9" style="87" bestFit="1" customWidth="1"/>
    <col min="11" max="11" width="13.42578125" style="87" hidden="1" customWidth="1"/>
    <col min="12" max="12" width="14.85546875" style="188" hidden="1" customWidth="1"/>
    <col min="13" max="13" width="13.85546875" style="188" hidden="1" customWidth="1"/>
    <col min="14" max="15" width="15.7109375" style="188" hidden="1" customWidth="1"/>
    <col min="16" max="16" width="11.42578125" style="87" hidden="1" customWidth="1"/>
    <col min="17" max="19" width="11.42578125" style="87" customWidth="1"/>
    <col min="20" max="16384" width="11.42578125" style="87"/>
  </cols>
  <sheetData>
    <row r="1" spans="1:16" ht="20.25" x14ac:dyDescent="0.3">
      <c r="A1" s="80" t="s">
        <v>79</v>
      </c>
      <c r="B1" s="73" t="s">
        <v>52</v>
      </c>
      <c r="C1" s="74"/>
      <c r="D1" s="74"/>
      <c r="E1" s="74"/>
      <c r="F1" s="74"/>
      <c r="G1" s="74"/>
      <c r="H1" s="74"/>
      <c r="I1" s="74"/>
      <c r="J1" s="74"/>
      <c r="K1" s="74"/>
    </row>
    <row r="2" spans="1:16" ht="20.25" x14ac:dyDescent="0.3">
      <c r="A2" s="80" t="s">
        <v>80</v>
      </c>
      <c r="B2" s="74"/>
      <c r="C2" s="74"/>
      <c r="D2" s="74"/>
      <c r="E2" s="74"/>
      <c r="F2" s="74"/>
      <c r="G2" s="74"/>
      <c r="H2" s="74"/>
      <c r="I2" s="74"/>
      <c r="J2" s="74"/>
      <c r="K2" s="74"/>
    </row>
    <row r="3" spans="1:16" ht="18.75" x14ac:dyDescent="0.3">
      <c r="A3" s="953" t="s">
        <v>81</v>
      </c>
      <c r="B3" s="953"/>
      <c r="C3" s="74"/>
      <c r="D3" s="74"/>
      <c r="E3" s="74"/>
      <c r="F3" s="74"/>
      <c r="G3" s="74"/>
      <c r="H3" s="74"/>
      <c r="I3" s="74"/>
      <c r="J3" s="74"/>
      <c r="K3" s="74"/>
    </row>
    <row r="4" spans="1:16" ht="18.75" x14ac:dyDescent="0.3">
      <c r="A4" s="82" t="s">
        <v>367</v>
      </c>
      <c r="B4" s="83"/>
      <c r="C4" s="84"/>
      <c r="D4" s="84"/>
      <c r="E4" s="85"/>
      <c r="F4" s="86"/>
      <c r="G4" s="83"/>
      <c r="H4" s="84"/>
      <c r="I4" s="84"/>
      <c r="J4" s="85"/>
      <c r="K4" s="112"/>
      <c r="L4" s="211"/>
      <c r="M4" s="212"/>
      <c r="N4" s="213"/>
      <c r="O4" s="212"/>
    </row>
    <row r="5" spans="1:16" ht="22.5" x14ac:dyDescent="0.3">
      <c r="A5" s="88"/>
      <c r="B5" s="954" t="s">
        <v>82</v>
      </c>
      <c r="C5" s="955"/>
      <c r="D5" s="955"/>
      <c r="E5" s="956"/>
      <c r="F5" s="90"/>
      <c r="G5" s="954" t="s">
        <v>481</v>
      </c>
      <c r="H5" s="955"/>
      <c r="I5" s="955"/>
      <c r="J5" s="956"/>
      <c r="K5" s="89"/>
      <c r="L5" s="957" t="s">
        <v>140</v>
      </c>
      <c r="M5" s="952"/>
      <c r="N5" s="951" t="s">
        <v>141</v>
      </c>
      <c r="O5" s="952"/>
    </row>
    <row r="6" spans="1:16" ht="18.75" x14ac:dyDescent="0.3">
      <c r="A6" s="91"/>
      <c r="B6" s="92"/>
      <c r="C6" s="93"/>
      <c r="D6" s="93" t="s">
        <v>83</v>
      </c>
      <c r="E6" s="94" t="s">
        <v>29</v>
      </c>
      <c r="F6" s="95"/>
      <c r="G6" s="92"/>
      <c r="H6" s="93"/>
      <c r="I6" s="93" t="s">
        <v>83</v>
      </c>
      <c r="J6" s="94" t="s">
        <v>29</v>
      </c>
      <c r="K6" s="100"/>
      <c r="L6" s="214"/>
      <c r="M6" s="215"/>
      <c r="N6" s="216"/>
      <c r="O6" s="215"/>
    </row>
    <row r="7" spans="1:16" ht="15.75" x14ac:dyDescent="0.25">
      <c r="A7" s="96" t="s">
        <v>84</v>
      </c>
      <c r="B7" s="97">
        <v>2018</v>
      </c>
      <c r="C7" s="97">
        <v>2019</v>
      </c>
      <c r="D7" s="98" t="s">
        <v>85</v>
      </c>
      <c r="E7" s="99" t="s">
        <v>30</v>
      </c>
      <c r="F7" s="95"/>
      <c r="G7" s="97">
        <v>2018</v>
      </c>
      <c r="H7" s="97">
        <v>2019</v>
      </c>
      <c r="I7" s="98" t="s">
        <v>85</v>
      </c>
      <c r="J7" s="99" t="s">
        <v>30</v>
      </c>
      <c r="K7" s="100"/>
      <c r="L7" s="217">
        <v>2015</v>
      </c>
      <c r="M7" s="218">
        <v>2016</v>
      </c>
      <c r="N7" s="219">
        <v>2015</v>
      </c>
      <c r="O7" s="218">
        <v>2016</v>
      </c>
      <c r="P7" s="87" t="s">
        <v>144</v>
      </c>
    </row>
    <row r="8" spans="1:16" ht="18.75" x14ac:dyDescent="0.3">
      <c r="A8" s="101" t="s">
        <v>0</v>
      </c>
      <c r="B8" s="129"/>
      <c r="C8" s="103"/>
      <c r="D8" s="104"/>
      <c r="E8" s="360"/>
      <c r="F8" s="176"/>
      <c r="G8" s="129"/>
      <c r="H8" s="129"/>
      <c r="I8" s="103"/>
      <c r="J8" s="360"/>
      <c r="K8" s="139"/>
      <c r="L8" s="220" t="s">
        <v>0</v>
      </c>
      <c r="M8" s="221"/>
      <c r="N8" s="222"/>
      <c r="O8" s="221"/>
      <c r="P8" s="87" t="s">
        <v>152</v>
      </c>
    </row>
    <row r="9" spans="1:16" ht="18.75" x14ac:dyDescent="0.3">
      <c r="A9" s="193"/>
      <c r="B9" s="176"/>
      <c r="C9" s="176"/>
      <c r="D9" s="104"/>
      <c r="E9" s="360"/>
      <c r="F9" s="103"/>
      <c r="G9" s="176"/>
      <c r="H9" s="176"/>
      <c r="I9" s="104"/>
      <c r="J9" s="360"/>
      <c r="K9" s="207" t="s">
        <v>148</v>
      </c>
      <c r="L9" s="223" t="e">
        <f t="shared" ref="L9:L30" ca="1" si="0">INDIRECT("'" &amp; $A9 &amp; "'!" &amp; $P$7)</f>
        <v>#REF!</v>
      </c>
      <c r="M9" s="221" t="e">
        <f t="shared" ref="M9:M30" ca="1" si="1">INDIRECT("'" &amp; $A9 &amp; "'!" &amp; $P$8)</f>
        <v>#REF!</v>
      </c>
      <c r="N9" s="223" t="e">
        <f t="shared" ref="N9:N30" ca="1" si="2">INDIRECT("'" &amp; $A9 &amp; "'!" &amp; $P$9)</f>
        <v>#REF!</v>
      </c>
      <c r="O9" s="221" t="e">
        <f t="shared" ref="O9:O30" ca="1" si="3">INDIRECT("'" &amp; $A9 &amp; "'!" &amp; $P$10)</f>
        <v>#REF!</v>
      </c>
      <c r="P9" s="87" t="s">
        <v>156</v>
      </c>
    </row>
    <row r="10" spans="1:16" ht="18.75" x14ac:dyDescent="0.3">
      <c r="A10" s="193" t="s">
        <v>86</v>
      </c>
      <c r="B10" s="176">
        <f>'Danica Pensjonsforsikring'!B7+'Danica Pensjonsforsikring'!B22+'Danica Pensjonsforsikring'!B36+'Danica Pensjonsforsikring'!B47+'Danica Pensjonsforsikring'!B66+'Danica Pensjonsforsikring'!B134</f>
        <v>415883.79300000001</v>
      </c>
      <c r="C10" s="176">
        <f>'Danica Pensjonsforsikring'!C7+'Danica Pensjonsforsikring'!C22+'Danica Pensjonsforsikring'!C36+'Danica Pensjonsforsikring'!C47+'Danica Pensjonsforsikring'!C66+'Danica Pensjonsforsikring'!C134</f>
        <v>421442.94600000005</v>
      </c>
      <c r="D10" s="104">
        <f t="shared" ref="D10:D31" si="4">IF(B10=0, "    ---- ", IF(ABS(ROUND(100/B10*C10-100,1))&lt;999,ROUND(100/B10*C10-100,1),IF(ROUND(100/B10*C10-100,1)&gt;999,999,-999)))</f>
        <v>1.3</v>
      </c>
      <c r="E10" s="360">
        <f t="shared" ref="E10:E30" si="5">100/C$31*C10</f>
        <v>0.6473678223761089</v>
      </c>
      <c r="F10" s="103"/>
      <c r="G10" s="176">
        <f>'Danica Pensjonsforsikring'!B10+'Danica Pensjonsforsikring'!B29+'Danica Pensjonsforsikring'!B37+'Danica Pensjonsforsikring'!B87+'Danica Pensjonsforsikring'!B135</f>
        <v>1144794.7290000001</v>
      </c>
      <c r="H10" s="176">
        <f>'Danica Pensjonsforsikring'!C10+'Danica Pensjonsforsikring'!C29+'Danica Pensjonsforsikring'!C37+'Danica Pensjonsforsikring'!C87+'Danica Pensjonsforsikring'!C135</f>
        <v>1179127.2880000002</v>
      </c>
      <c r="I10" s="104">
        <f t="shared" ref="I10:I31" si="6">IF(G10=0, "    ---- ", IF(ABS(ROUND(100/G10*H10-100,1))&lt;999,ROUND(100/G10*H10-100,1),IF(ROUND(100/G10*H10-100,1)&gt;999,999,-999)))</f>
        <v>3</v>
      </c>
      <c r="J10" s="360">
        <f t="shared" ref="J10:J30" si="7">100/H$31*H10</f>
        <v>0.11225254747168163</v>
      </c>
      <c r="K10" s="208" t="s">
        <v>149</v>
      </c>
      <c r="L10" s="223">
        <f t="shared" ca="1" si="0"/>
        <v>0</v>
      </c>
      <c r="M10" s="221">
        <f t="shared" ca="1" si="1"/>
        <v>0</v>
      </c>
      <c r="N10" s="223">
        <f t="shared" ca="1" si="2"/>
        <v>0</v>
      </c>
      <c r="O10" s="221">
        <f t="shared" ca="1" si="3"/>
        <v>0</v>
      </c>
      <c r="P10" s="87" t="s">
        <v>161</v>
      </c>
    </row>
    <row r="11" spans="1:16" ht="18.75" x14ac:dyDescent="0.3">
      <c r="A11" s="193" t="s">
        <v>87</v>
      </c>
      <c r="B11" s="176">
        <f>'DNB Livsforsikring'!B7+'DNB Livsforsikring'!B22+'DNB Livsforsikring'!B36+'DNB Livsforsikring'!B47+'DNB Livsforsikring'!B66+'DNB Livsforsikring'!B134</f>
        <v>4564526.0001369994</v>
      </c>
      <c r="C11" s="176">
        <f>'DNB Livsforsikring'!C7+'DNB Livsforsikring'!C22+'DNB Livsforsikring'!C36+'DNB Livsforsikring'!C47+'DNB Livsforsikring'!C66+'DNB Livsforsikring'!C134</f>
        <v>4578461</v>
      </c>
      <c r="D11" s="104">
        <f t="shared" si="4"/>
        <v>0.3</v>
      </c>
      <c r="E11" s="360">
        <f t="shared" si="5"/>
        <v>7.0328578412223353</v>
      </c>
      <c r="F11" s="103"/>
      <c r="G11" s="176">
        <f>'DNB Livsforsikring'!B10+'DNB Livsforsikring'!B29+'DNB Livsforsikring'!B37+'DNB Livsforsikring'!B87+'DNB Livsforsikring'!B135</f>
        <v>200300987.28</v>
      </c>
      <c r="H11" s="176">
        <f>'DNB Livsforsikring'!C10+'DNB Livsforsikring'!C29+'DNB Livsforsikring'!C37+'DNB Livsforsikring'!C87+'DNB Livsforsikring'!C135</f>
        <v>198525277</v>
      </c>
      <c r="I11" s="104">
        <f t="shared" si="6"/>
        <v>-0.9</v>
      </c>
      <c r="J11" s="360">
        <f t="shared" si="7"/>
        <v>18.89954401663482</v>
      </c>
      <c r="K11" s="87" t="s">
        <v>142</v>
      </c>
      <c r="L11" s="223">
        <f t="shared" ca="1" si="0"/>
        <v>0</v>
      </c>
      <c r="M11" s="221">
        <f t="shared" ca="1" si="1"/>
        <v>0</v>
      </c>
      <c r="N11" s="223">
        <f t="shared" ca="1" si="2"/>
        <v>0</v>
      </c>
      <c r="O11" s="221">
        <f t="shared" ca="1" si="3"/>
        <v>0</v>
      </c>
    </row>
    <row r="12" spans="1:16" ht="18.75" x14ac:dyDescent="0.3">
      <c r="A12" s="193" t="s">
        <v>88</v>
      </c>
      <c r="B12" s="176">
        <f>'Eika Forsikring AS'!B7+'Eika Forsikring AS'!B22+'Eika Forsikring AS'!B36+'Eika Forsikring AS'!B47+'Eika Forsikring AS'!B66+'Eika Forsikring AS'!B134</f>
        <v>293648</v>
      </c>
      <c r="C12" s="176">
        <f>'Eika Forsikring AS'!C7+'Eika Forsikring AS'!C22+'Eika Forsikring AS'!C36+'Eika Forsikring AS'!C47+'Eika Forsikring AS'!C66+'Eika Forsikring AS'!C134</f>
        <v>323640</v>
      </c>
      <c r="D12" s="104">
        <f t="shared" si="4"/>
        <v>10.199999999999999</v>
      </c>
      <c r="E12" s="360">
        <f t="shared" si="5"/>
        <v>0.49713519711824489</v>
      </c>
      <c r="F12" s="103"/>
      <c r="G12" s="176">
        <f>'Eika Forsikring AS'!B10+'Eika Forsikring AS'!B29+'Eika Forsikring AS'!B37+'Eika Forsikring AS'!B87+'Eika Forsikring AS'!B135</f>
        <v>459894</v>
      </c>
      <c r="H12" s="176">
        <f>'Eika Forsikring AS'!C10+'Eika Forsikring AS'!C29+'Eika Forsikring AS'!C37+'Eika Forsikring AS'!C87+'Eika Forsikring AS'!C135</f>
        <v>503320</v>
      </c>
      <c r="I12" s="104">
        <f t="shared" si="6"/>
        <v>9.4</v>
      </c>
      <c r="J12" s="360">
        <f t="shared" si="7"/>
        <v>4.7915905914855561E-2</v>
      </c>
      <c r="K12" s="87" t="s">
        <v>150</v>
      </c>
      <c r="L12" s="223">
        <f t="shared" ca="1" si="0"/>
        <v>0</v>
      </c>
      <c r="M12" s="221">
        <f t="shared" ca="1" si="1"/>
        <v>0</v>
      </c>
      <c r="N12" s="223">
        <f t="shared" ca="1" si="2"/>
        <v>0</v>
      </c>
      <c r="O12" s="221">
        <f t="shared" ca="1" si="3"/>
        <v>0</v>
      </c>
    </row>
    <row r="13" spans="1:16" ht="18.75" x14ac:dyDescent="0.3">
      <c r="A13" s="193" t="s">
        <v>89</v>
      </c>
      <c r="B13" s="177">
        <f>'Frende Livsforsikring'!B7+'Frende Livsforsikring'!B22+'Frende Livsforsikring'!B36+'Frende Livsforsikring'!B47+'Frende Livsforsikring'!B66+'Frende Livsforsikring'!B134</f>
        <v>461568</v>
      </c>
      <c r="C13" s="177">
        <f>'Frende Livsforsikring'!C7+'Frende Livsforsikring'!C22+'Frende Livsforsikring'!C36+'Frende Livsforsikring'!C47+'Frende Livsforsikring'!C66+'Frende Livsforsikring'!C134</f>
        <v>490047</v>
      </c>
      <c r="D13" s="104">
        <f t="shared" si="4"/>
        <v>6.2</v>
      </c>
      <c r="E13" s="360">
        <f t="shared" si="5"/>
        <v>0.75274877005995722</v>
      </c>
      <c r="F13" s="103"/>
      <c r="G13" s="176">
        <f>'Frende Livsforsikring'!B10+'Frende Livsforsikring'!B29+'Frende Livsforsikring'!B37+'Frende Livsforsikring'!B87+'Frende Livsforsikring'!B135</f>
        <v>771394</v>
      </c>
      <c r="H13" s="176">
        <f>'Frende Livsforsikring'!C10+'Frende Livsforsikring'!C29+'Frende Livsforsikring'!C37+'Frende Livsforsikring'!C87+'Frende Livsforsikring'!C135</f>
        <v>848727</v>
      </c>
      <c r="I13" s="104">
        <f t="shared" si="6"/>
        <v>10</v>
      </c>
      <c r="J13" s="360">
        <f t="shared" si="7"/>
        <v>8.0798543827778777E-2</v>
      </c>
      <c r="K13" s="87" t="s">
        <v>143</v>
      </c>
      <c r="L13" s="223">
        <f t="shared" ca="1" si="0"/>
        <v>0</v>
      </c>
      <c r="M13" s="221">
        <f t="shared" ca="1" si="1"/>
        <v>0</v>
      </c>
      <c r="N13" s="223">
        <f t="shared" ca="1" si="2"/>
        <v>0</v>
      </c>
      <c r="O13" s="221">
        <f t="shared" ca="1" si="3"/>
        <v>0</v>
      </c>
    </row>
    <row r="14" spans="1:16" ht="18.75" x14ac:dyDescent="0.3">
      <c r="A14" s="193" t="s">
        <v>90</v>
      </c>
      <c r="B14" s="176">
        <f>'Frende Skadeforsikring'!B7+'Frende Skadeforsikring'!B22+'Frende Skadeforsikring'!B36+'Frende Skadeforsikring'!B47+'Frende Skadeforsikring'!B66+'Frende Skadeforsikring'!B134</f>
        <v>7955</v>
      </c>
      <c r="C14" s="176">
        <f>'Frende Skadeforsikring'!C7+'Frende Skadeforsikring'!C22+'Frende Skadeforsikring'!C36+'Frende Skadeforsikring'!C47+'Frende Skadeforsikring'!C66+'Frende Skadeforsikring'!C134</f>
        <v>8197</v>
      </c>
      <c r="D14" s="104">
        <f t="shared" si="4"/>
        <v>3</v>
      </c>
      <c r="E14" s="360">
        <f t="shared" si="5"/>
        <v>1.259120384000202E-2</v>
      </c>
      <c r="F14" s="103"/>
      <c r="G14" s="176">
        <f>'Frende Skadeforsikring'!B10+'Frende Skadeforsikring'!B29+'Frende Skadeforsikring'!B37+'Frende Skadeforsikring'!B87+'Frende Skadeforsikring'!B135</f>
        <v>0</v>
      </c>
      <c r="H14" s="176">
        <f>'Frende Skadeforsikring'!C10+'Frende Skadeforsikring'!C29+'Frende Skadeforsikring'!C37+'Frende Skadeforsikring'!C87+'Frende Skadeforsikring'!C135</f>
        <v>0</v>
      </c>
      <c r="I14" s="104"/>
      <c r="J14" s="360">
        <f t="shared" si="7"/>
        <v>0</v>
      </c>
      <c r="K14" s="87" t="s">
        <v>151</v>
      </c>
      <c r="L14" s="223">
        <f t="shared" ca="1" si="0"/>
        <v>0</v>
      </c>
      <c r="M14" s="221">
        <f t="shared" ca="1" si="1"/>
        <v>0</v>
      </c>
      <c r="N14" s="223">
        <f t="shared" ca="1" si="2"/>
        <v>0</v>
      </c>
      <c r="O14" s="221">
        <f t="shared" ca="1" si="3"/>
        <v>0</v>
      </c>
    </row>
    <row r="15" spans="1:16" ht="18.75" x14ac:dyDescent="0.3">
      <c r="A15" s="193" t="s">
        <v>91</v>
      </c>
      <c r="B15" s="176">
        <f>'Gjensidige Forsikring'!B7+'Gjensidige Forsikring'!B22+'Gjensidige Forsikring'!B36+'Gjensidige Forsikring'!B47+'Gjensidige Forsikring'!B66+'Gjensidige Forsikring'!B134</f>
        <v>1560358</v>
      </c>
      <c r="C15" s="176">
        <f>'Gjensidige Forsikring'!C7+'Gjensidige Forsikring'!C22+'Gjensidige Forsikring'!C36+'Gjensidige Forsikring'!C47+'Gjensidige Forsikring'!C66+'Gjensidige Forsikring'!C134</f>
        <v>1559670</v>
      </c>
      <c r="D15" s="104">
        <f t="shared" si="4"/>
        <v>0</v>
      </c>
      <c r="E15" s="360">
        <f t="shared" si="5"/>
        <v>2.3957695367983347</v>
      </c>
      <c r="F15" s="103"/>
      <c r="G15" s="176">
        <f>'Gjensidige Forsikring'!B10+'Gjensidige Forsikring'!B29+'Gjensidige Forsikring'!B37+'Gjensidige Forsikring'!B87+'Gjensidige Forsikring'!B135</f>
        <v>1236175</v>
      </c>
      <c r="H15" s="176">
        <f>'Gjensidige Forsikring'!C10+'Gjensidige Forsikring'!C29+'Gjensidige Forsikring'!C37+'Gjensidige Forsikring'!C87+'Gjensidige Forsikring'!C135</f>
        <v>1122791</v>
      </c>
      <c r="I15" s="104">
        <f t="shared" si="6"/>
        <v>-9.1999999999999993</v>
      </c>
      <c r="J15" s="360">
        <f t="shared" si="7"/>
        <v>0.10688935054845146</v>
      </c>
      <c r="K15" s="87" t="s">
        <v>144</v>
      </c>
      <c r="L15" s="223">
        <f t="shared" ca="1" si="0"/>
        <v>0</v>
      </c>
      <c r="M15" s="221">
        <f t="shared" ca="1" si="1"/>
        <v>0</v>
      </c>
      <c r="N15" s="223">
        <f t="shared" ca="1" si="2"/>
        <v>0</v>
      </c>
      <c r="O15" s="221">
        <f t="shared" ca="1" si="3"/>
        <v>0</v>
      </c>
    </row>
    <row r="16" spans="1:16" ht="18.75" x14ac:dyDescent="0.3">
      <c r="A16" s="193" t="s">
        <v>92</v>
      </c>
      <c r="B16" s="176">
        <f>'Gjensidige Pensjon'!B7+'Gjensidige Pensjon'!B22+'Gjensidige Pensjon'!B36+'Gjensidige Pensjon'!B47+'Gjensidige Pensjon'!B66+'Gjensidige Pensjon'!B134</f>
        <v>591422</v>
      </c>
      <c r="C16" s="176">
        <f>'Gjensidige Pensjon'!C7+'Gjensidige Pensjon'!C22+'Gjensidige Pensjon'!C36+'Gjensidige Pensjon'!C47+'Gjensidige Pensjon'!C66+'Gjensidige Pensjon'!C134</f>
        <v>648034</v>
      </c>
      <c r="D16" s="104">
        <f t="shared" si="4"/>
        <v>9.6</v>
      </c>
      <c r="E16" s="360">
        <f t="shared" si="5"/>
        <v>0.99542859451651444</v>
      </c>
      <c r="F16" s="103"/>
      <c r="G16" s="176">
        <f>'Gjensidige Pensjon'!B10+'Gjensidige Pensjon'!B29+'Gjensidige Pensjon'!B37+'Gjensidige Pensjon'!B87+'Gjensidige Pensjon'!B135</f>
        <v>6586379</v>
      </c>
      <c r="H16" s="176">
        <f>'Gjensidige Pensjon'!C10+'Gjensidige Pensjon'!C29+'Gjensidige Pensjon'!C37+'Gjensidige Pensjon'!C87+'Gjensidige Pensjon'!C135</f>
        <v>7183029</v>
      </c>
      <c r="I16" s="104">
        <f t="shared" si="6"/>
        <v>9.1</v>
      </c>
      <c r="J16" s="360">
        <f t="shared" si="7"/>
        <v>0.68382210472001714</v>
      </c>
      <c r="K16" s="87" t="s">
        <v>152</v>
      </c>
      <c r="L16" s="223">
        <f t="shared" ca="1" si="0"/>
        <v>0</v>
      </c>
      <c r="M16" s="221">
        <f t="shared" ca="1" si="1"/>
        <v>0</v>
      </c>
      <c r="N16" s="223">
        <f t="shared" ca="1" si="2"/>
        <v>0</v>
      </c>
      <c r="O16" s="221">
        <f t="shared" ca="1" si="3"/>
        <v>0</v>
      </c>
    </row>
    <row r="17" spans="1:21" ht="18.75" x14ac:dyDescent="0.3">
      <c r="A17" s="193" t="s">
        <v>93</v>
      </c>
      <c r="B17" s="176">
        <f>'Handelsbanken Liv'!B7+'Handelsbanken Liv'!B22+'Handelsbanken Liv'!B36+'Handelsbanken Liv'!B47+'Handelsbanken Liv'!B66+'Handelsbanken Liv'!B134</f>
        <v>35563</v>
      </c>
      <c r="C17" s="176">
        <f>'Handelsbanken Liv'!C7+'Handelsbanken Liv'!C22+'Handelsbanken Liv'!C36+'Handelsbanken Liv'!C47+'Handelsbanken Liv'!C66+'Handelsbanken Liv'!C134</f>
        <v>35020.773110000002</v>
      </c>
      <c r="D17" s="104">
        <f t="shared" si="4"/>
        <v>-1.5</v>
      </c>
      <c r="E17" s="360">
        <f t="shared" si="5"/>
        <v>5.3794521515489996E-2</v>
      </c>
      <c r="F17" s="103"/>
      <c r="G17" s="176">
        <f>'Handelsbanken Liv'!B10+'Handelsbanken Liv'!B29+'Handelsbanken Liv'!B37+'Handelsbanken Liv'!B87+'Handelsbanken Liv'!B135</f>
        <v>23055</v>
      </c>
      <c r="H17" s="176">
        <f>'Handelsbanken Liv'!C10+'Handelsbanken Liv'!C29+'Handelsbanken Liv'!C37+'Handelsbanken Liv'!C87+'Handelsbanken Liv'!C135</f>
        <v>27038.08164</v>
      </c>
      <c r="I17" s="104">
        <f t="shared" si="6"/>
        <v>17.3</v>
      </c>
      <c r="J17" s="360">
        <f t="shared" si="7"/>
        <v>2.5740168798784541E-3</v>
      </c>
      <c r="K17" s="139"/>
      <c r="L17" s="223">
        <f t="shared" ca="1" si="0"/>
        <v>0</v>
      </c>
      <c r="M17" s="221">
        <f t="shared" ca="1" si="1"/>
        <v>0</v>
      </c>
      <c r="N17" s="223">
        <f t="shared" ca="1" si="2"/>
        <v>0</v>
      </c>
      <c r="O17" s="221">
        <f t="shared" ca="1" si="3"/>
        <v>0</v>
      </c>
    </row>
    <row r="18" spans="1:21" ht="18.75" x14ac:dyDescent="0.3">
      <c r="A18" s="193" t="s">
        <v>94</v>
      </c>
      <c r="B18" s="176">
        <f>'If Skadeforsikring NUF'!B7+'If Skadeforsikring NUF'!B22+'If Skadeforsikring NUF'!B36+'If Skadeforsikring NUF'!B47+'If Skadeforsikring NUF'!B66+'If Skadeforsikring NUF'!B134</f>
        <v>447566</v>
      </c>
      <c r="C18" s="176">
        <f>'If Skadeforsikring NUF'!C7+'If Skadeforsikring NUF'!C22+'If Skadeforsikring NUF'!C36+'If Skadeforsikring NUF'!C47+'If Skadeforsikring NUF'!C66+'If Skadeforsikring NUF'!C134</f>
        <v>472830.55865999998</v>
      </c>
      <c r="D18" s="104">
        <f t="shared" si="4"/>
        <v>5.6</v>
      </c>
      <c r="E18" s="360">
        <f t="shared" si="5"/>
        <v>0.72630303109309402</v>
      </c>
      <c r="F18" s="103"/>
      <c r="G18" s="176">
        <f>'If Skadeforsikring NUF'!B10+'If Skadeforsikring NUF'!B29+'If Skadeforsikring NUF'!B37+'If Skadeforsikring NUF'!B87+'If Skadeforsikring NUF'!B135</f>
        <v>453992</v>
      </c>
      <c r="H18" s="176">
        <f>'If Skadeforsikring NUF'!C10+'If Skadeforsikring NUF'!C29+'If Skadeforsikring NUF'!C37+'If Skadeforsikring NUF'!C87+'If Skadeforsikring NUF'!C135</f>
        <v>512717.34090000001</v>
      </c>
      <c r="I18" s="104">
        <f t="shared" si="6"/>
        <v>12.9</v>
      </c>
      <c r="J18" s="360">
        <f t="shared" si="7"/>
        <v>4.8810529816973938E-2</v>
      </c>
      <c r="K18" s="139"/>
      <c r="L18" s="223">
        <f t="shared" ca="1" si="0"/>
        <v>0</v>
      </c>
      <c r="M18" s="221">
        <f t="shared" ca="1" si="1"/>
        <v>0</v>
      </c>
      <c r="N18" s="223">
        <f t="shared" ca="1" si="2"/>
        <v>0</v>
      </c>
      <c r="O18" s="221">
        <f t="shared" ca="1" si="3"/>
        <v>0</v>
      </c>
    </row>
    <row r="19" spans="1:21" ht="18.75" x14ac:dyDescent="0.3">
      <c r="A19" s="193" t="s">
        <v>63</v>
      </c>
      <c r="B19" s="176">
        <f>KLP!B7+KLP!B22+KLP!B36+KLP!B47+KLP!B66+KLP!B134</f>
        <v>38575507.412819996</v>
      </c>
      <c r="C19" s="176">
        <f>KLP!C7+KLP!C22+KLP!C36+KLP!C47+KLP!C66+KLP!C134</f>
        <v>40071235.120510004</v>
      </c>
      <c r="D19" s="104">
        <f t="shared" si="4"/>
        <v>3.9</v>
      </c>
      <c r="E19" s="360">
        <f t="shared" si="5"/>
        <v>61.552408139927941</v>
      </c>
      <c r="F19" s="103"/>
      <c r="G19" s="176">
        <f>KLP!B10+KLP!B29+KLP!B37+KLP!B87+KLP!B135</f>
        <v>471726467.24905998</v>
      </c>
      <c r="H19" s="176">
        <f>KLP!C10+KLP!C29+KLP!C37+KLP!C87+KLP!C135</f>
        <v>507748922.5025</v>
      </c>
      <c r="I19" s="104">
        <f t="shared" si="6"/>
        <v>7.6</v>
      </c>
      <c r="J19" s="360">
        <f t="shared" si="7"/>
        <v>48.33753794603647</v>
      </c>
      <c r="K19" s="139"/>
      <c r="L19" s="223">
        <f t="shared" ca="1" si="0"/>
        <v>0</v>
      </c>
      <c r="M19" s="221">
        <f t="shared" ca="1" si="1"/>
        <v>0</v>
      </c>
      <c r="N19" s="223">
        <f t="shared" ca="1" si="2"/>
        <v>0</v>
      </c>
      <c r="O19" s="221">
        <f t="shared" ca="1" si="3"/>
        <v>0</v>
      </c>
    </row>
    <row r="20" spans="1:21" ht="18.75" x14ac:dyDescent="0.3">
      <c r="A20" s="108" t="s">
        <v>95</v>
      </c>
      <c r="B20" s="176">
        <f>'KLP Bedriftspensjon AS'!B7+'KLP Bedriftspensjon AS'!B22+'KLP Bedriftspensjon AS'!B36+'KLP Bedriftspensjon AS'!B47+'KLP Bedriftspensjon AS'!B66+'KLP Bedriftspensjon AS'!B134</f>
        <v>89195</v>
      </c>
      <c r="C20" s="176">
        <f>'KLP Bedriftspensjon AS'!C7+'KLP Bedriftspensjon AS'!C22+'KLP Bedriftspensjon AS'!C36+'KLP Bedriftspensjon AS'!C47+'KLP Bedriftspensjon AS'!C66+'KLP Bedriftspensjon AS'!C134</f>
        <v>96824</v>
      </c>
      <c r="D20" s="104">
        <f t="shared" si="4"/>
        <v>8.6</v>
      </c>
      <c r="E20" s="360">
        <f t="shared" si="5"/>
        <v>0.14872889113143289</v>
      </c>
      <c r="F20" s="103"/>
      <c r="G20" s="176">
        <f>'KLP Bedriftspensjon AS'!B10+'KLP Bedriftspensjon AS'!B29+'KLP Bedriftspensjon AS'!B37+'KLP Bedriftspensjon AS'!B87+'KLP Bedriftspensjon AS'!B135</f>
        <v>1675894</v>
      </c>
      <c r="H20" s="176">
        <f>'KLP Bedriftspensjon AS'!C10+'KLP Bedriftspensjon AS'!C29+'KLP Bedriftspensjon AS'!C37+'KLP Bedriftspensjon AS'!C87+'KLP Bedriftspensjon AS'!C135</f>
        <v>1723587</v>
      </c>
      <c r="I20" s="104">
        <f t="shared" si="6"/>
        <v>2.8</v>
      </c>
      <c r="J20" s="360">
        <f t="shared" si="7"/>
        <v>0.16408494104758037</v>
      </c>
      <c r="K20" s="139"/>
      <c r="L20" s="223">
        <f t="shared" ca="1" si="0"/>
        <v>0</v>
      </c>
      <c r="M20" s="221">
        <f t="shared" ca="1" si="1"/>
        <v>0</v>
      </c>
      <c r="N20" s="223">
        <f t="shared" ca="1" si="2"/>
        <v>0</v>
      </c>
      <c r="O20" s="221">
        <f t="shared" ca="1" si="3"/>
        <v>0</v>
      </c>
    </row>
    <row r="21" spans="1:21" ht="18.75" x14ac:dyDescent="0.3">
      <c r="A21" s="108" t="s">
        <v>96</v>
      </c>
      <c r="B21" s="176">
        <f>'KLP Skadeforsikring AS'!B7+'KLP Skadeforsikring AS'!B22+'KLP Skadeforsikring AS'!B36+'KLP Skadeforsikring AS'!B47+'KLP Skadeforsikring AS'!B66+'KLP Skadeforsikring AS'!B134</f>
        <v>134230.552</v>
      </c>
      <c r="C21" s="176">
        <f>'KLP Skadeforsikring AS'!C7+'KLP Skadeforsikring AS'!C22+'KLP Skadeforsikring AS'!C36+'KLP Skadeforsikring AS'!C47+'KLP Skadeforsikring AS'!C66+'KLP Skadeforsikring AS'!C134</f>
        <v>175357</v>
      </c>
      <c r="D21" s="104">
        <f t="shared" si="4"/>
        <v>30.6</v>
      </c>
      <c r="E21" s="360">
        <f t="shared" si="5"/>
        <v>0.26936144098709702</v>
      </c>
      <c r="F21" s="103"/>
      <c r="G21" s="176">
        <f>'KLP Skadeforsikring AS'!B10+'KLP Skadeforsikring AS'!B29+'KLP Skadeforsikring AS'!B37+'KLP Skadeforsikring AS'!B87+'KLP Skadeforsikring AS'!B135</f>
        <v>22247</v>
      </c>
      <c r="H21" s="176">
        <f>'KLP Skadeforsikring AS'!C10+'KLP Skadeforsikring AS'!C29+'KLP Skadeforsikring AS'!C37+'KLP Skadeforsikring AS'!C87+'KLP Skadeforsikring AS'!C135</f>
        <v>40612</v>
      </c>
      <c r="I21" s="104">
        <f t="shared" si="6"/>
        <v>82.6</v>
      </c>
      <c r="J21" s="360">
        <f t="shared" si="7"/>
        <v>3.8662496443894819E-3</v>
      </c>
      <c r="K21" s="139"/>
      <c r="L21" s="223">
        <f t="shared" ca="1" si="0"/>
        <v>0</v>
      </c>
      <c r="M21" s="221">
        <f t="shared" ca="1" si="1"/>
        <v>0</v>
      </c>
      <c r="N21" s="223">
        <f t="shared" ca="1" si="2"/>
        <v>0</v>
      </c>
      <c r="O21" s="221">
        <f t="shared" ca="1" si="3"/>
        <v>0</v>
      </c>
    </row>
    <row r="22" spans="1:21" ht="18.75" x14ac:dyDescent="0.3">
      <c r="A22" s="108" t="s">
        <v>495</v>
      </c>
      <c r="B22" s="176">
        <f>'Landkreditt Forsikring AS'!B7+'Landkreditt Forsikring AS'!B22+'Landkreditt Forsikring AS'!B36+'Landkreditt Forsikring AS'!B47+'Landkreditt Forsikring AS'!B66+'Landkreditt Forsikring AS'!B134</f>
        <v>75514</v>
      </c>
      <c r="C22" s="176">
        <f>'Landkreditt Forsikring AS'!C7+'Landkreditt Forsikring AS'!C22+'Landkreditt Forsikring AS'!C36+'Landkreditt Forsikring AS'!C47+'Landkreditt Forsikring AS'!C66+'Landkreditt Forsikring AS'!C134</f>
        <v>83630</v>
      </c>
      <c r="D22" s="104">
        <f t="shared" si="4"/>
        <v>10.7</v>
      </c>
      <c r="E22" s="360">
        <f t="shared" si="5"/>
        <v>0.1284619223056446</v>
      </c>
      <c r="F22" s="103"/>
      <c r="G22" s="176">
        <f>'Landkreditt Forsikring AS'!B10+'Landkreditt Forsikring AS'!B29+'Landkreditt Forsikring AS'!B37+'Landkreditt Forsikring AS'!B87+'Landkreditt Forsikring AS'!B135</f>
        <v>0</v>
      </c>
      <c r="H22" s="176">
        <f>'Landkreditt Forsikring AS'!C10+'Landkreditt Forsikring AS'!C29+'Landkreditt Forsikring AS'!C37+'Landkreditt Forsikring AS'!C87+'Landkreditt Forsikring AS'!C135</f>
        <v>0</v>
      </c>
      <c r="I22" s="104"/>
      <c r="J22" s="360">
        <f t="shared" si="7"/>
        <v>0</v>
      </c>
      <c r="K22" s="139"/>
      <c r="L22" s="223" t="e">
        <f t="shared" ca="1" si="0"/>
        <v>#REF!</v>
      </c>
      <c r="M22" s="221" t="e">
        <f t="shared" ca="1" si="1"/>
        <v>#REF!</v>
      </c>
      <c r="N22" s="223" t="e">
        <f t="shared" ca="1" si="2"/>
        <v>#REF!</v>
      </c>
      <c r="O22" s="221" t="e">
        <f t="shared" ca="1" si="3"/>
        <v>#REF!</v>
      </c>
    </row>
    <row r="23" spans="1:21" ht="18.75" x14ac:dyDescent="0.3">
      <c r="A23" s="193" t="s">
        <v>496</v>
      </c>
      <c r="B23" s="176">
        <f>Insr!B7+Insr!B22+Insr!B36+Insr!B47+Insr!B66+Insr!B134</f>
        <v>1788</v>
      </c>
      <c r="C23" s="176">
        <f>Insr!C7+Insr!C22+Insr!C36+Insr!C47+Insr!C66+Insr!C134</f>
        <v>17501.08816890161</v>
      </c>
      <c r="D23" s="104">
        <f t="shared" si="4"/>
        <v>878.8</v>
      </c>
      <c r="E23" s="360">
        <f t="shared" si="5"/>
        <v>2.6882977742648268E-2</v>
      </c>
      <c r="F23" s="103"/>
      <c r="G23" s="176">
        <f>Insr!B10+Insr!B29+Insr!B37+Insr!B87+Insr!B135</f>
        <v>0</v>
      </c>
      <c r="H23" s="176">
        <f>Insr!C10+Insr!C29+Insr!C37+Insr!C87+Insr!C135</f>
        <v>6599.8879075415198</v>
      </c>
      <c r="I23" s="104" t="str">
        <f t="shared" si="6"/>
        <v xml:space="preserve">    ---- </v>
      </c>
      <c r="J23" s="360">
        <f t="shared" si="7"/>
        <v>6.2830725587370334E-4</v>
      </c>
      <c r="K23" s="139"/>
      <c r="L23" s="223">
        <f t="shared" ca="1" si="0"/>
        <v>0</v>
      </c>
      <c r="M23" s="221">
        <f t="shared" ca="1" si="1"/>
        <v>0</v>
      </c>
      <c r="N23" s="223">
        <f t="shared" ca="1" si="2"/>
        <v>0</v>
      </c>
      <c r="O23" s="221">
        <f t="shared" ca="1" si="3"/>
        <v>0</v>
      </c>
    </row>
    <row r="24" spans="1:21" ht="18.75" x14ac:dyDescent="0.3">
      <c r="A24" s="108" t="s">
        <v>97</v>
      </c>
      <c r="B24" s="176">
        <f>'Nordea Liv '!B7+'Nordea Liv '!B22+'Nordea Liv '!B36+'Nordea Liv '!B47+'Nordea Liv '!B66+'Nordea Liv '!B134</f>
        <v>1546969.242586259</v>
      </c>
      <c r="C24" s="176">
        <f>'Nordea Liv '!C7+'Nordea Liv '!C22+'Nordea Liv '!C36+'Nordea Liv '!C47+'Nordea Liv '!C66+'Nordea Liv '!C134</f>
        <v>1547946.082636805</v>
      </c>
      <c r="D24" s="104">
        <f t="shared" si="4"/>
        <v>0.1</v>
      </c>
      <c r="E24" s="360">
        <f t="shared" si="5"/>
        <v>2.3777607246325023</v>
      </c>
      <c r="F24" s="103"/>
      <c r="G24" s="177">
        <f>'Nordea Liv '!B10+'Nordea Liv '!B29+'Nordea Liv '!B37+'Nordea Liv '!B87+'Nordea Liv '!B135</f>
        <v>50050246.091799468</v>
      </c>
      <c r="H24" s="177">
        <f>'Nordea Liv '!C10+'Nordea Liv '!C29+'Nordea Liv '!C37+'Nordea Liv '!C87+'Nordea Liv '!C135</f>
        <v>51672210.116469145</v>
      </c>
      <c r="I24" s="104">
        <f t="shared" si="6"/>
        <v>3.2</v>
      </c>
      <c r="J24" s="360">
        <f t="shared" si="7"/>
        <v>4.9191781736338376</v>
      </c>
      <c r="K24" s="139"/>
      <c r="L24" s="223">
        <f t="shared" ca="1" si="0"/>
        <v>0</v>
      </c>
      <c r="M24" s="221">
        <f t="shared" ca="1" si="1"/>
        <v>0</v>
      </c>
      <c r="N24" s="223">
        <f t="shared" ca="1" si="2"/>
        <v>0</v>
      </c>
      <c r="O24" s="221">
        <f t="shared" ca="1" si="3"/>
        <v>0</v>
      </c>
    </row>
    <row r="25" spans="1:21" ht="18.75" x14ac:dyDescent="0.3">
      <c r="A25" s="108" t="s">
        <v>98</v>
      </c>
      <c r="B25" s="176">
        <f>'Oslo Pensjonsforsikring'!B7+'Oslo Pensjonsforsikring'!B22+'Oslo Pensjonsforsikring'!B36+'Oslo Pensjonsforsikring'!B47+'Oslo Pensjonsforsikring'!B66+'Oslo Pensjonsforsikring'!B134</f>
        <v>4832000</v>
      </c>
      <c r="C25" s="176">
        <f>'Oslo Pensjonsforsikring'!C7+'Oslo Pensjonsforsikring'!C22+'Oslo Pensjonsforsikring'!C36+'Oslo Pensjonsforsikring'!C47+'Oslo Pensjonsforsikring'!C66+'Oslo Pensjonsforsikring'!C134</f>
        <v>5181000</v>
      </c>
      <c r="D25" s="104">
        <f t="shared" si="4"/>
        <v>7.2</v>
      </c>
      <c r="E25" s="360">
        <f t="shared" si="5"/>
        <v>7.9584027199036793</v>
      </c>
      <c r="F25" s="103"/>
      <c r="G25" s="176">
        <f>'Oslo Pensjonsforsikring'!B10+'Oslo Pensjonsforsikring'!B29+'Oslo Pensjonsforsikring'!B37+'Oslo Pensjonsforsikring'!B87+'Oslo Pensjonsforsikring'!B135</f>
        <v>74694000</v>
      </c>
      <c r="H25" s="176">
        <f>'Oslo Pensjonsforsikring'!C10+'Oslo Pensjonsforsikring'!C29+'Oslo Pensjonsforsikring'!C37+'Oslo Pensjonsforsikring'!C87+'Oslo Pensjonsforsikring'!C135</f>
        <v>76067254.04129</v>
      </c>
      <c r="I25" s="104">
        <f t="shared" si="6"/>
        <v>1.8</v>
      </c>
      <c r="J25" s="360">
        <f t="shared" si="7"/>
        <v>7.2415786931651196</v>
      </c>
      <c r="K25" s="139"/>
      <c r="L25" s="223">
        <f t="shared" ca="1" si="0"/>
        <v>0</v>
      </c>
      <c r="M25" s="221">
        <f t="shared" ca="1" si="1"/>
        <v>0</v>
      </c>
      <c r="N25" s="223">
        <f t="shared" ca="1" si="2"/>
        <v>0</v>
      </c>
      <c r="O25" s="221">
        <f t="shared" ca="1" si="3"/>
        <v>0</v>
      </c>
    </row>
    <row r="26" spans="1:21" ht="18.75" x14ac:dyDescent="0.3">
      <c r="A26" s="108" t="s">
        <v>450</v>
      </c>
      <c r="B26" s="176">
        <f>'Protector Forsikring'!B7+'Protector Forsikring'!B22+'Protector Forsikring'!B36+'Protector Forsikring'!B47+'Protector Forsikring'!B66+'Protector Forsikring'!B134</f>
        <v>322909.72977305338</v>
      </c>
      <c r="C26" s="176">
        <f>'Protector Forsikring'!C7+'Protector Forsikring'!C22+'Protector Forsikring'!C36+'Protector Forsikring'!C47+'Protector Forsikring'!C66+'Protector Forsikring'!C134</f>
        <v>312787.17492590938</v>
      </c>
      <c r="D26" s="104">
        <f t="shared" si="4"/>
        <v>-3.1</v>
      </c>
      <c r="E26" s="360">
        <f t="shared" si="5"/>
        <v>0.48046444772849745</v>
      </c>
      <c r="F26" s="103"/>
      <c r="G26" s="176">
        <f>'Protector Forsikring'!B10+'Protector Forsikring'!B29+'Protector Forsikring'!B37+'Protector Forsikring'!B87+'Protector Forsikring'!B135</f>
        <v>0</v>
      </c>
      <c r="H26" s="176">
        <f>'Protector Forsikring'!C10+'Protector Forsikring'!C29+'Protector Forsikring'!C37+'Protector Forsikring'!C87+'Protector Forsikring'!C135</f>
        <v>0</v>
      </c>
      <c r="I26" s="104"/>
      <c r="J26" s="360">
        <f t="shared" si="7"/>
        <v>0</v>
      </c>
      <c r="K26" s="139"/>
      <c r="L26" s="223">
        <f t="shared" ca="1" si="0"/>
        <v>0</v>
      </c>
      <c r="M26" s="221">
        <f t="shared" ca="1" si="1"/>
        <v>0</v>
      </c>
      <c r="N26" s="223">
        <f t="shared" ca="1" si="2"/>
        <v>0</v>
      </c>
      <c r="O26" s="221">
        <f t="shared" ca="1" si="3"/>
        <v>0</v>
      </c>
    </row>
    <row r="27" spans="1:21" ht="18.75" x14ac:dyDescent="0.3">
      <c r="A27" s="193" t="s">
        <v>70</v>
      </c>
      <c r="B27" s="176">
        <f>'Sparebank 1'!B7+'Sparebank 1'!B22+'Sparebank 1'!B36+'Sparebank 1'!B47+'Sparebank 1'!B66+'Sparebank 1'!B134</f>
        <v>2769109.2606799998</v>
      </c>
      <c r="C27" s="176">
        <f>'Sparebank 1'!C7+'Sparebank 1'!C22+'Sparebank 1'!C36+'Sparebank 1'!C47+'Sparebank 1'!C66+'Sparebank 1'!C134</f>
        <v>2988164.1674600001</v>
      </c>
      <c r="D27" s="104">
        <f t="shared" si="4"/>
        <v>7.9</v>
      </c>
      <c r="E27" s="360">
        <f t="shared" si="5"/>
        <v>4.5900432035962906</v>
      </c>
      <c r="F27" s="103"/>
      <c r="G27" s="176">
        <f>'Sparebank 1'!B10+'Sparebank 1'!B29+'Sparebank 1'!B37+'Sparebank 1'!B87+'Sparebank 1'!B135</f>
        <v>19767915.11112</v>
      </c>
      <c r="H27" s="176">
        <f>'Sparebank 1'!C10+'Sparebank 1'!C29+'Sparebank 1'!C37+'Sparebank 1'!C87+'Sparebank 1'!C135</f>
        <v>21982930.468389999</v>
      </c>
      <c r="I27" s="104">
        <f t="shared" si="6"/>
        <v>11.2</v>
      </c>
      <c r="J27" s="360">
        <f t="shared" si="7"/>
        <v>2.0927680760871548</v>
      </c>
      <c r="K27" s="139"/>
      <c r="L27" s="223">
        <f t="shared" ca="1" si="0"/>
        <v>0</v>
      </c>
      <c r="M27" s="221">
        <f t="shared" ca="1" si="1"/>
        <v>0</v>
      </c>
      <c r="N27" s="223">
        <f t="shared" ca="1" si="2"/>
        <v>0</v>
      </c>
      <c r="O27" s="221">
        <f t="shared" ca="1" si="3"/>
        <v>0</v>
      </c>
    </row>
    <row r="28" spans="1:21" ht="18.75" x14ac:dyDescent="0.3">
      <c r="A28" s="193" t="s">
        <v>99</v>
      </c>
      <c r="B28" s="176">
        <f>'Storebrand Livsforsikring'!B7+'Storebrand Livsforsikring'!B22+'Storebrand Livsforsikring'!B36+'Storebrand Livsforsikring'!B47+'Storebrand Livsforsikring'!B66+'Storebrand Livsforsikring'!B134</f>
        <v>5505079.2280000001</v>
      </c>
      <c r="C28" s="176">
        <f>'Storebrand Livsforsikring'!C7+'Storebrand Livsforsikring'!C22+'Storebrand Livsforsikring'!C36+'Storebrand Livsforsikring'!C47+'Storebrand Livsforsikring'!C66+'Storebrand Livsforsikring'!C134</f>
        <v>5485806.5</v>
      </c>
      <c r="D28" s="104">
        <f t="shared" si="4"/>
        <v>-0.4</v>
      </c>
      <c r="E28" s="360">
        <f t="shared" si="5"/>
        <v>8.4266082552529014</v>
      </c>
      <c r="F28" s="103"/>
      <c r="G28" s="176">
        <f>'Storebrand Livsforsikring'!B10+'Storebrand Livsforsikring'!B29+'Storebrand Livsforsikring'!B37+'Storebrand Livsforsikring'!B87+'Storebrand Livsforsikring'!B135</f>
        <v>180788161.222</v>
      </c>
      <c r="H28" s="176">
        <f>'Storebrand Livsforsikring'!C10+'Storebrand Livsforsikring'!C29+'Storebrand Livsforsikring'!C37+'Storebrand Livsforsikring'!C87+'Storebrand Livsforsikring'!C135</f>
        <v>181279490.90799999</v>
      </c>
      <c r="I28" s="104">
        <f t="shared" si="6"/>
        <v>0.3</v>
      </c>
      <c r="J28" s="360">
        <f t="shared" si="7"/>
        <v>17.257750597315109</v>
      </c>
      <c r="K28" s="139"/>
      <c r="L28" s="223">
        <f t="shared" ca="1" si="0"/>
        <v>0</v>
      </c>
      <c r="M28" s="221">
        <f t="shared" ca="1" si="1"/>
        <v>0</v>
      </c>
      <c r="N28" s="223">
        <f t="shared" ca="1" si="2"/>
        <v>0</v>
      </c>
      <c r="O28" s="221">
        <f t="shared" ca="1" si="3"/>
        <v>0</v>
      </c>
    </row>
    <row r="29" spans="1:21" ht="18.75" x14ac:dyDescent="0.3">
      <c r="A29" s="193" t="s">
        <v>100</v>
      </c>
      <c r="B29" s="176">
        <f>'Telenor Forsikring'!B7+'Telenor Forsikring'!B22+'Telenor Forsikring'!B36+'Telenor Forsikring'!B47+'Telenor Forsikring'!B66+'Telenor Forsikring'!B134</f>
        <v>22616</v>
      </c>
      <c r="C29" s="176">
        <f>'Telenor Forsikring'!C7+'Telenor Forsikring'!C22+'Telenor Forsikring'!C36+'Telenor Forsikring'!C47+'Telenor Forsikring'!C66+'Telenor Forsikring'!C134</f>
        <v>1989</v>
      </c>
      <c r="D29" s="104">
        <f t="shared" si="4"/>
        <v>-91.2</v>
      </c>
      <c r="E29" s="360">
        <f t="shared" si="5"/>
        <v>3.055252462823474E-3</v>
      </c>
      <c r="F29" s="103"/>
      <c r="G29" s="176">
        <f>'Telenor Forsikring'!B10+'Telenor Forsikring'!B29+'Telenor Forsikring'!B37+'Telenor Forsikring'!B87+'Telenor Forsikring'!B135</f>
        <v>0</v>
      </c>
      <c r="H29" s="176">
        <f>'Telenor Forsikring'!C10+'Telenor Forsikring'!C29+'Telenor Forsikring'!C37+'Telenor Forsikring'!C87+'Telenor Forsikring'!C135</f>
        <v>0</v>
      </c>
      <c r="I29" s="104"/>
      <c r="J29" s="360">
        <f t="shared" si="7"/>
        <v>0</v>
      </c>
      <c r="K29" s="207"/>
      <c r="L29" s="223">
        <f t="shared" ca="1" si="0"/>
        <v>0</v>
      </c>
      <c r="M29" s="221">
        <f t="shared" ca="1" si="1"/>
        <v>0</v>
      </c>
      <c r="N29" s="223">
        <f t="shared" ca="1" si="2"/>
        <v>0</v>
      </c>
      <c r="O29" s="221">
        <f t="shared" ca="1" si="3"/>
        <v>0</v>
      </c>
    </row>
    <row r="30" spans="1:21" ht="18.75" x14ac:dyDescent="0.3">
      <c r="A30" s="193" t="s">
        <v>101</v>
      </c>
      <c r="B30" s="176">
        <f>'Tryg Forsikring'!B7+'Tryg Forsikring'!B22+'Tryg Forsikring'!B36+'Tryg Forsikring'!B47+'Tryg Forsikring'!B66+'Tryg Forsikring'!B134</f>
        <v>525057.89627999999</v>
      </c>
      <c r="C30" s="176">
        <f>'Tryg Forsikring'!C7+'Tryg Forsikring'!C22+'Tryg Forsikring'!C36+'Tryg Forsikring'!C47+'Tryg Forsikring'!C66+'Tryg Forsikring'!C134</f>
        <v>601419.67099999997</v>
      </c>
      <c r="D30" s="104">
        <f t="shared" si="4"/>
        <v>14.5</v>
      </c>
      <c r="E30" s="360">
        <f t="shared" si="5"/>
        <v>0.92382550578845313</v>
      </c>
      <c r="F30" s="103"/>
      <c r="G30" s="176">
        <f>'Tryg Forsikring'!B10+'Tryg Forsikring'!B29+'Tryg Forsikring'!B37+'Tryg Forsikring'!B87+'Tryg Forsikring'!B135</f>
        <v>0</v>
      </c>
      <c r="H30" s="176">
        <f>'Tryg Forsikring'!C10+'Tryg Forsikring'!C29+'Tryg Forsikring'!C37+'Tryg Forsikring'!C87+'Tryg Forsikring'!C135</f>
        <v>0</v>
      </c>
      <c r="I30" s="104"/>
      <c r="J30" s="360">
        <f t="shared" si="7"/>
        <v>0</v>
      </c>
      <c r="K30" s="207"/>
      <c r="L30" s="223">
        <f t="shared" ca="1" si="0"/>
        <v>0</v>
      </c>
      <c r="M30" s="221">
        <f t="shared" ca="1" si="1"/>
        <v>0</v>
      </c>
      <c r="N30" s="223">
        <f t="shared" ca="1" si="2"/>
        <v>0</v>
      </c>
      <c r="O30" s="221">
        <f t="shared" ca="1" si="3"/>
        <v>0</v>
      </c>
    </row>
    <row r="31" spans="1:21" s="111" customFormat="1" ht="18.75" x14ac:dyDescent="0.3">
      <c r="A31" s="137" t="s">
        <v>102</v>
      </c>
      <c r="B31" s="178">
        <f>SUM(B9:B30)</f>
        <v>62778466.115276307</v>
      </c>
      <c r="C31" s="242">
        <f>SUM(C9:C30)</f>
        <v>65101003.082471624</v>
      </c>
      <c r="D31" s="104">
        <f t="shared" si="4"/>
        <v>3.7</v>
      </c>
      <c r="E31" s="361">
        <f>SUM(E9:E30)</f>
        <v>100</v>
      </c>
      <c r="F31" s="109"/>
      <c r="G31" s="178">
        <f>SUM(G9:G30)</f>
        <v>1009701601.6829795</v>
      </c>
      <c r="H31" s="178">
        <f>SUM(H9:H30)</f>
        <v>1050423633.6350967</v>
      </c>
      <c r="I31" s="104">
        <f t="shared" si="6"/>
        <v>4</v>
      </c>
      <c r="J31" s="361">
        <f>SUM(J9:J30)</f>
        <v>100</v>
      </c>
      <c r="K31" s="209"/>
      <c r="L31" s="223" t="e">
        <f ca="1">SUM(L9:L30)</f>
        <v>#REF!</v>
      </c>
      <c r="M31" s="221" t="e">
        <f ca="1">SUM(M9:M30)</f>
        <v>#REF!</v>
      </c>
      <c r="N31" s="223" t="e">
        <f ca="1">SUM(N9:N30)</f>
        <v>#REF!</v>
      </c>
      <c r="O31" s="221" t="e">
        <f ca="1">SUM(O9:O30)</f>
        <v>#REF!</v>
      </c>
      <c r="U31" s="205"/>
    </row>
    <row r="32" spans="1:21" ht="18.75" x14ac:dyDescent="0.3">
      <c r="A32" s="86"/>
      <c r="B32" s="176"/>
      <c r="C32" s="139"/>
      <c r="D32" s="104"/>
      <c r="E32" s="360"/>
      <c r="F32" s="103"/>
      <c r="G32" s="176"/>
      <c r="H32" s="103"/>
      <c r="I32" s="104"/>
      <c r="J32" s="360"/>
      <c r="K32" s="207"/>
      <c r="L32" s="220" t="s">
        <v>1</v>
      </c>
      <c r="M32" s="221"/>
      <c r="N32" s="223"/>
      <c r="O32" s="221"/>
    </row>
    <row r="33" spans="1:20" ht="18.75" x14ac:dyDescent="0.3">
      <c r="A33" s="101" t="s">
        <v>1</v>
      </c>
      <c r="B33" s="176"/>
      <c r="C33" s="139"/>
      <c r="D33" s="104"/>
      <c r="E33" s="360"/>
      <c r="F33" s="103"/>
      <c r="G33" s="176"/>
      <c r="H33" s="103"/>
      <c r="I33" s="104"/>
      <c r="J33" s="360"/>
      <c r="K33" s="207"/>
      <c r="L33" s="224">
        <v>2015</v>
      </c>
      <c r="M33" s="225">
        <v>2016</v>
      </c>
      <c r="N33" s="224">
        <v>2015</v>
      </c>
      <c r="O33" s="225">
        <v>2016</v>
      </c>
      <c r="P33" s="87" t="s">
        <v>157</v>
      </c>
    </row>
    <row r="34" spans="1:20" ht="18.75" x14ac:dyDescent="0.3">
      <c r="A34" s="107" t="s">
        <v>86</v>
      </c>
      <c r="B34" s="130">
        <f>'Danica Pensjonsforsikring'!F7+'Danica Pensjonsforsikring'!F22+'Danica Pensjonsforsikring'!F66+'Danica Pensjonsforsikring'!F134</f>
        <v>1858117.182</v>
      </c>
      <c r="C34" s="130">
        <f>'Danica Pensjonsforsikring'!G7+'Danica Pensjonsforsikring'!G22+'Danica Pensjonsforsikring'!G66+'Danica Pensjonsforsikring'!G134</f>
        <v>1996554.923</v>
      </c>
      <c r="D34" s="104">
        <f t="shared" ref="D34:D44" si="8">IF(B34=0, "    ---- ", IF(ABS(ROUND(100/B34*C34-100,1))&lt;999,ROUND(100/B34*C34-100,1),IF(ROUND(100/B34*C34-100,1)&gt;999,999,-999)))</f>
        <v>7.5</v>
      </c>
      <c r="E34" s="360">
        <f t="shared" ref="E34:E43" si="9">100/C$44*C34</f>
        <v>4.5159467424340383</v>
      </c>
      <c r="F34" s="103"/>
      <c r="G34" s="176">
        <f>'Danica Pensjonsforsikring'!F10+'Danica Pensjonsforsikring'!F29+'Danica Pensjonsforsikring'!F87+'Danica Pensjonsforsikring'!F135</f>
        <v>16857045.754999999</v>
      </c>
      <c r="H34" s="176">
        <f>'Danica Pensjonsforsikring'!G10+'Danica Pensjonsforsikring'!G29+'Danica Pensjonsforsikring'!G87+'Danica Pensjonsforsikring'!G135</f>
        <v>20732864.511</v>
      </c>
      <c r="I34" s="104">
        <f t="shared" ref="I34:I44" si="10">IF(G34=0, "    ---- ", IF(ABS(ROUND(100/G34*H34-100,1))&lt;999,ROUND(100/G34*H34-100,1),IF(ROUND(100/G34*H34-100,1)&gt;999,999,-999)))</f>
        <v>23</v>
      </c>
      <c r="J34" s="360">
        <f t="shared" ref="J34:J43" si="11">100/H$44*H34</f>
        <v>5.2807898754166569</v>
      </c>
      <c r="K34" s="207" t="s">
        <v>145</v>
      </c>
      <c r="L34" s="223">
        <f t="shared" ref="L34:L43" ca="1" si="12">INDIRECT("'" &amp; $A34 &amp; "'!" &amp; $P$33)</f>
        <v>0</v>
      </c>
      <c r="M34" s="221">
        <f t="shared" ref="M34:M43" ca="1" si="13">INDIRECT("'" &amp; $A34 &amp; "'!" &amp; $P$34)</f>
        <v>0</v>
      </c>
      <c r="N34" s="223">
        <f t="shared" ref="N34:N43" ca="1" si="14">INDIRECT("'" &amp; $A34 &amp; "'!" &amp; $P$35)</f>
        <v>0</v>
      </c>
      <c r="O34" s="221">
        <f t="shared" ref="O34:O43" ca="1" si="15">INDIRECT("'"&amp;$A34&amp;"'!"&amp;$P$36)</f>
        <v>0</v>
      </c>
      <c r="P34" s="87" t="s">
        <v>159</v>
      </c>
    </row>
    <row r="35" spans="1:20" ht="18.75" x14ac:dyDescent="0.3">
      <c r="A35" s="86" t="s">
        <v>87</v>
      </c>
      <c r="B35" s="130">
        <f>'DNB Livsforsikring'!F7+'DNB Livsforsikring'!F22+'DNB Livsforsikring'!F66+'DNB Livsforsikring'!F134</f>
        <v>8751380.8939999994</v>
      </c>
      <c r="C35" s="130">
        <f>'DNB Livsforsikring'!G7+'DNB Livsforsikring'!G22+'DNB Livsforsikring'!G66+'DNB Livsforsikring'!G134</f>
        <v>9947581.5</v>
      </c>
      <c r="D35" s="104">
        <f t="shared" si="8"/>
        <v>13.7</v>
      </c>
      <c r="E35" s="360">
        <f t="shared" si="9"/>
        <v>22.500131477736517</v>
      </c>
      <c r="F35" s="103"/>
      <c r="G35" s="176">
        <f>'DNB Livsforsikring'!F10+'DNB Livsforsikring'!F29+'DNB Livsforsikring'!F87+'DNB Livsforsikring'!F135</f>
        <v>77241342.397</v>
      </c>
      <c r="H35" s="176">
        <f>'DNB Livsforsikring'!G10+'DNB Livsforsikring'!G29+'DNB Livsforsikring'!G87+'DNB Livsforsikring'!G135</f>
        <v>98943003.869000003</v>
      </c>
      <c r="I35" s="104">
        <f t="shared" si="10"/>
        <v>28.1</v>
      </c>
      <c r="J35" s="360">
        <f t="shared" si="11"/>
        <v>25.201400066908793</v>
      </c>
      <c r="K35" s="87" t="s">
        <v>153</v>
      </c>
      <c r="L35" s="223">
        <f t="shared" ca="1" si="12"/>
        <v>0</v>
      </c>
      <c r="M35" s="221">
        <f t="shared" ca="1" si="13"/>
        <v>0</v>
      </c>
      <c r="N35" s="223">
        <f t="shared" ca="1" si="14"/>
        <v>0</v>
      </c>
      <c r="O35" s="221">
        <f t="shared" ca="1" si="15"/>
        <v>0</v>
      </c>
      <c r="P35" s="87" t="s">
        <v>158</v>
      </c>
    </row>
    <row r="36" spans="1:20" ht="18.75" x14ac:dyDescent="0.3">
      <c r="A36" s="107" t="s">
        <v>89</v>
      </c>
      <c r="B36" s="130">
        <f>'Frende Livsforsikring'!F7+'Frende Livsforsikring'!F22+'Frende Livsforsikring'!F66+'Frende Livsforsikring'!F134</f>
        <v>383502.5</v>
      </c>
      <c r="C36" s="130">
        <f>'Frende Livsforsikring'!G7+'Frende Livsforsikring'!G22+'Frende Livsforsikring'!G66+'Frende Livsforsikring'!G134</f>
        <v>423019</v>
      </c>
      <c r="D36" s="104">
        <f t="shared" si="8"/>
        <v>10.3</v>
      </c>
      <c r="E36" s="360">
        <f t="shared" si="9"/>
        <v>0.95681378610274503</v>
      </c>
      <c r="F36" s="103"/>
      <c r="G36" s="176">
        <f>'Frende Livsforsikring'!F10+'Frende Livsforsikring'!F29+'Frende Livsforsikring'!F87+'Frende Livsforsikring'!F135</f>
        <v>3327175.3450000002</v>
      </c>
      <c r="H36" s="176">
        <f>'Frende Livsforsikring'!G10+'Frende Livsforsikring'!G29+'Frende Livsforsikring'!G87+'Frende Livsforsikring'!G135</f>
        <v>4266127</v>
      </c>
      <c r="I36" s="104">
        <f t="shared" si="10"/>
        <v>28.2</v>
      </c>
      <c r="J36" s="360">
        <f t="shared" si="11"/>
        <v>1.0866091492996028</v>
      </c>
      <c r="K36" s="87" t="s">
        <v>146</v>
      </c>
      <c r="L36" s="223">
        <f t="shared" ca="1" si="12"/>
        <v>0</v>
      </c>
      <c r="M36" s="221">
        <f t="shared" ca="1" si="13"/>
        <v>0</v>
      </c>
      <c r="N36" s="223">
        <f t="shared" ca="1" si="14"/>
        <v>0</v>
      </c>
      <c r="O36" s="221">
        <f t="shared" ca="1" si="15"/>
        <v>0</v>
      </c>
      <c r="P36" s="87" t="s">
        <v>160</v>
      </c>
    </row>
    <row r="37" spans="1:20" ht="18.75" x14ac:dyDescent="0.3">
      <c r="A37" s="107" t="s">
        <v>92</v>
      </c>
      <c r="B37" s="130">
        <f>'Gjensidige Pensjon'!F7+'Gjensidige Pensjon'!F22+'Gjensidige Pensjon'!F66+'Gjensidige Pensjon'!F134</f>
        <v>2849928</v>
      </c>
      <c r="C37" s="130">
        <f>'Gjensidige Pensjon'!G7+'Gjensidige Pensjon'!G22+'Gjensidige Pensjon'!G66+'Gjensidige Pensjon'!G134</f>
        <v>3290851</v>
      </c>
      <c r="D37" s="104">
        <f t="shared" si="8"/>
        <v>15.5</v>
      </c>
      <c r="E37" s="360">
        <f t="shared" si="9"/>
        <v>7.4434755999376021</v>
      </c>
      <c r="F37" s="103"/>
      <c r="G37" s="176">
        <f>'Gjensidige Pensjon'!F10+'Gjensidige Pensjon'!F29+'Gjensidige Pensjon'!F87+'Gjensidige Pensjon'!F135</f>
        <v>24101780</v>
      </c>
      <c r="H37" s="176">
        <f>'Gjensidige Pensjon'!G10+'Gjensidige Pensjon'!G29+'Gjensidige Pensjon'!G87+'Gjensidige Pensjon'!G135</f>
        <v>30130866</v>
      </c>
      <c r="I37" s="104">
        <f t="shared" si="10"/>
        <v>25</v>
      </c>
      <c r="J37" s="360">
        <f t="shared" si="11"/>
        <v>7.6745194580284002</v>
      </c>
      <c r="K37" s="87" t="s">
        <v>154</v>
      </c>
      <c r="L37" s="223">
        <f t="shared" ca="1" si="12"/>
        <v>0</v>
      </c>
      <c r="M37" s="221">
        <f t="shared" ca="1" si="13"/>
        <v>0</v>
      </c>
      <c r="N37" s="223">
        <f t="shared" ca="1" si="14"/>
        <v>0</v>
      </c>
      <c r="O37" s="221">
        <f t="shared" ca="1" si="15"/>
        <v>0</v>
      </c>
    </row>
    <row r="38" spans="1:20" ht="18.75" x14ac:dyDescent="0.3">
      <c r="A38" s="107" t="s">
        <v>63</v>
      </c>
      <c r="B38" s="130">
        <f>KLP!F7+KLP!F22+KLP!F66+KLP!F134</f>
        <v>148957.79199999999</v>
      </c>
      <c r="C38" s="130">
        <f>KLP!G7+KLP!G22+KLP!G66+KLP!G134</f>
        <v>152808.77100000001</v>
      </c>
      <c r="D38" s="104">
        <f t="shared" si="8"/>
        <v>2.6</v>
      </c>
      <c r="E38" s="360">
        <f t="shared" si="9"/>
        <v>0.34563350282190008</v>
      </c>
      <c r="F38" s="103"/>
      <c r="G38" s="176">
        <f>KLP!F10+KLP!F29+KLP!F87+KLP!F135</f>
        <v>2418695.24015</v>
      </c>
      <c r="H38" s="176">
        <f>KLP!G10+KLP!G29+KLP!G87+KLP!G135</f>
        <v>2703759.0266499999</v>
      </c>
      <c r="I38" s="104">
        <f t="shared" si="10"/>
        <v>11.8</v>
      </c>
      <c r="J38" s="360">
        <f t="shared" si="11"/>
        <v>0.6886642839885635</v>
      </c>
      <c r="K38" s="87" t="s">
        <v>147</v>
      </c>
      <c r="L38" s="223">
        <f t="shared" ca="1" si="12"/>
        <v>0</v>
      </c>
      <c r="M38" s="221">
        <f t="shared" ca="1" si="13"/>
        <v>0</v>
      </c>
      <c r="N38" s="223">
        <f t="shared" ca="1" si="14"/>
        <v>0</v>
      </c>
      <c r="O38" s="221">
        <f t="shared" ca="1" si="15"/>
        <v>0</v>
      </c>
    </row>
    <row r="39" spans="1:20" ht="18.75" x14ac:dyDescent="0.3">
      <c r="A39" s="107" t="s">
        <v>95</v>
      </c>
      <c r="B39" s="130">
        <f>'KLP Bedriftspensjon AS'!F7+'KLP Bedriftspensjon AS'!F22+'KLP Bedriftspensjon AS'!F66+'KLP Bedriftspensjon AS'!F134</f>
        <v>432767</v>
      </c>
      <c r="C39" s="130">
        <f>'KLP Bedriftspensjon AS'!G7+'KLP Bedriftspensjon AS'!G22+'KLP Bedriftspensjon AS'!G66+'KLP Bedriftspensjon AS'!G134</f>
        <v>542528</v>
      </c>
      <c r="D39" s="104">
        <f t="shared" si="8"/>
        <v>25.4</v>
      </c>
      <c r="E39" s="360">
        <f t="shared" si="9"/>
        <v>1.2271275515916544</v>
      </c>
      <c r="F39" s="103"/>
      <c r="G39" s="176">
        <f>'KLP Bedriftspensjon AS'!F10+'KLP Bedriftspensjon AS'!F29+'KLP Bedriftspensjon AS'!F87+'KLP Bedriftspensjon AS'!F135</f>
        <v>3376787</v>
      </c>
      <c r="H39" s="176">
        <f>'KLP Bedriftspensjon AS'!G10+'KLP Bedriftspensjon AS'!G29+'KLP Bedriftspensjon AS'!G87+'KLP Bedriftspensjon AS'!G135</f>
        <v>4891857</v>
      </c>
      <c r="I39" s="104">
        <f t="shared" si="10"/>
        <v>44.9</v>
      </c>
      <c r="J39" s="360">
        <f t="shared" si="11"/>
        <v>1.2459864821805133</v>
      </c>
      <c r="K39" s="87" t="s">
        <v>155</v>
      </c>
      <c r="L39" s="223">
        <f t="shared" ca="1" si="12"/>
        <v>0</v>
      </c>
      <c r="M39" s="221">
        <f t="shared" ca="1" si="13"/>
        <v>0</v>
      </c>
      <c r="N39" s="223">
        <f t="shared" ca="1" si="14"/>
        <v>0</v>
      </c>
      <c r="O39" s="221">
        <f t="shared" ca="1" si="15"/>
        <v>0</v>
      </c>
    </row>
    <row r="40" spans="1:20" ht="18.75" x14ac:dyDescent="0.3">
      <c r="A40" s="107" t="s">
        <v>97</v>
      </c>
      <c r="B40" s="130">
        <f>'Nordea Liv '!F7+'Nordea Liv '!F22+'Nordea Liv '!F66+'Nordea Liv '!F134</f>
        <v>8182157.7377977194</v>
      </c>
      <c r="C40" s="130">
        <f>'Nordea Liv '!G7+'Nordea Liv '!G22+'Nordea Liv '!G66+'Nordea Liv '!G134</f>
        <v>12142064.528580001</v>
      </c>
      <c r="D40" s="104">
        <f t="shared" si="8"/>
        <v>48.4</v>
      </c>
      <c r="E40" s="360">
        <f t="shared" si="9"/>
        <v>27.463765771027948</v>
      </c>
      <c r="F40" s="103"/>
      <c r="G40" s="176">
        <f>'Nordea Liv '!F10+'Nordea Liv '!F29+'Nordea Liv '!F87+'Nordea Liv '!F135</f>
        <v>59037750.000000045</v>
      </c>
      <c r="H40" s="176">
        <f>'Nordea Liv '!G10+'Nordea Liv '!G29+'Nordea Liv '!G87+'Nordea Liv '!G135</f>
        <v>77977130</v>
      </c>
      <c r="I40" s="104">
        <f t="shared" si="10"/>
        <v>32.1</v>
      </c>
      <c r="J40" s="360">
        <f t="shared" si="11"/>
        <v>19.861261255026992</v>
      </c>
      <c r="K40" s="207"/>
      <c r="L40" s="223">
        <f t="shared" ca="1" si="12"/>
        <v>0</v>
      </c>
      <c r="M40" s="221">
        <f t="shared" ca="1" si="13"/>
        <v>0</v>
      </c>
      <c r="N40" s="223">
        <f t="shared" ca="1" si="14"/>
        <v>0</v>
      </c>
      <c r="O40" s="221">
        <f t="shared" ca="1" si="15"/>
        <v>0</v>
      </c>
    </row>
    <row r="41" spans="1:20" ht="18.75" x14ac:dyDescent="0.3">
      <c r="A41" s="107" t="s">
        <v>74</v>
      </c>
      <c r="B41" s="130">
        <f>'SHB Liv'!F7+'SHB Liv'!F22+'SHB Liv'!F66+'SHB Liv'!F134</f>
        <v>153887</v>
      </c>
      <c r="C41" s="130">
        <f>'SHB Liv'!G7+'SHB Liv'!G22+'SHB Liv'!G66+'SHB Liv'!G134</f>
        <v>145834.70800000001</v>
      </c>
      <c r="D41" s="104">
        <f t="shared" si="8"/>
        <v>-5.2</v>
      </c>
      <c r="E41" s="360">
        <f t="shared" si="9"/>
        <v>0.32985908223192878</v>
      </c>
      <c r="F41" s="103"/>
      <c r="G41" s="176">
        <f>'SHB Liv'!F10+'SHB Liv'!F29+'SHB Liv'!F87+'SHB Liv'!F135</f>
        <v>2076510</v>
      </c>
      <c r="H41" s="176">
        <f>'SHB Liv'!G10+'SHB Liv'!G29+'SHB Liv'!G87+'SHB Liv'!G135</f>
        <v>2541186</v>
      </c>
      <c r="I41" s="104">
        <f t="shared" si="10"/>
        <v>22.4</v>
      </c>
      <c r="J41" s="360">
        <f t="shared" si="11"/>
        <v>0.6472559203399384</v>
      </c>
      <c r="K41" s="207"/>
      <c r="L41" s="223">
        <f t="shared" ca="1" si="12"/>
        <v>0</v>
      </c>
      <c r="M41" s="221">
        <f t="shared" ca="1" si="13"/>
        <v>0</v>
      </c>
      <c r="N41" s="223">
        <f t="shared" ca="1" si="14"/>
        <v>0</v>
      </c>
      <c r="O41" s="221">
        <f t="shared" ca="1" si="15"/>
        <v>0</v>
      </c>
    </row>
    <row r="42" spans="1:20" ht="18.75" x14ac:dyDescent="0.3">
      <c r="A42" s="86" t="s">
        <v>70</v>
      </c>
      <c r="B42" s="130">
        <f>'Sparebank 1'!F7+'Sparebank 1'!F22+'Sparebank 1'!F66+'Sparebank 1'!F134</f>
        <v>3902966.4111699997</v>
      </c>
      <c r="C42" s="130">
        <f>'Sparebank 1'!G7+'Sparebank 1'!G22+'Sparebank 1'!G66+'Sparebank 1'!G134</f>
        <v>4457595.7985100001</v>
      </c>
      <c r="D42" s="104">
        <f t="shared" si="8"/>
        <v>14.2</v>
      </c>
      <c r="E42" s="360">
        <f t="shared" si="9"/>
        <v>10.082500107295516</v>
      </c>
      <c r="F42" s="103"/>
      <c r="G42" s="176">
        <f>'Sparebank 1'!F10+'Sparebank 1'!F29+'Sparebank 1'!F87+'Sparebank 1'!F135</f>
        <v>27670397.0995</v>
      </c>
      <c r="H42" s="176">
        <f>'Sparebank 1'!G10+'Sparebank 1'!G29+'Sparebank 1'!G87+'Sparebank 1'!G135</f>
        <v>35920709.854330003</v>
      </c>
      <c r="I42" s="104">
        <f t="shared" si="10"/>
        <v>29.8</v>
      </c>
      <c r="J42" s="360">
        <f t="shared" si="11"/>
        <v>9.1492287916068555</v>
      </c>
      <c r="K42" s="139"/>
      <c r="L42" s="223">
        <f t="shared" ca="1" si="12"/>
        <v>0</v>
      </c>
      <c r="M42" s="221">
        <f t="shared" ca="1" si="13"/>
        <v>0</v>
      </c>
      <c r="N42" s="223">
        <f t="shared" ca="1" si="14"/>
        <v>0</v>
      </c>
      <c r="O42" s="221">
        <f t="shared" ca="1" si="15"/>
        <v>0</v>
      </c>
    </row>
    <row r="43" spans="1:20" ht="18.75" x14ac:dyDescent="0.3">
      <c r="A43" s="86" t="s">
        <v>99</v>
      </c>
      <c r="B43" s="130">
        <f>'Storebrand Livsforsikring'!F7+'Storebrand Livsforsikring'!F22+'Storebrand Livsforsikring'!F66+'Storebrand Livsforsikring'!F134</f>
        <v>10907068.207210001</v>
      </c>
      <c r="C43" s="130">
        <f>'Storebrand Livsforsikring'!G7+'Storebrand Livsforsikring'!G22+'Storebrand Livsforsikring'!G66+'Storebrand Livsforsikring'!G134</f>
        <v>11112376.757999998</v>
      </c>
      <c r="D43" s="104">
        <f t="shared" si="8"/>
        <v>1.9</v>
      </c>
      <c r="E43" s="360">
        <f t="shared" si="9"/>
        <v>25.134746378820157</v>
      </c>
      <c r="F43" s="103"/>
      <c r="G43" s="176">
        <f>'Storebrand Livsforsikring'!F10+'Storebrand Livsforsikring'!F29+'Storebrand Livsforsikring'!F87+'Storebrand Livsforsikring'!F135</f>
        <v>93401620.811000004</v>
      </c>
      <c r="H43" s="176">
        <f>'Storebrand Livsforsikring'!G10+'Storebrand Livsforsikring'!G29+'Storebrand Livsforsikring'!G87+'Storebrand Livsforsikring'!G135</f>
        <v>114501651.811</v>
      </c>
      <c r="I43" s="104">
        <f t="shared" si="10"/>
        <v>22.6</v>
      </c>
      <c r="J43" s="360">
        <f t="shared" si="11"/>
        <v>29.164284717203692</v>
      </c>
      <c r="K43" s="139"/>
      <c r="L43" s="223">
        <f t="shared" ca="1" si="12"/>
        <v>0</v>
      </c>
      <c r="M43" s="221">
        <f t="shared" ca="1" si="13"/>
        <v>0</v>
      </c>
      <c r="N43" s="223">
        <f t="shared" ca="1" si="14"/>
        <v>0</v>
      </c>
      <c r="O43" s="221">
        <f t="shared" ca="1" si="15"/>
        <v>0</v>
      </c>
    </row>
    <row r="44" spans="1:20" s="111" customFormat="1" ht="18.75" x14ac:dyDescent="0.3">
      <c r="A44" s="101" t="s">
        <v>103</v>
      </c>
      <c r="B44" s="242">
        <f>SUM(B34:B43)</f>
        <v>37570732.724177718</v>
      </c>
      <c r="C44" s="242">
        <f>SUM(C34:C43)</f>
        <v>44211214.987089999</v>
      </c>
      <c r="D44" s="104">
        <f t="shared" si="8"/>
        <v>17.7</v>
      </c>
      <c r="E44" s="361">
        <f>SUM(E34:E43)</f>
        <v>100.00000000000001</v>
      </c>
      <c r="F44" s="109"/>
      <c r="G44" s="178">
        <f>SUM(G34:G43)</f>
        <v>309509103.64765006</v>
      </c>
      <c r="H44" s="178">
        <f>SUM(H34:H43)</f>
        <v>392609155.07198</v>
      </c>
      <c r="I44" s="104">
        <f t="shared" si="10"/>
        <v>26.8</v>
      </c>
      <c r="J44" s="361">
        <f>SUM(J34:J43)</f>
        <v>100</v>
      </c>
      <c r="K44" s="139"/>
      <c r="L44" s="223">
        <f ca="1">SUM(L34:L43)</f>
        <v>0</v>
      </c>
      <c r="M44" s="221">
        <f ca="1">SUM(M34:M43)</f>
        <v>0</v>
      </c>
      <c r="N44" s="223">
        <f ca="1">SUM(N34:N43)</f>
        <v>0</v>
      </c>
      <c r="O44" s="221">
        <f ca="1">SUM(O34:O43)</f>
        <v>0</v>
      </c>
    </row>
    <row r="45" spans="1:20" ht="18.75" x14ac:dyDescent="0.3">
      <c r="A45" s="101"/>
      <c r="B45" s="130"/>
      <c r="C45" s="109"/>
      <c r="D45" s="110"/>
      <c r="E45" s="360"/>
      <c r="F45" s="109"/>
      <c r="G45" s="178"/>
      <c r="H45" s="109"/>
      <c r="I45" s="110"/>
      <c r="J45" s="361"/>
      <c r="K45" s="139"/>
      <c r="L45" s="220" t="s">
        <v>104</v>
      </c>
      <c r="M45" s="226"/>
      <c r="N45" s="227"/>
      <c r="O45" s="226"/>
    </row>
    <row r="46" spans="1:20" ht="18.75" x14ac:dyDescent="0.3">
      <c r="A46" s="86"/>
      <c r="B46" s="130"/>
      <c r="C46" s="103"/>
      <c r="D46" s="104"/>
      <c r="E46" s="360"/>
      <c r="F46" s="103"/>
      <c r="G46" s="176"/>
      <c r="H46" s="103"/>
      <c r="I46" s="104"/>
      <c r="J46" s="360"/>
      <c r="K46" s="139"/>
      <c r="L46" s="224">
        <v>2015</v>
      </c>
      <c r="M46" s="225">
        <v>2016</v>
      </c>
      <c r="N46" s="224">
        <v>2015</v>
      </c>
      <c r="O46" s="225">
        <v>2016</v>
      </c>
    </row>
    <row r="47" spans="1:20" ht="18.75" x14ac:dyDescent="0.3">
      <c r="A47" s="101" t="s">
        <v>104</v>
      </c>
      <c r="B47" s="130"/>
      <c r="C47" s="103"/>
      <c r="D47" s="104"/>
      <c r="E47" s="360"/>
      <c r="F47" s="103"/>
      <c r="G47" s="176"/>
      <c r="H47" s="103"/>
      <c r="I47" s="104"/>
      <c r="J47" s="360"/>
      <c r="K47" s="139"/>
      <c r="L47" s="223"/>
      <c r="M47" s="221"/>
      <c r="N47" s="223"/>
      <c r="O47" s="221"/>
      <c r="P47" s="207"/>
      <c r="Q47" s="207"/>
      <c r="R47" s="207"/>
      <c r="S47" s="182"/>
      <c r="T47" s="139"/>
    </row>
    <row r="48" spans="1:20" ht="18.75" x14ac:dyDescent="0.3">
      <c r="A48" s="86"/>
      <c r="B48" s="130"/>
      <c r="C48" s="180"/>
      <c r="D48" s="104"/>
      <c r="E48" s="360"/>
      <c r="F48" s="103"/>
      <c r="G48" s="176"/>
      <c r="H48" s="176"/>
      <c r="I48" s="104"/>
      <c r="J48" s="360"/>
      <c r="K48" s="139"/>
      <c r="L48" s="223" t="e">
        <f ca="1">L9</f>
        <v>#REF!</v>
      </c>
      <c r="M48" s="228" t="e">
        <f ca="1">M9</f>
        <v>#REF!</v>
      </c>
      <c r="N48" s="223" t="e">
        <f ca="1">N9</f>
        <v>#REF!</v>
      </c>
      <c r="O48" s="228" t="e">
        <f ca="1">O9</f>
        <v>#REF!</v>
      </c>
      <c r="P48" s="207"/>
      <c r="Q48" s="207"/>
      <c r="R48" s="207"/>
      <c r="S48" s="182"/>
      <c r="T48" s="139"/>
    </row>
    <row r="49" spans="1:20" ht="18.75" x14ac:dyDescent="0.3">
      <c r="A49" s="107" t="s">
        <v>86</v>
      </c>
      <c r="B49" s="130">
        <f>B10+B34</f>
        <v>2274000.9750000001</v>
      </c>
      <c r="C49" s="103">
        <f>C10+C34</f>
        <v>2417997.8689999999</v>
      </c>
      <c r="D49" s="104">
        <f t="shared" ref="D49:D70" si="16">IF(B49=0, "    ---- ", IF(ABS(ROUND(100/B49*C49-100,1))&lt;999,ROUND(100/B49*C49-100,1),IF(ROUND(100/B49*C49-100,1)&gt;999,999,-999)))</f>
        <v>6.3</v>
      </c>
      <c r="E49" s="360">
        <f t="shared" ref="E49:E70" si="17">100/C$71*C49</f>
        <v>2.212010616655212</v>
      </c>
      <c r="F49" s="103"/>
      <c r="G49" s="176">
        <f>G10+G34</f>
        <v>18001840.483999997</v>
      </c>
      <c r="H49" s="176">
        <f>H10+H34</f>
        <v>21911991.798999999</v>
      </c>
      <c r="I49" s="104">
        <f t="shared" ref="I49:I68" si="18">IF(G49=0, "    ---- ", IF(ABS(ROUND(100/G49*H49-100,1))&lt;999,ROUND(100/G49*H49-100,1),IF(ROUND(100/G49*H49-100,1)&gt;999,999,-999)))</f>
        <v>21.7</v>
      </c>
      <c r="J49" s="360">
        <f t="shared" ref="J49:J70" si="19">100/H$71*H49</f>
        <v>1.518468046636184</v>
      </c>
      <c r="K49" s="139"/>
      <c r="L49" s="223">
        <f ca="1">L10+L34</f>
        <v>0</v>
      </c>
      <c r="M49" s="221">
        <f ca="1">M10+M34</f>
        <v>0</v>
      </c>
      <c r="N49" s="223">
        <f ca="1">N10+N34</f>
        <v>0</v>
      </c>
      <c r="O49" s="221">
        <f ca="1">O10+O34</f>
        <v>0</v>
      </c>
      <c r="P49" s="207"/>
      <c r="Q49" s="207"/>
      <c r="R49" s="207"/>
      <c r="S49" s="182"/>
      <c r="T49" s="139"/>
    </row>
    <row r="50" spans="1:20" ht="18.75" x14ac:dyDescent="0.3">
      <c r="A50" s="86" t="s">
        <v>87</v>
      </c>
      <c r="B50" s="130">
        <f>B11+B35</f>
        <v>13315906.894136999</v>
      </c>
      <c r="C50" s="103">
        <f>+C11+C35</f>
        <v>14526042.5</v>
      </c>
      <c r="D50" s="104">
        <f t="shared" si="16"/>
        <v>9.1</v>
      </c>
      <c r="E50" s="360">
        <f t="shared" si="17"/>
        <v>13.288580870947335</v>
      </c>
      <c r="F50" s="103"/>
      <c r="G50" s="176">
        <f>+G11+G35</f>
        <v>277542329.67699999</v>
      </c>
      <c r="H50" s="176">
        <f>+H11+H35</f>
        <v>297468280.86900002</v>
      </c>
      <c r="I50" s="104">
        <f t="shared" si="18"/>
        <v>7.2</v>
      </c>
      <c r="J50" s="360">
        <f t="shared" si="19"/>
        <v>20.614104072820453</v>
      </c>
      <c r="K50" s="139"/>
      <c r="L50" s="223">
        <f ca="1">L11+L35</f>
        <v>0</v>
      </c>
      <c r="M50" s="221">
        <f ca="1">+M11+M35</f>
        <v>0</v>
      </c>
      <c r="N50" s="223">
        <f ca="1">+N11+N35</f>
        <v>0</v>
      </c>
      <c r="O50" s="221">
        <f ca="1">+O11+O35</f>
        <v>0</v>
      </c>
      <c r="P50" s="207"/>
      <c r="Q50" s="207"/>
      <c r="R50" s="207"/>
      <c r="S50" s="182"/>
      <c r="T50" s="139"/>
    </row>
    <row r="51" spans="1:20" ht="18.75" x14ac:dyDescent="0.3">
      <c r="A51" s="86" t="s">
        <v>88</v>
      </c>
      <c r="B51" s="130">
        <f>B12</f>
        <v>293648</v>
      </c>
      <c r="C51" s="103">
        <f>C12</f>
        <v>323640</v>
      </c>
      <c r="D51" s="104">
        <f t="shared" si="16"/>
        <v>10.199999999999999</v>
      </c>
      <c r="E51" s="360">
        <f t="shared" si="17"/>
        <v>0.29606937423413127</v>
      </c>
      <c r="F51" s="103"/>
      <c r="G51" s="176">
        <f>G12</f>
        <v>459894</v>
      </c>
      <c r="H51" s="176">
        <f>H12</f>
        <v>503320</v>
      </c>
      <c r="I51" s="104">
        <f t="shared" si="18"/>
        <v>9.4</v>
      </c>
      <c r="J51" s="360">
        <f t="shared" si="19"/>
        <v>3.487931833142633E-2</v>
      </c>
      <c r="K51" s="139"/>
      <c r="L51" s="223">
        <f ca="1">L12</f>
        <v>0</v>
      </c>
      <c r="M51" s="221">
        <f ca="1">M12</f>
        <v>0</v>
      </c>
      <c r="N51" s="223">
        <f ca="1">N12</f>
        <v>0</v>
      </c>
      <c r="O51" s="221">
        <f ca="1">+O12+O36</f>
        <v>0</v>
      </c>
      <c r="P51" s="207"/>
      <c r="Q51" s="207"/>
      <c r="R51" s="207"/>
      <c r="S51" s="182"/>
      <c r="T51" s="139"/>
    </row>
    <row r="52" spans="1:20" ht="18.75" x14ac:dyDescent="0.3">
      <c r="A52" s="107" t="s">
        <v>89</v>
      </c>
      <c r="B52" s="130">
        <f>B13+B36</f>
        <v>845070.5</v>
      </c>
      <c r="C52" s="105">
        <f>C13+C36</f>
        <v>913066</v>
      </c>
      <c r="D52" s="106">
        <f t="shared" si="16"/>
        <v>8</v>
      </c>
      <c r="E52" s="362">
        <f t="shared" si="17"/>
        <v>0.83528265744179109</v>
      </c>
      <c r="F52" s="105"/>
      <c r="G52" s="177">
        <f>G13+G36</f>
        <v>4098569.3450000002</v>
      </c>
      <c r="H52" s="177">
        <f>H13+H36</f>
        <v>5114854</v>
      </c>
      <c r="I52" s="104">
        <f t="shared" si="18"/>
        <v>24.8</v>
      </c>
      <c r="J52" s="360">
        <f t="shared" si="19"/>
        <v>0.35445168259709392</v>
      </c>
      <c r="K52" s="139"/>
      <c r="L52" s="223">
        <f ca="1">L13+L36</f>
        <v>0</v>
      </c>
      <c r="M52" s="221">
        <f ca="1">M13+M36</f>
        <v>0</v>
      </c>
      <c r="N52" s="223">
        <f ca="1">N13+N36</f>
        <v>0</v>
      </c>
      <c r="O52" s="221">
        <f ca="1">O13+O36</f>
        <v>0</v>
      </c>
      <c r="P52" s="210"/>
      <c r="Q52" s="210"/>
      <c r="R52" s="210"/>
      <c r="S52" s="182"/>
      <c r="T52" s="139"/>
    </row>
    <row r="53" spans="1:20" ht="18.75" x14ac:dyDescent="0.3">
      <c r="A53" s="107" t="s">
        <v>90</v>
      </c>
      <c r="B53" s="130">
        <f>B14</f>
        <v>7955</v>
      </c>
      <c r="C53" s="105">
        <f>C14</f>
        <v>8197</v>
      </c>
      <c r="D53" s="106">
        <f t="shared" si="16"/>
        <v>3</v>
      </c>
      <c r="E53" s="362">
        <f t="shared" si="17"/>
        <v>7.4987043029204484E-3</v>
      </c>
      <c r="F53" s="105"/>
      <c r="G53" s="177">
        <f>G14</f>
        <v>0</v>
      </c>
      <c r="H53" s="177">
        <f>H14</f>
        <v>0</v>
      </c>
      <c r="I53" s="104"/>
      <c r="J53" s="360">
        <f t="shared" si="19"/>
        <v>0</v>
      </c>
      <c r="K53" s="139"/>
      <c r="L53" s="223">
        <f ca="1">L14</f>
        <v>0</v>
      </c>
      <c r="M53" s="221">
        <f ca="1">M14</f>
        <v>0</v>
      </c>
      <c r="N53" s="223">
        <f ca="1">N14</f>
        <v>0</v>
      </c>
      <c r="O53" s="221">
        <f ca="1">O14</f>
        <v>0</v>
      </c>
      <c r="P53" s="210"/>
      <c r="Q53" s="210"/>
      <c r="R53" s="210"/>
      <c r="S53" s="182"/>
      <c r="T53" s="139"/>
    </row>
    <row r="54" spans="1:20" ht="18.75" x14ac:dyDescent="0.3">
      <c r="A54" s="86" t="s">
        <v>91</v>
      </c>
      <c r="B54" s="103">
        <f>B15</f>
        <v>1560358</v>
      </c>
      <c r="C54" s="103">
        <f>+C15</f>
        <v>1559670</v>
      </c>
      <c r="D54" s="104">
        <f t="shared" si="16"/>
        <v>0</v>
      </c>
      <c r="E54" s="360">
        <f t="shared" si="17"/>
        <v>1.426802993794795</v>
      </c>
      <c r="F54" s="103"/>
      <c r="G54" s="176">
        <f>+G15</f>
        <v>1236175</v>
      </c>
      <c r="H54" s="176">
        <f>+H15</f>
        <v>1122791</v>
      </c>
      <c r="I54" s="104">
        <f t="shared" si="18"/>
        <v>-9.1999999999999993</v>
      </c>
      <c r="J54" s="360">
        <f t="shared" si="19"/>
        <v>7.7807726115911358E-2</v>
      </c>
      <c r="K54" s="139"/>
      <c r="L54" s="223">
        <f ca="1">L15</f>
        <v>0</v>
      </c>
      <c r="M54" s="221">
        <f ca="1">+M15</f>
        <v>0</v>
      </c>
      <c r="N54" s="223">
        <f ca="1">+N15</f>
        <v>0</v>
      </c>
      <c r="O54" s="221">
        <f ca="1">+O15</f>
        <v>0</v>
      </c>
      <c r="P54" s="207"/>
      <c r="Q54" s="207"/>
      <c r="R54" s="207"/>
      <c r="S54" s="182"/>
      <c r="T54" s="139"/>
    </row>
    <row r="55" spans="1:20" ht="18.75" x14ac:dyDescent="0.3">
      <c r="A55" s="86" t="s">
        <v>92</v>
      </c>
      <c r="B55" s="103">
        <f>B16+B37</f>
        <v>3441350</v>
      </c>
      <c r="C55" s="103">
        <f>C16+C37</f>
        <v>3938885</v>
      </c>
      <c r="D55" s="104">
        <f t="shared" si="16"/>
        <v>14.5</v>
      </c>
      <c r="E55" s="360">
        <f t="shared" si="17"/>
        <v>3.6033346222043199</v>
      </c>
      <c r="F55" s="103"/>
      <c r="G55" s="176">
        <f>G16+G37</f>
        <v>30688159</v>
      </c>
      <c r="H55" s="176">
        <f>H16+H37</f>
        <v>37313895</v>
      </c>
      <c r="I55" s="104">
        <f t="shared" si="18"/>
        <v>21.6</v>
      </c>
      <c r="J55" s="360">
        <f t="shared" si="19"/>
        <v>2.5857967533386659</v>
      </c>
      <c r="K55" s="139"/>
      <c r="L55" s="223">
        <f ca="1">L16+L37</f>
        <v>0</v>
      </c>
      <c r="M55" s="221">
        <f ca="1">M16+M37</f>
        <v>0</v>
      </c>
      <c r="N55" s="223">
        <f ca="1">N16+N37</f>
        <v>0</v>
      </c>
      <c r="O55" s="221">
        <f ca="1">O16+O37</f>
        <v>0</v>
      </c>
      <c r="P55" s="207"/>
      <c r="Q55" s="207"/>
      <c r="R55" s="207"/>
      <c r="S55" s="182"/>
      <c r="T55" s="139"/>
    </row>
    <row r="56" spans="1:20" ht="18.75" x14ac:dyDescent="0.3">
      <c r="A56" s="86" t="s">
        <v>93</v>
      </c>
      <c r="B56" s="103">
        <f>B17</f>
        <v>35563</v>
      </c>
      <c r="C56" s="103">
        <f>+C17</f>
        <v>35020.773110000002</v>
      </c>
      <c r="D56" s="104">
        <f t="shared" si="16"/>
        <v>-1.5</v>
      </c>
      <c r="E56" s="360">
        <f t="shared" si="17"/>
        <v>3.2037382214414753E-2</v>
      </c>
      <c r="F56" s="103"/>
      <c r="G56" s="176">
        <f>+G17</f>
        <v>23055</v>
      </c>
      <c r="H56" s="176">
        <f>+H17</f>
        <v>27038.08164</v>
      </c>
      <c r="I56" s="104">
        <f t="shared" si="18"/>
        <v>17.3</v>
      </c>
      <c r="J56" s="360">
        <f t="shared" si="19"/>
        <v>1.8736983561007984E-3</v>
      </c>
      <c r="K56" s="139"/>
      <c r="L56" s="223">
        <f ca="1">L17</f>
        <v>0</v>
      </c>
      <c r="M56" s="221">
        <f t="shared" ref="M56:O57" ca="1" si="20">+M17</f>
        <v>0</v>
      </c>
      <c r="N56" s="223">
        <f t="shared" ca="1" si="20"/>
        <v>0</v>
      </c>
      <c r="O56" s="221">
        <f t="shared" ca="1" si="20"/>
        <v>0</v>
      </c>
      <c r="P56" s="207"/>
      <c r="Q56" s="207"/>
      <c r="R56" s="207"/>
      <c r="S56" s="182"/>
      <c r="T56" s="139"/>
    </row>
    <row r="57" spans="1:20" ht="18.75" x14ac:dyDescent="0.3">
      <c r="A57" s="86" t="s">
        <v>94</v>
      </c>
      <c r="B57" s="103">
        <f>B18</f>
        <v>447566</v>
      </c>
      <c r="C57" s="103">
        <f>+C18</f>
        <v>472830.55865999998</v>
      </c>
      <c r="D57" s="104">
        <f t="shared" si="16"/>
        <v>5.6</v>
      </c>
      <c r="E57" s="360">
        <f t="shared" si="17"/>
        <v>0.43255051174527526</v>
      </c>
      <c r="F57" s="103"/>
      <c r="G57" s="176">
        <f>+G18</f>
        <v>453992</v>
      </c>
      <c r="H57" s="176">
        <f>+H18</f>
        <v>512717.34090000001</v>
      </c>
      <c r="I57" s="104">
        <f t="shared" si="18"/>
        <v>12.9</v>
      </c>
      <c r="J57" s="360">
        <f t="shared" si="19"/>
        <v>3.5530539909587412E-2</v>
      </c>
      <c r="K57" s="139"/>
      <c r="L57" s="223">
        <f ca="1">L18</f>
        <v>0</v>
      </c>
      <c r="M57" s="221">
        <f t="shared" ca="1" si="20"/>
        <v>0</v>
      </c>
      <c r="N57" s="223">
        <f t="shared" ca="1" si="20"/>
        <v>0</v>
      </c>
      <c r="O57" s="221">
        <f t="shared" ca="1" si="20"/>
        <v>0</v>
      </c>
      <c r="P57" s="207"/>
      <c r="Q57" s="207"/>
      <c r="R57" s="207"/>
      <c r="S57" s="182"/>
      <c r="T57" s="139"/>
    </row>
    <row r="58" spans="1:20" ht="18.75" x14ac:dyDescent="0.3">
      <c r="A58" s="86" t="s">
        <v>63</v>
      </c>
      <c r="B58" s="105">
        <f>B19+B38</f>
        <v>38724465.20482</v>
      </c>
      <c r="C58" s="105">
        <f>C19+C38</f>
        <v>40224043.891510002</v>
      </c>
      <c r="D58" s="106">
        <f t="shared" si="16"/>
        <v>3.9</v>
      </c>
      <c r="E58" s="362">
        <f t="shared" si="17"/>
        <v>36.797390631954009</v>
      </c>
      <c r="F58" s="105"/>
      <c r="G58" s="177">
        <f>G19+G38</f>
        <v>474145162.48920995</v>
      </c>
      <c r="H58" s="177">
        <f>H19+H38</f>
        <v>510452681.52915001</v>
      </c>
      <c r="I58" s="104">
        <f t="shared" si="18"/>
        <v>7.7</v>
      </c>
      <c r="J58" s="360">
        <f t="shared" si="19"/>
        <v>35.373602424273642</v>
      </c>
      <c r="K58" s="139"/>
      <c r="L58" s="223">
        <f ca="1">L19+L38</f>
        <v>0</v>
      </c>
      <c r="M58" s="221">
        <f ca="1">M19+M38</f>
        <v>0</v>
      </c>
      <c r="N58" s="223">
        <f ca="1">N19+N38</f>
        <v>0</v>
      </c>
      <c r="O58" s="221">
        <f ca="1">O19+O38</f>
        <v>0</v>
      </c>
      <c r="P58" s="210"/>
      <c r="Q58" s="210"/>
      <c r="R58" s="210"/>
      <c r="S58" s="182"/>
      <c r="T58" s="139"/>
    </row>
    <row r="59" spans="1:20" ht="18.75" x14ac:dyDescent="0.3">
      <c r="A59" s="86" t="s">
        <v>95</v>
      </c>
      <c r="B59" s="103">
        <f>B20+B39</f>
        <v>521962</v>
      </c>
      <c r="C59" s="103">
        <f>+C20+C39</f>
        <v>639352</v>
      </c>
      <c r="D59" s="104">
        <f t="shared" si="16"/>
        <v>22.5</v>
      </c>
      <c r="E59" s="360">
        <f t="shared" si="17"/>
        <v>0.58488612827629549</v>
      </c>
      <c r="F59" s="103"/>
      <c r="G59" s="176">
        <f>G20+G39</f>
        <v>5052681</v>
      </c>
      <c r="H59" s="176">
        <f>H20+H39</f>
        <v>6615444</v>
      </c>
      <c r="I59" s="104">
        <f t="shared" si="18"/>
        <v>30.9</v>
      </c>
      <c r="J59" s="360">
        <f t="shared" si="19"/>
        <v>0.45844031069642444</v>
      </c>
      <c r="K59" s="139"/>
      <c r="L59" s="223">
        <f ca="1">L20+L39</f>
        <v>0</v>
      </c>
      <c r="M59" s="221">
        <f ca="1">+M20+M39</f>
        <v>0</v>
      </c>
      <c r="N59" s="223">
        <f ca="1">N20+N39</f>
        <v>0</v>
      </c>
      <c r="O59" s="221">
        <f ca="1">O20+O39</f>
        <v>0</v>
      </c>
      <c r="P59" s="207"/>
      <c r="Q59" s="207"/>
      <c r="R59" s="207"/>
      <c r="S59" s="182"/>
      <c r="T59" s="139"/>
    </row>
    <row r="60" spans="1:20" ht="18.75" x14ac:dyDescent="0.3">
      <c r="A60" s="86" t="s">
        <v>96</v>
      </c>
      <c r="B60" s="103">
        <f t="shared" ref="B60:C62" si="21">B21</f>
        <v>134230.552</v>
      </c>
      <c r="C60" s="103">
        <f t="shared" si="21"/>
        <v>175357</v>
      </c>
      <c r="D60" s="104">
        <f t="shared" si="16"/>
        <v>30.6</v>
      </c>
      <c r="E60" s="360">
        <f t="shared" si="17"/>
        <v>0.16041848120619995</v>
      </c>
      <c r="F60" s="103"/>
      <c r="G60" s="176">
        <f t="shared" ref="G60:H62" si="22">G21</f>
        <v>22247</v>
      </c>
      <c r="H60" s="176">
        <f t="shared" si="22"/>
        <v>40612</v>
      </c>
      <c r="I60" s="104">
        <f t="shared" si="18"/>
        <v>82.6</v>
      </c>
      <c r="J60" s="360">
        <f t="shared" si="19"/>
        <v>2.8143504650637494E-3</v>
      </c>
      <c r="K60" s="139"/>
      <c r="L60" s="223">
        <f t="shared" ref="L60:O62" ca="1" si="23">L21</f>
        <v>0</v>
      </c>
      <c r="M60" s="221">
        <f t="shared" ca="1" si="23"/>
        <v>0</v>
      </c>
      <c r="N60" s="223">
        <f t="shared" ca="1" si="23"/>
        <v>0</v>
      </c>
      <c r="O60" s="221">
        <f t="shared" ca="1" si="23"/>
        <v>0</v>
      </c>
      <c r="P60" s="207"/>
      <c r="Q60" s="207"/>
      <c r="R60" s="207"/>
      <c r="S60" s="182"/>
      <c r="T60" s="139"/>
    </row>
    <row r="61" spans="1:20" ht="18.75" x14ac:dyDescent="0.3">
      <c r="A61" s="86" t="s">
        <v>495</v>
      </c>
      <c r="B61" s="103">
        <f t="shared" si="21"/>
        <v>75514</v>
      </c>
      <c r="C61" s="103">
        <f t="shared" si="21"/>
        <v>83630</v>
      </c>
      <c r="D61" s="104">
        <f t="shared" si="16"/>
        <v>10.7</v>
      </c>
      <c r="E61" s="360">
        <f t="shared" si="17"/>
        <v>7.6505628992709171E-2</v>
      </c>
      <c r="F61" s="103"/>
      <c r="G61" s="176">
        <f t="shared" si="22"/>
        <v>0</v>
      </c>
      <c r="H61" s="176">
        <f t="shared" si="22"/>
        <v>0</v>
      </c>
      <c r="I61" s="104"/>
      <c r="J61" s="360">
        <f t="shared" si="19"/>
        <v>0</v>
      </c>
      <c r="K61" s="139"/>
      <c r="L61" s="223" t="e">
        <f t="shared" ca="1" si="23"/>
        <v>#REF!</v>
      </c>
      <c r="M61" s="221" t="e">
        <f t="shared" ca="1" si="23"/>
        <v>#REF!</v>
      </c>
      <c r="N61" s="223" t="e">
        <f t="shared" ca="1" si="23"/>
        <v>#REF!</v>
      </c>
      <c r="O61" s="221" t="e">
        <f t="shared" ca="1" si="23"/>
        <v>#REF!</v>
      </c>
      <c r="P61" s="207"/>
      <c r="Q61" s="207"/>
      <c r="R61" s="207"/>
      <c r="S61" s="182"/>
      <c r="T61" s="139"/>
    </row>
    <row r="62" spans="1:20" ht="18.75" x14ac:dyDescent="0.3">
      <c r="A62" s="86" t="s">
        <v>496</v>
      </c>
      <c r="B62" s="103">
        <f t="shared" si="21"/>
        <v>1788</v>
      </c>
      <c r="C62" s="103">
        <f t="shared" si="21"/>
        <v>17501.08816890161</v>
      </c>
      <c r="D62" s="104">
        <f t="shared" si="16"/>
        <v>878.8</v>
      </c>
      <c r="E62" s="360">
        <f t="shared" si="17"/>
        <v>1.6010184842983121E-2</v>
      </c>
      <c r="F62" s="103"/>
      <c r="G62" s="176">
        <f t="shared" si="22"/>
        <v>0</v>
      </c>
      <c r="H62" s="176">
        <f t="shared" si="22"/>
        <v>6599.8879075415198</v>
      </c>
      <c r="I62" s="104" t="str">
        <f t="shared" si="18"/>
        <v xml:space="preserve">    ---- </v>
      </c>
      <c r="J62" s="360">
        <f t="shared" si="19"/>
        <v>4.5736229690628607E-4</v>
      </c>
      <c r="K62" s="139"/>
      <c r="L62" s="223">
        <f t="shared" ca="1" si="23"/>
        <v>0</v>
      </c>
      <c r="M62" s="221">
        <f t="shared" ca="1" si="23"/>
        <v>0</v>
      </c>
      <c r="N62" s="223">
        <f t="shared" ca="1" si="23"/>
        <v>0</v>
      </c>
      <c r="O62" s="221">
        <f t="shared" ca="1" si="23"/>
        <v>0</v>
      </c>
      <c r="P62" s="207"/>
      <c r="Q62" s="207"/>
      <c r="R62" s="207"/>
      <c r="S62" s="182"/>
      <c r="T62" s="139"/>
    </row>
    <row r="63" spans="1:20" ht="18.75" x14ac:dyDescent="0.3">
      <c r="A63" s="107" t="s">
        <v>68</v>
      </c>
      <c r="B63" s="103">
        <f>B24+B40</f>
        <v>9729126.9803839792</v>
      </c>
      <c r="C63" s="103">
        <f>+C24+C40</f>
        <v>13690010.611216806</v>
      </c>
      <c r="D63" s="104">
        <f t="shared" si="16"/>
        <v>40.700000000000003</v>
      </c>
      <c r="E63" s="360">
        <f t="shared" si="17"/>
        <v>12.523769852062712</v>
      </c>
      <c r="F63" s="103"/>
      <c r="G63" s="176">
        <f>+G24+G40</f>
        <v>109087996.09179951</v>
      </c>
      <c r="H63" s="176">
        <f>+H24+H40</f>
        <v>129649340.11646914</v>
      </c>
      <c r="I63" s="104">
        <f t="shared" si="18"/>
        <v>18.8</v>
      </c>
      <c r="J63" s="360">
        <f t="shared" si="19"/>
        <v>8.9845041035160325</v>
      </c>
      <c r="K63" s="139"/>
      <c r="L63" s="223">
        <f ca="1">L24+L40</f>
        <v>0</v>
      </c>
      <c r="M63" s="221">
        <f ca="1">+M24+M40</f>
        <v>0</v>
      </c>
      <c r="N63" s="223">
        <f ca="1">+N24+N40</f>
        <v>0</v>
      </c>
      <c r="O63" s="221">
        <f ca="1">+O24+O40</f>
        <v>0</v>
      </c>
      <c r="P63" s="207"/>
      <c r="Q63" s="207"/>
      <c r="R63" s="207"/>
      <c r="S63" s="182"/>
      <c r="T63" s="139"/>
    </row>
    <row r="64" spans="1:20" ht="18.75" customHeight="1" x14ac:dyDescent="0.3">
      <c r="A64" s="107" t="s">
        <v>98</v>
      </c>
      <c r="B64" s="103">
        <f>B25</f>
        <v>4832000</v>
      </c>
      <c r="C64" s="103">
        <f>C25</f>
        <v>5181000</v>
      </c>
      <c r="D64" s="104">
        <f t="shared" si="16"/>
        <v>7.2</v>
      </c>
      <c r="E64" s="360">
        <f t="shared" si="17"/>
        <v>4.739634865613132</v>
      </c>
      <c r="F64" s="103"/>
      <c r="G64" s="176">
        <f>G25</f>
        <v>74694000</v>
      </c>
      <c r="H64" s="176">
        <f>H25</f>
        <v>76067254.04129</v>
      </c>
      <c r="I64" s="104">
        <f t="shared" si="18"/>
        <v>1.8</v>
      </c>
      <c r="J64" s="360">
        <f t="shared" si="19"/>
        <v>5.2713461978535125</v>
      </c>
      <c r="K64" s="139"/>
      <c r="L64" s="223">
        <f ca="1">L25</f>
        <v>0</v>
      </c>
      <c r="M64" s="221">
        <f ca="1">M25</f>
        <v>0</v>
      </c>
      <c r="N64" s="223">
        <f ca="1">N25</f>
        <v>0</v>
      </c>
      <c r="O64" s="221">
        <f ca="1">O25</f>
        <v>0</v>
      </c>
      <c r="P64" s="207"/>
      <c r="Q64" s="207"/>
      <c r="R64" s="207"/>
      <c r="S64" s="182"/>
      <c r="T64" s="139"/>
    </row>
    <row r="65" spans="1:240" ht="18.75" customHeight="1" x14ac:dyDescent="0.3">
      <c r="A65" s="107" t="s">
        <v>450</v>
      </c>
      <c r="B65" s="103">
        <f>B26</f>
        <v>322909.72977305338</v>
      </c>
      <c r="C65" s="103">
        <f>C26</f>
        <v>312787.17492590938</v>
      </c>
      <c r="D65" s="104">
        <f t="shared" ref="D65" si="24">IF(B65=0, "    ---- ", IF(ABS(ROUND(100/B65*C65-100,1))&lt;999,ROUND(100/B65*C65-100,1),IF(ROUND(100/B65*C65-100,1)&gt;999,999,-999)))</f>
        <v>-3.1</v>
      </c>
      <c r="E65" s="360">
        <f t="shared" si="17"/>
        <v>0.28614109241371816</v>
      </c>
      <c r="F65" s="103"/>
      <c r="G65" s="176">
        <f>G26</f>
        <v>0</v>
      </c>
      <c r="H65" s="176">
        <f>H26</f>
        <v>0</v>
      </c>
      <c r="I65" s="104"/>
      <c r="J65" s="360">
        <f t="shared" si="19"/>
        <v>0</v>
      </c>
      <c r="K65" s="139"/>
      <c r="L65" s="223"/>
      <c r="M65" s="221"/>
      <c r="N65" s="223"/>
      <c r="O65" s="221"/>
      <c r="P65" s="207"/>
      <c r="Q65" s="207"/>
      <c r="R65" s="207"/>
      <c r="S65" s="182"/>
      <c r="T65" s="139"/>
    </row>
    <row r="66" spans="1:240" ht="18.75" customHeight="1" x14ac:dyDescent="0.3">
      <c r="A66" s="107" t="s">
        <v>74</v>
      </c>
      <c r="B66" s="103">
        <f>B41</f>
        <v>153887</v>
      </c>
      <c r="C66" s="103">
        <f>C41</f>
        <v>145834.70800000001</v>
      </c>
      <c r="D66" s="104">
        <f t="shared" si="16"/>
        <v>-5.2</v>
      </c>
      <c r="E66" s="360">
        <f t="shared" si="17"/>
        <v>0.13341116901241273</v>
      </c>
      <c r="F66" s="103"/>
      <c r="G66" s="176">
        <f>G41</f>
        <v>2076510</v>
      </c>
      <c r="H66" s="176">
        <f>H41</f>
        <v>2541186</v>
      </c>
      <c r="I66" s="104">
        <f t="shared" si="18"/>
        <v>22.4</v>
      </c>
      <c r="J66" s="360">
        <f t="shared" si="19"/>
        <v>0.17610036444680116</v>
      </c>
      <c r="K66" s="139"/>
      <c r="L66" s="223">
        <f ca="1">L41</f>
        <v>0</v>
      </c>
      <c r="M66" s="221">
        <f ca="1">M41</f>
        <v>0</v>
      </c>
      <c r="N66" s="223">
        <f ca="1">N41</f>
        <v>0</v>
      </c>
      <c r="O66" s="221">
        <f ca="1">O41</f>
        <v>0</v>
      </c>
      <c r="P66" s="207"/>
      <c r="Q66" s="207"/>
      <c r="R66" s="207"/>
      <c r="S66" s="182"/>
      <c r="T66" s="139"/>
    </row>
    <row r="67" spans="1:240" ht="18.75" customHeight="1" x14ac:dyDescent="0.3">
      <c r="A67" s="86" t="s">
        <v>70</v>
      </c>
      <c r="B67" s="103">
        <f>B27+B42</f>
        <v>6672075.6718499996</v>
      </c>
      <c r="C67" s="103">
        <f>+C27+C42</f>
        <v>7445759.9659700003</v>
      </c>
      <c r="D67" s="104">
        <f t="shared" si="16"/>
        <v>11.6</v>
      </c>
      <c r="E67" s="360">
        <f t="shared" si="17"/>
        <v>6.8114617903296386</v>
      </c>
      <c r="F67" s="103"/>
      <c r="G67" s="176">
        <f>+G27+G42</f>
        <v>47438312.210620001</v>
      </c>
      <c r="H67" s="176">
        <f>+H27+H42</f>
        <v>57903640.322720006</v>
      </c>
      <c r="I67" s="104">
        <f t="shared" si="18"/>
        <v>22.1</v>
      </c>
      <c r="J67" s="360">
        <f t="shared" si="19"/>
        <v>4.0126351096013764</v>
      </c>
      <c r="K67" s="139"/>
      <c r="L67" s="223">
        <f ca="1">L27+L42</f>
        <v>0</v>
      </c>
      <c r="M67" s="221">
        <f t="shared" ref="M67:O68" ca="1" si="25">+M27+M42</f>
        <v>0</v>
      </c>
      <c r="N67" s="223">
        <f t="shared" ca="1" si="25"/>
        <v>0</v>
      </c>
      <c r="O67" s="221">
        <f t="shared" ca="1" si="25"/>
        <v>0</v>
      </c>
      <c r="P67" s="207"/>
      <c r="Q67" s="207"/>
      <c r="R67" s="207"/>
      <c r="S67" s="182"/>
      <c r="T67" s="139"/>
    </row>
    <row r="68" spans="1:240" ht="18.75" customHeight="1" x14ac:dyDescent="0.3">
      <c r="A68" s="86" t="s">
        <v>99</v>
      </c>
      <c r="B68" s="103">
        <f>B43+B28</f>
        <v>16412147.435210001</v>
      </c>
      <c r="C68" s="103">
        <f>+C28+C43</f>
        <v>16598183.257999998</v>
      </c>
      <c r="D68" s="104">
        <f t="shared" si="16"/>
        <v>1.1000000000000001</v>
      </c>
      <c r="E68" s="360">
        <f t="shared" si="17"/>
        <v>15.184197659805626</v>
      </c>
      <c r="F68" s="103"/>
      <c r="G68" s="176">
        <f>+G28+G43</f>
        <v>274189782.03299999</v>
      </c>
      <c r="H68" s="176">
        <f>+H28+H43</f>
        <v>295781142.71899998</v>
      </c>
      <c r="I68" s="104">
        <f t="shared" si="18"/>
        <v>7.9</v>
      </c>
      <c r="J68" s="360">
        <f t="shared" si="19"/>
        <v>20.497187938744823</v>
      </c>
      <c r="K68" s="139"/>
      <c r="L68" s="223">
        <f ca="1">L43+L28</f>
        <v>0</v>
      </c>
      <c r="M68" s="221">
        <f t="shared" ca="1" si="25"/>
        <v>0</v>
      </c>
      <c r="N68" s="223">
        <f t="shared" ca="1" si="25"/>
        <v>0</v>
      </c>
      <c r="O68" s="221">
        <f t="shared" ca="1" si="25"/>
        <v>0</v>
      </c>
      <c r="P68" s="207"/>
      <c r="Q68" s="207"/>
      <c r="R68" s="207"/>
      <c r="S68" s="182"/>
      <c r="T68" s="139"/>
    </row>
    <row r="69" spans="1:240" ht="18.75" customHeight="1" x14ac:dyDescent="0.3">
      <c r="A69" s="86" t="s">
        <v>100</v>
      </c>
      <c r="B69" s="103">
        <f>B29</f>
        <v>22616</v>
      </c>
      <c r="C69" s="103">
        <f>+C29</f>
        <v>1989</v>
      </c>
      <c r="D69" s="104">
        <f t="shared" si="16"/>
        <v>-91.2</v>
      </c>
      <c r="E69" s="360">
        <f t="shared" si="17"/>
        <v>1.8195587237414628E-3</v>
      </c>
      <c r="F69" s="103"/>
      <c r="G69" s="176">
        <f>+G29</f>
        <v>0</v>
      </c>
      <c r="H69" s="176">
        <f>+H29</f>
        <v>0</v>
      </c>
      <c r="I69" s="104"/>
      <c r="J69" s="360">
        <f t="shared" si="19"/>
        <v>0</v>
      </c>
      <c r="K69" s="139"/>
      <c r="L69" s="223">
        <f ca="1">L29</f>
        <v>0</v>
      </c>
      <c r="M69" s="221">
        <f t="shared" ref="M69:O70" ca="1" si="26">+M29</f>
        <v>0</v>
      </c>
      <c r="N69" s="223">
        <f t="shared" ca="1" si="26"/>
        <v>0</v>
      </c>
      <c r="O69" s="221">
        <f t="shared" ca="1" si="26"/>
        <v>0</v>
      </c>
      <c r="P69" s="207"/>
      <c r="Q69" s="207"/>
      <c r="R69" s="207"/>
      <c r="S69" s="182"/>
      <c r="T69" s="139"/>
    </row>
    <row r="70" spans="1:240" ht="18.75" customHeight="1" x14ac:dyDescent="0.3">
      <c r="A70" s="86" t="s">
        <v>101</v>
      </c>
      <c r="B70" s="103">
        <f>B30</f>
        <v>525057.89627999999</v>
      </c>
      <c r="C70" s="103">
        <f>+C30</f>
        <v>601419.67099999997</v>
      </c>
      <c r="D70" s="104">
        <f t="shared" si="16"/>
        <v>14.5</v>
      </c>
      <c r="E70" s="360">
        <f t="shared" si="17"/>
        <v>0.55018522322663166</v>
      </c>
      <c r="F70" s="103"/>
      <c r="G70" s="176">
        <f>+G30</f>
        <v>0</v>
      </c>
      <c r="H70" s="176">
        <f>+H30</f>
        <v>0</v>
      </c>
      <c r="I70" s="104"/>
      <c r="J70" s="360">
        <f t="shared" si="19"/>
        <v>0</v>
      </c>
      <c r="K70" s="139"/>
      <c r="L70" s="223">
        <f ca="1">L30</f>
        <v>0</v>
      </c>
      <c r="M70" s="221">
        <f t="shared" ca="1" si="26"/>
        <v>0</v>
      </c>
      <c r="N70" s="223">
        <f t="shared" ca="1" si="26"/>
        <v>0</v>
      </c>
      <c r="O70" s="221">
        <f t="shared" ca="1" si="26"/>
        <v>0</v>
      </c>
      <c r="P70" s="207"/>
      <c r="Q70" s="207"/>
      <c r="R70" s="207"/>
      <c r="S70" s="182"/>
      <c r="T70" s="139"/>
    </row>
    <row r="71" spans="1:240" s="111" customFormat="1" ht="18.75" customHeight="1" x14ac:dyDescent="0.3">
      <c r="A71" s="113" t="s">
        <v>2</v>
      </c>
      <c r="B71" s="114">
        <f>SUM(B48:B70)</f>
        <v>100349198.83945404</v>
      </c>
      <c r="C71" s="114">
        <f>SUM(C48:C70)</f>
        <v>109312218.06956162</v>
      </c>
      <c r="D71" s="115">
        <f>IF(B71=0, "    ---- ", IF(ABS(ROUND(100/B71*C71-100,1))&lt;999,ROUND(100/B71*C71-100,1),IF(ROUND(100/B71*C71-100,1)&gt;999,999,-999)))</f>
        <v>8.9</v>
      </c>
      <c r="E71" s="363">
        <f>SUM(E48:E70)</f>
        <v>100.00000000000001</v>
      </c>
      <c r="F71" s="109"/>
      <c r="G71" s="181">
        <f>SUM(G48:G70)</f>
        <v>1319210705.3306293</v>
      </c>
      <c r="H71" s="181">
        <f>SUM(H48:H70)</f>
        <v>1443032788.7070765</v>
      </c>
      <c r="I71" s="115">
        <f>IF(G71=0, "    ---- ", IF(ABS(ROUND(100/G71*H71-100,1))&lt;999,ROUND(100/G71*H71-100,1),IF(ROUND(100/G71*H71-100,1)&gt;999,999,-999)))</f>
        <v>9.4</v>
      </c>
      <c r="J71" s="363">
        <f>SUM(J48:J70)</f>
        <v>100</v>
      </c>
      <c r="K71" s="179"/>
      <c r="L71" s="229" t="e">
        <f ca="1">SUM(L48:L70)</f>
        <v>#REF!</v>
      </c>
      <c r="M71" s="230" t="e">
        <f ca="1">SUM(M48:M70)</f>
        <v>#REF!</v>
      </c>
      <c r="N71" s="229" t="e">
        <f ca="1">SUM(N48:N70)</f>
        <v>#REF!</v>
      </c>
      <c r="O71" s="230" t="e">
        <f ca="1">SUM(O48:O70)</f>
        <v>#REF!</v>
      </c>
      <c r="P71" s="209"/>
      <c r="Q71" s="209"/>
      <c r="R71" s="209"/>
      <c r="S71" s="138"/>
      <c r="T71" s="179"/>
    </row>
    <row r="72" spans="1:240" ht="18.75" customHeight="1" x14ac:dyDescent="0.3">
      <c r="A72" s="112" t="s">
        <v>105</v>
      </c>
      <c r="B72" s="112"/>
      <c r="C72" s="112"/>
      <c r="D72" s="112"/>
      <c r="E72" s="112"/>
      <c r="F72" s="112"/>
      <c r="G72" s="112"/>
      <c r="H72" s="112"/>
      <c r="I72" s="112"/>
      <c r="J72" s="112"/>
      <c r="K72" s="112"/>
      <c r="L72" s="186"/>
      <c r="M72" s="186"/>
      <c r="N72" s="186"/>
      <c r="O72" s="186"/>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c r="CG72" s="112"/>
      <c r="CH72" s="112"/>
      <c r="CI72" s="112"/>
      <c r="CJ72" s="112"/>
      <c r="CK72" s="112"/>
      <c r="CL72" s="112"/>
      <c r="CM72" s="112"/>
      <c r="CN72" s="112"/>
      <c r="CO72" s="112"/>
      <c r="CP72" s="112"/>
      <c r="CQ72" s="112"/>
      <c r="CR72" s="112"/>
      <c r="CS72" s="112"/>
      <c r="CT72" s="112"/>
      <c r="CU72" s="112"/>
      <c r="CV72" s="112"/>
      <c r="CW72" s="112"/>
      <c r="CX72" s="112"/>
      <c r="CY72" s="112"/>
      <c r="CZ72" s="112"/>
      <c r="DA72" s="112"/>
      <c r="DB72" s="112"/>
      <c r="DC72" s="112"/>
      <c r="DD72" s="112"/>
      <c r="DE72" s="112"/>
      <c r="DF72" s="112"/>
      <c r="DG72" s="112"/>
      <c r="DH72" s="112"/>
      <c r="DI72" s="112"/>
      <c r="DJ72" s="112"/>
      <c r="DK72" s="112"/>
      <c r="DL72" s="112"/>
      <c r="DM72" s="112"/>
      <c r="DN72" s="112"/>
      <c r="DO72" s="112"/>
      <c r="DP72" s="112"/>
      <c r="DQ72" s="112"/>
      <c r="DR72" s="112"/>
      <c r="DS72" s="112"/>
      <c r="DT72" s="112"/>
      <c r="DU72" s="112"/>
      <c r="DV72" s="112"/>
      <c r="DW72" s="112"/>
      <c r="DX72" s="112"/>
      <c r="DY72" s="112"/>
      <c r="DZ72" s="112"/>
      <c r="EA72" s="112"/>
      <c r="EB72" s="112"/>
      <c r="EC72" s="112"/>
      <c r="ED72" s="112"/>
      <c r="EE72" s="112"/>
      <c r="EF72" s="112"/>
      <c r="EG72" s="112"/>
      <c r="EH72" s="112"/>
      <c r="EI72" s="112"/>
      <c r="EJ72" s="112"/>
      <c r="EK72" s="112"/>
      <c r="EL72" s="112"/>
      <c r="EM72" s="112"/>
      <c r="EN72" s="112"/>
      <c r="EO72" s="112"/>
      <c r="EP72" s="112"/>
      <c r="EQ72" s="112"/>
      <c r="ER72" s="112"/>
      <c r="ES72" s="112"/>
      <c r="ET72" s="112"/>
      <c r="EU72" s="112"/>
      <c r="EV72" s="112"/>
      <c r="EW72" s="112"/>
      <c r="EX72" s="112"/>
      <c r="EY72" s="112"/>
      <c r="EZ72" s="112"/>
      <c r="FA72" s="112"/>
      <c r="FB72" s="112"/>
      <c r="FC72" s="112"/>
      <c r="FD72" s="112"/>
      <c r="FE72" s="112"/>
      <c r="FF72" s="112"/>
      <c r="FG72" s="112"/>
      <c r="FH72" s="112"/>
      <c r="FI72" s="112"/>
      <c r="FJ72" s="112"/>
      <c r="FK72" s="112"/>
      <c r="FL72" s="112"/>
      <c r="FM72" s="112"/>
      <c r="FN72" s="112"/>
      <c r="FO72" s="112"/>
      <c r="FP72" s="112"/>
      <c r="FQ72" s="112"/>
      <c r="FR72" s="112"/>
      <c r="FS72" s="112"/>
      <c r="FT72" s="112"/>
      <c r="FU72" s="112"/>
      <c r="FV72" s="112"/>
      <c r="FW72" s="112"/>
      <c r="FX72" s="112"/>
      <c r="FY72" s="112"/>
      <c r="FZ72" s="112"/>
      <c r="GA72" s="112"/>
      <c r="GB72" s="112"/>
      <c r="GC72" s="112"/>
      <c r="GD72" s="112"/>
      <c r="GE72" s="112"/>
      <c r="GF72" s="112"/>
      <c r="GG72" s="112"/>
      <c r="GH72" s="112"/>
      <c r="GI72" s="112"/>
      <c r="GJ72" s="112"/>
      <c r="GK72" s="112"/>
      <c r="GL72" s="112"/>
      <c r="GM72" s="112"/>
      <c r="GN72" s="112"/>
      <c r="GO72" s="112"/>
      <c r="GP72" s="112"/>
      <c r="GQ72" s="112"/>
      <c r="GR72" s="112"/>
      <c r="GS72" s="112"/>
      <c r="GT72" s="112"/>
      <c r="GU72" s="112"/>
      <c r="GV72" s="112"/>
      <c r="GW72" s="112"/>
      <c r="GX72" s="112"/>
      <c r="GY72" s="112"/>
      <c r="GZ72" s="112"/>
      <c r="HA72" s="112"/>
      <c r="HB72" s="112"/>
      <c r="HC72" s="112"/>
      <c r="HD72" s="112"/>
      <c r="HE72" s="112"/>
      <c r="HF72" s="112"/>
      <c r="HG72" s="112"/>
      <c r="HH72" s="112"/>
      <c r="HI72" s="112"/>
      <c r="HJ72" s="112"/>
      <c r="HK72" s="112"/>
      <c r="HL72" s="112"/>
      <c r="HM72" s="112"/>
      <c r="HN72" s="112"/>
      <c r="HO72" s="112"/>
      <c r="HP72" s="112"/>
      <c r="HQ72" s="112"/>
      <c r="HR72" s="112"/>
      <c r="HS72" s="112"/>
      <c r="HT72" s="112"/>
      <c r="HU72" s="112"/>
      <c r="HV72" s="112"/>
      <c r="HW72" s="112"/>
      <c r="HX72" s="112"/>
      <c r="HY72" s="112"/>
      <c r="HZ72" s="112"/>
      <c r="IA72" s="112"/>
      <c r="IB72" s="112"/>
      <c r="IC72" s="112"/>
      <c r="ID72" s="112"/>
      <c r="IE72" s="112"/>
      <c r="IF72" s="112"/>
    </row>
    <row r="73" spans="1:240" ht="18.75" customHeight="1" x14ac:dyDescent="0.3">
      <c r="A73" s="74"/>
      <c r="B73" s="74"/>
      <c r="C73" s="74"/>
      <c r="D73" s="74"/>
      <c r="E73" s="74"/>
      <c r="F73" s="74"/>
      <c r="G73" s="74"/>
      <c r="H73" s="74"/>
      <c r="I73" s="74"/>
      <c r="J73" s="74"/>
      <c r="K73" s="74"/>
    </row>
    <row r="74" spans="1:240" ht="18.75" customHeight="1" x14ac:dyDescent="0.3">
      <c r="A74" s="74"/>
      <c r="B74" s="74"/>
      <c r="C74" s="74"/>
      <c r="D74" s="74"/>
      <c r="E74" s="74"/>
      <c r="F74" s="74"/>
      <c r="G74" s="74"/>
      <c r="H74" s="74"/>
      <c r="I74" s="74"/>
      <c r="J74" s="74"/>
      <c r="K74" s="74"/>
    </row>
    <row r="75" spans="1:240" ht="18.75" customHeight="1" x14ac:dyDescent="0.3">
      <c r="A75" s="74"/>
      <c r="B75" s="77"/>
      <c r="C75" s="77"/>
      <c r="D75" s="74"/>
      <c r="E75" s="74"/>
      <c r="F75" s="74"/>
      <c r="G75" s="77"/>
      <c r="H75" s="77"/>
      <c r="I75" s="74"/>
      <c r="J75" s="74"/>
      <c r="K75" s="74"/>
    </row>
    <row r="76" spans="1:240" ht="18.75" customHeight="1" x14ac:dyDescent="0.3">
      <c r="A76" s="74"/>
      <c r="B76" s="74"/>
      <c r="C76" s="74"/>
      <c r="D76" s="74"/>
      <c r="E76" s="74"/>
      <c r="F76" s="74"/>
      <c r="G76" s="74"/>
      <c r="H76" s="74"/>
      <c r="I76" s="74"/>
      <c r="J76" s="74"/>
      <c r="K76" s="74"/>
    </row>
    <row r="77" spans="1:240" ht="18.75" customHeight="1" x14ac:dyDescent="0.3">
      <c r="A77" s="74"/>
      <c r="B77" s="74"/>
      <c r="C77" s="74"/>
      <c r="D77" s="74"/>
      <c r="E77" s="74"/>
      <c r="F77" s="74"/>
      <c r="G77" s="74"/>
      <c r="H77" s="74"/>
      <c r="I77" s="74"/>
      <c r="J77" s="74"/>
      <c r="K77" s="74"/>
    </row>
    <row r="78" spans="1:240" ht="18.75" customHeight="1" x14ac:dyDescent="0.3">
      <c r="A78" s="74"/>
      <c r="B78" s="74"/>
      <c r="C78" s="74"/>
      <c r="D78" s="74"/>
      <c r="E78" s="74"/>
      <c r="F78" s="74"/>
      <c r="G78" s="74"/>
      <c r="H78" s="74"/>
      <c r="I78" s="74"/>
      <c r="J78" s="74"/>
      <c r="K78" s="74"/>
    </row>
    <row r="79" spans="1:240" ht="18.75" customHeight="1" x14ac:dyDescent="0.3">
      <c r="A79" s="74"/>
      <c r="B79" s="74"/>
      <c r="C79" s="74"/>
      <c r="D79" s="74"/>
      <c r="E79" s="74"/>
      <c r="F79" s="74"/>
      <c r="G79" s="74"/>
      <c r="H79" s="74"/>
      <c r="I79" s="74"/>
      <c r="J79" s="74"/>
      <c r="K79" s="74"/>
    </row>
    <row r="80" spans="1:240" ht="18.75" x14ac:dyDescent="0.3">
      <c r="A80" s="74"/>
      <c r="B80" s="74"/>
      <c r="C80" s="74"/>
      <c r="D80" s="74"/>
      <c r="E80" s="74"/>
      <c r="F80" s="74"/>
      <c r="G80" s="74"/>
      <c r="H80" s="74"/>
      <c r="I80" s="74"/>
      <c r="J80" s="74"/>
      <c r="K80" s="74"/>
    </row>
    <row r="81" spans="1:11" ht="18.75" x14ac:dyDescent="0.3">
      <c r="A81" s="74"/>
      <c r="B81" s="74"/>
      <c r="C81" s="74"/>
      <c r="D81" s="74"/>
      <c r="E81" s="74"/>
      <c r="F81" s="74"/>
      <c r="G81" s="74"/>
      <c r="H81" s="74"/>
      <c r="I81" s="74"/>
      <c r="J81" s="74"/>
      <c r="K81" s="74"/>
    </row>
    <row r="82" spans="1:11" ht="18.75" x14ac:dyDescent="0.3">
      <c r="A82" s="74"/>
      <c r="B82" s="74"/>
      <c r="C82" s="74"/>
      <c r="D82" s="74"/>
      <c r="E82" s="74"/>
      <c r="F82" s="74"/>
      <c r="G82" s="74"/>
      <c r="H82" s="74"/>
      <c r="I82" s="74"/>
      <c r="J82" s="74"/>
      <c r="K82" s="74"/>
    </row>
    <row r="83" spans="1:11" ht="18.75" x14ac:dyDescent="0.3">
      <c r="A83" s="74"/>
      <c r="B83" s="74"/>
      <c r="C83" s="74"/>
      <c r="D83" s="74"/>
      <c r="E83" s="74"/>
      <c r="F83" s="74"/>
      <c r="G83" s="74"/>
      <c r="H83" s="74"/>
      <c r="I83" s="74"/>
      <c r="J83" s="74"/>
      <c r="K83" s="74"/>
    </row>
    <row r="84" spans="1:11" ht="18.75" x14ac:dyDescent="0.3">
      <c r="A84" s="74"/>
      <c r="B84" s="74"/>
      <c r="C84" s="74"/>
      <c r="D84" s="74"/>
      <c r="E84" s="74"/>
      <c r="F84" s="74"/>
      <c r="G84" s="74"/>
      <c r="H84" s="74"/>
      <c r="I84" s="74"/>
      <c r="J84" s="74"/>
      <c r="K84" s="74"/>
    </row>
    <row r="85" spans="1:11" ht="18.75" x14ac:dyDescent="0.3">
      <c r="A85" s="74"/>
      <c r="B85" s="74"/>
      <c r="C85" s="74"/>
      <c r="D85" s="74"/>
      <c r="E85" s="74"/>
      <c r="F85" s="74"/>
      <c r="G85" s="74"/>
      <c r="H85" s="74"/>
      <c r="I85" s="74"/>
      <c r="J85" s="74"/>
      <c r="K85" s="74"/>
    </row>
    <row r="86" spans="1:11" ht="18.75" x14ac:dyDescent="0.3">
      <c r="A86" s="74"/>
      <c r="B86" s="74"/>
      <c r="C86" s="74"/>
      <c r="D86" s="74"/>
      <c r="E86" s="74"/>
      <c r="F86" s="74"/>
      <c r="G86" s="74"/>
      <c r="H86" s="74"/>
      <c r="I86" s="74"/>
      <c r="J86" s="74"/>
      <c r="K86" s="74"/>
    </row>
    <row r="87" spans="1:11" ht="18.75" x14ac:dyDescent="0.3">
      <c r="A87" s="74"/>
      <c r="B87" s="74"/>
      <c r="C87" s="74"/>
      <c r="D87" s="74"/>
      <c r="E87" s="74"/>
      <c r="F87" s="74"/>
      <c r="G87" s="74"/>
      <c r="H87" s="74"/>
      <c r="I87" s="74"/>
      <c r="J87" s="74"/>
      <c r="K87" s="74"/>
    </row>
    <row r="88" spans="1:11" ht="18.75" x14ac:dyDescent="0.3">
      <c r="A88" s="74"/>
      <c r="B88" s="74"/>
      <c r="C88" s="74"/>
      <c r="D88" s="74"/>
      <c r="E88" s="74"/>
      <c r="F88" s="74"/>
      <c r="G88" s="74"/>
      <c r="H88" s="74"/>
      <c r="I88" s="74"/>
      <c r="J88" s="74"/>
      <c r="K88" s="74"/>
    </row>
    <row r="89" spans="1:11" ht="18.75" x14ac:dyDescent="0.3">
      <c r="A89" s="74"/>
      <c r="B89" s="74"/>
      <c r="C89" s="74"/>
      <c r="D89" s="74"/>
      <c r="E89" s="74"/>
      <c r="F89" s="74"/>
      <c r="G89" s="74"/>
      <c r="H89" s="74"/>
      <c r="I89" s="74"/>
      <c r="J89" s="74"/>
      <c r="K89" s="74"/>
    </row>
    <row r="90" spans="1:11" ht="18.75" x14ac:dyDescent="0.3">
      <c r="A90" s="74"/>
      <c r="B90" s="74"/>
      <c r="C90" s="74"/>
      <c r="D90" s="74"/>
      <c r="E90" s="74"/>
      <c r="F90" s="74"/>
      <c r="G90" s="74"/>
      <c r="H90" s="74"/>
      <c r="I90" s="74"/>
      <c r="J90" s="74"/>
      <c r="K90" s="74"/>
    </row>
    <row r="91" spans="1:11" ht="18.75" x14ac:dyDescent="0.3">
      <c r="A91" s="74"/>
      <c r="B91" s="74"/>
      <c r="C91" s="74"/>
      <c r="D91" s="74"/>
      <c r="E91" s="74"/>
      <c r="F91" s="74"/>
      <c r="G91" s="74"/>
      <c r="H91" s="74"/>
      <c r="I91" s="74"/>
      <c r="J91" s="74"/>
      <c r="K91" s="74"/>
    </row>
    <row r="92" spans="1:11" ht="18.75" x14ac:dyDescent="0.3">
      <c r="A92" s="74"/>
      <c r="B92" s="74"/>
      <c r="C92" s="74"/>
      <c r="D92" s="74"/>
      <c r="E92" s="74"/>
      <c r="F92" s="74"/>
      <c r="G92" s="74"/>
      <c r="H92" s="74"/>
      <c r="I92" s="74"/>
      <c r="J92" s="74"/>
      <c r="K92" s="74"/>
    </row>
    <row r="93" spans="1:11" ht="18.75" x14ac:dyDescent="0.3">
      <c r="A93" s="74"/>
      <c r="B93" s="74"/>
      <c r="C93" s="74"/>
      <c r="D93" s="74"/>
      <c r="E93" s="74"/>
      <c r="F93" s="74"/>
      <c r="G93" s="74"/>
      <c r="H93" s="74"/>
      <c r="I93" s="74"/>
      <c r="J93" s="74"/>
      <c r="K93" s="74"/>
    </row>
    <row r="94" spans="1:11" ht="18.75" x14ac:dyDescent="0.3">
      <c r="A94" s="74"/>
      <c r="B94" s="74"/>
      <c r="C94" s="74"/>
      <c r="D94" s="74"/>
      <c r="E94" s="74"/>
      <c r="F94" s="74"/>
      <c r="G94" s="74"/>
      <c r="H94" s="74"/>
      <c r="I94" s="74"/>
      <c r="J94" s="74"/>
      <c r="K94" s="74"/>
    </row>
    <row r="95" spans="1:11" ht="18.75" x14ac:dyDescent="0.3">
      <c r="A95" s="74"/>
      <c r="B95" s="74"/>
      <c r="C95" s="74"/>
      <c r="D95" s="74"/>
      <c r="E95" s="74"/>
      <c r="F95" s="74"/>
      <c r="G95" s="74"/>
      <c r="H95" s="74"/>
      <c r="I95" s="74"/>
      <c r="J95" s="74"/>
      <c r="K95" s="74"/>
    </row>
    <row r="96" spans="1:11" ht="18.75" x14ac:dyDescent="0.3">
      <c r="A96" s="74"/>
      <c r="B96" s="74"/>
      <c r="C96" s="74"/>
      <c r="D96" s="74"/>
      <c r="E96" s="74"/>
      <c r="F96" s="74"/>
      <c r="G96" s="74"/>
      <c r="H96" s="74"/>
      <c r="I96" s="74"/>
      <c r="J96" s="74"/>
      <c r="K96" s="74"/>
    </row>
    <row r="97" spans="1:11" ht="18.75" x14ac:dyDescent="0.3">
      <c r="A97" s="112"/>
      <c r="B97" s="112"/>
      <c r="C97" s="112"/>
      <c r="D97" s="112"/>
      <c r="E97" s="112"/>
      <c r="F97" s="112"/>
      <c r="G97" s="112"/>
      <c r="H97" s="112"/>
      <c r="I97" s="112"/>
      <c r="J97" s="112"/>
      <c r="K97" s="112"/>
    </row>
    <row r="98" spans="1:11" ht="18.75" x14ac:dyDescent="0.3">
      <c r="A98" s="116"/>
      <c r="B98" s="117"/>
      <c r="C98" s="117"/>
      <c r="D98" s="117"/>
      <c r="E98" s="74"/>
      <c r="F98" s="74"/>
      <c r="G98" s="74"/>
      <c r="H98" s="74"/>
      <c r="I98" s="74"/>
      <c r="J98" s="75"/>
      <c r="K98" s="75"/>
    </row>
    <row r="99" spans="1:11" ht="18.75" x14ac:dyDescent="0.3">
      <c r="A99" s="74"/>
      <c r="B99" s="74"/>
      <c r="C99" s="74"/>
      <c r="D99" s="74"/>
      <c r="E99" s="74"/>
      <c r="F99" s="74"/>
      <c r="G99" s="74"/>
      <c r="H99" s="74"/>
      <c r="I99" s="74"/>
      <c r="J99" s="74"/>
      <c r="K99" s="74"/>
    </row>
    <row r="100" spans="1:11" ht="18.75" x14ac:dyDescent="0.3">
      <c r="A100" s="74"/>
      <c r="B100" s="74"/>
      <c r="C100" s="74"/>
      <c r="D100" s="74"/>
      <c r="E100" s="74"/>
      <c r="F100" s="74"/>
      <c r="G100" s="74"/>
      <c r="H100" s="74"/>
      <c r="I100" s="74"/>
      <c r="J100" s="74"/>
      <c r="K100" s="74"/>
    </row>
    <row r="101" spans="1:11" ht="18.75" x14ac:dyDescent="0.3">
      <c r="A101" s="74"/>
      <c r="B101" s="74"/>
      <c r="C101" s="74"/>
      <c r="D101" s="74"/>
      <c r="E101" s="74"/>
      <c r="F101" s="74"/>
      <c r="G101" s="74"/>
      <c r="H101" s="74"/>
      <c r="I101" s="74"/>
      <c r="J101" s="74"/>
      <c r="K101" s="74"/>
    </row>
    <row r="102" spans="1:11" ht="18.75" x14ac:dyDescent="0.3">
      <c r="A102" s="74"/>
      <c r="B102" s="74"/>
      <c r="C102" s="74"/>
      <c r="D102" s="74"/>
      <c r="E102" s="74"/>
      <c r="F102" s="74"/>
      <c r="G102" s="74"/>
      <c r="H102" s="74"/>
      <c r="I102" s="74"/>
      <c r="J102" s="74"/>
      <c r="K102" s="74"/>
    </row>
    <row r="103" spans="1:11" ht="18.75" x14ac:dyDescent="0.3">
      <c r="A103" s="74"/>
      <c r="B103" s="74"/>
      <c r="C103" s="74"/>
      <c r="D103" s="74"/>
      <c r="E103" s="74"/>
      <c r="F103" s="74"/>
      <c r="G103" s="74"/>
      <c r="H103" s="74"/>
      <c r="I103" s="74"/>
      <c r="J103" s="74"/>
      <c r="K103" s="74"/>
    </row>
    <row r="104" spans="1:11" ht="18.75" x14ac:dyDescent="0.3">
      <c r="A104" s="74"/>
      <c r="B104" s="74"/>
      <c r="C104" s="74"/>
      <c r="D104" s="74"/>
      <c r="E104" s="74"/>
      <c r="F104" s="74"/>
      <c r="G104" s="74"/>
      <c r="H104" s="74"/>
      <c r="I104" s="74"/>
      <c r="J104" s="74"/>
      <c r="K104" s="74"/>
    </row>
    <row r="105" spans="1:11" ht="18.75" x14ac:dyDescent="0.3">
      <c r="A105" s="74"/>
      <c r="B105" s="74"/>
      <c r="C105" s="74"/>
      <c r="D105" s="74"/>
      <c r="E105" s="74"/>
      <c r="F105" s="74"/>
      <c r="G105" s="74"/>
      <c r="H105" s="74"/>
      <c r="I105" s="74"/>
      <c r="J105" s="74"/>
      <c r="K105" s="74"/>
    </row>
    <row r="106" spans="1:11" ht="18.75" x14ac:dyDescent="0.3">
      <c r="A106" s="74"/>
      <c r="B106" s="74"/>
      <c r="C106" s="74"/>
      <c r="D106" s="74"/>
      <c r="E106" s="74"/>
      <c r="F106" s="74"/>
      <c r="G106" s="74"/>
      <c r="H106" s="74"/>
      <c r="I106" s="74"/>
      <c r="J106" s="74"/>
      <c r="K106" s="74"/>
    </row>
    <row r="107" spans="1:11" ht="18.75" x14ac:dyDescent="0.3">
      <c r="A107" s="74"/>
      <c r="B107" s="74"/>
      <c r="C107" s="74"/>
      <c r="D107" s="74"/>
      <c r="E107" s="74"/>
      <c r="F107" s="74"/>
      <c r="G107" s="74"/>
      <c r="H107" s="74"/>
      <c r="I107" s="74"/>
      <c r="J107" s="74"/>
      <c r="K107" s="74"/>
    </row>
    <row r="108" spans="1:11" ht="18.75" x14ac:dyDescent="0.3">
      <c r="A108" s="74"/>
      <c r="B108" s="74"/>
      <c r="C108" s="74"/>
      <c r="D108" s="74"/>
      <c r="E108" s="74"/>
      <c r="F108" s="74"/>
      <c r="G108" s="74"/>
      <c r="H108" s="74"/>
      <c r="I108" s="74"/>
      <c r="J108" s="74"/>
      <c r="K108" s="74"/>
    </row>
    <row r="109" spans="1:11" ht="18.75" x14ac:dyDescent="0.3">
      <c r="A109" s="74"/>
      <c r="B109" s="74"/>
      <c r="C109" s="74"/>
      <c r="D109" s="74"/>
      <c r="E109" s="74"/>
      <c r="F109" s="74"/>
      <c r="G109" s="74"/>
      <c r="H109" s="74"/>
      <c r="I109" s="74"/>
      <c r="J109" s="74"/>
      <c r="K109" s="74"/>
    </row>
    <row r="110" spans="1:11" ht="18.75" x14ac:dyDescent="0.3">
      <c r="A110" s="74"/>
      <c r="B110" s="74"/>
      <c r="C110" s="74"/>
      <c r="D110" s="74"/>
      <c r="E110" s="74"/>
      <c r="F110" s="74"/>
      <c r="G110" s="74"/>
      <c r="H110" s="74"/>
      <c r="I110" s="74"/>
      <c r="J110" s="74"/>
      <c r="K110" s="74"/>
    </row>
  </sheetData>
  <mergeCells count="5">
    <mergeCell ref="N5:O5"/>
    <mergeCell ref="A3:B3"/>
    <mergeCell ref="B5:E5"/>
    <mergeCell ref="G5:J5"/>
    <mergeCell ref="L5:M5"/>
  </mergeCells>
  <hyperlinks>
    <hyperlink ref="B1" location="Innhold!A1" display="Tilbake" xr:uid="{00000000-0004-0000-0300-000000000000}"/>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W115"/>
  <sheetViews>
    <sheetView showGridLines="0" showZeros="0" zoomScale="70" zoomScaleNormal="7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8" x14ac:dyDescent="0.25"/>
  <cols>
    <col min="1" max="1" width="51" style="81" customWidth="1"/>
    <col min="2" max="3" width="17.85546875" style="81" bestFit="1" customWidth="1"/>
    <col min="4" max="4" width="9.28515625" style="81" bestFit="1" customWidth="1"/>
    <col min="5" max="5" width="4.7109375" style="81" customWidth="1"/>
    <col min="6" max="7" width="16.7109375" style="81" customWidth="1"/>
    <col min="8" max="8" width="9.28515625" style="81" bestFit="1" customWidth="1"/>
    <col min="9" max="9" width="4.7109375" style="81" customWidth="1"/>
    <col min="10" max="10" width="18.85546875" style="81" customWidth="1"/>
    <col min="11" max="11" width="18" style="81" bestFit="1" customWidth="1"/>
    <col min="12" max="12" width="9.28515625" style="81" bestFit="1" customWidth="1"/>
    <col min="13" max="13" width="11.42578125" style="81"/>
    <col min="14" max="15" width="17.140625" style="81" bestFit="1" customWidth="1"/>
    <col min="16" max="16384" width="11.42578125" style="81"/>
  </cols>
  <sheetData>
    <row r="1" spans="1:13" ht="20.25" x14ac:dyDescent="0.3">
      <c r="A1" s="80" t="s">
        <v>79</v>
      </c>
      <c r="B1" s="73" t="s">
        <v>52</v>
      </c>
      <c r="C1" s="74"/>
      <c r="D1" s="74"/>
      <c r="E1" s="74"/>
      <c r="F1" s="74"/>
      <c r="G1" s="74"/>
      <c r="H1" s="74"/>
      <c r="I1" s="74"/>
      <c r="J1" s="74"/>
      <c r="K1" s="74"/>
      <c r="L1" s="74"/>
      <c r="M1" s="74"/>
    </row>
    <row r="2" spans="1:13" ht="20.25" x14ac:dyDescent="0.3">
      <c r="A2" s="80" t="s">
        <v>106</v>
      </c>
      <c r="B2" s="73"/>
      <c r="C2" s="74"/>
      <c r="D2" s="74"/>
      <c r="E2" s="74"/>
      <c r="F2" s="74"/>
      <c r="G2" s="74"/>
      <c r="H2" s="74"/>
      <c r="I2" s="74"/>
      <c r="J2" s="74"/>
      <c r="K2" s="74"/>
      <c r="L2" s="74"/>
      <c r="M2" s="74"/>
    </row>
    <row r="3" spans="1:13" ht="18.75" x14ac:dyDescent="0.3">
      <c r="A3" s="75" t="s">
        <v>107</v>
      </c>
      <c r="B3" s="74"/>
      <c r="C3" s="74"/>
      <c r="D3" s="74"/>
      <c r="E3" s="74"/>
      <c r="F3" s="74"/>
      <c r="G3" s="74"/>
      <c r="H3" s="74"/>
      <c r="I3" s="74"/>
      <c r="J3" s="74"/>
      <c r="K3" s="74"/>
      <c r="L3" s="74"/>
      <c r="M3" s="74"/>
    </row>
    <row r="4" spans="1:13" ht="18.75" x14ac:dyDescent="0.3">
      <c r="A4" s="82" t="s">
        <v>367</v>
      </c>
      <c r="B4" s="102"/>
      <c r="C4" s="118"/>
      <c r="D4" s="119"/>
      <c r="E4" s="112"/>
      <c r="F4" s="83"/>
      <c r="G4" s="84"/>
      <c r="H4" s="85"/>
      <c r="I4" s="112"/>
      <c r="J4" s="83"/>
      <c r="K4" s="84"/>
      <c r="L4" s="85"/>
      <c r="M4" s="74"/>
    </row>
    <row r="5" spans="1:13" ht="18.75" x14ac:dyDescent="0.3">
      <c r="A5" s="120"/>
      <c r="B5" s="954" t="s">
        <v>0</v>
      </c>
      <c r="C5" s="955"/>
      <c r="D5" s="956"/>
      <c r="E5" s="89"/>
      <c r="F5" s="954" t="s">
        <v>1</v>
      </c>
      <c r="G5" s="955"/>
      <c r="H5" s="956"/>
      <c r="I5" s="121"/>
      <c r="J5" s="954" t="s">
        <v>108</v>
      </c>
      <c r="K5" s="955"/>
      <c r="L5" s="956"/>
      <c r="M5" s="74"/>
    </row>
    <row r="6" spans="1:13" ht="18.75" x14ac:dyDescent="0.3">
      <c r="A6" s="122"/>
      <c r="B6" s="123"/>
      <c r="C6" s="124"/>
      <c r="D6" s="94" t="s">
        <v>109</v>
      </c>
      <c r="E6" s="100"/>
      <c r="F6" s="123"/>
      <c r="G6" s="124"/>
      <c r="H6" s="94" t="s">
        <v>109</v>
      </c>
      <c r="I6" s="125"/>
      <c r="J6" s="123"/>
      <c r="K6" s="124"/>
      <c r="L6" s="94" t="s">
        <v>109</v>
      </c>
      <c r="M6" s="74"/>
    </row>
    <row r="7" spans="1:13" ht="18.75" x14ac:dyDescent="0.3">
      <c r="A7" s="126" t="s">
        <v>110</v>
      </c>
      <c r="B7" s="127">
        <v>2018</v>
      </c>
      <c r="C7" s="185">
        <v>2019</v>
      </c>
      <c r="D7" s="99" t="s">
        <v>85</v>
      </c>
      <c r="E7" s="100"/>
      <c r="F7" s="97">
        <v>2018</v>
      </c>
      <c r="G7" s="127">
        <v>2019</v>
      </c>
      <c r="H7" s="99" t="s">
        <v>85</v>
      </c>
      <c r="I7" s="128"/>
      <c r="J7" s="184">
        <v>2018</v>
      </c>
      <c r="K7" s="185">
        <v>2019</v>
      </c>
      <c r="L7" s="99" t="s">
        <v>85</v>
      </c>
      <c r="M7" s="74"/>
    </row>
    <row r="8" spans="1:13" ht="22.5" x14ac:dyDescent="0.3">
      <c r="A8" s="192" t="s">
        <v>111</v>
      </c>
      <c r="B8" s="232"/>
      <c r="C8" s="201"/>
      <c r="D8" s="201"/>
      <c r="E8" s="182"/>
      <c r="F8" s="201"/>
      <c r="G8" s="201"/>
      <c r="H8" s="201"/>
      <c r="I8" s="202"/>
      <c r="J8" s="201"/>
      <c r="K8" s="201"/>
      <c r="L8" s="201"/>
      <c r="M8" s="74"/>
    </row>
    <row r="9" spans="1:13" ht="18.75" x14ac:dyDescent="0.3">
      <c r="A9" s="193" t="s">
        <v>112</v>
      </c>
      <c r="B9" s="104">
        <f>'Skjema total MA'!B7</f>
        <v>4548818.24551873</v>
      </c>
      <c r="C9" s="104">
        <f>'Skjema total MA'!C7</f>
        <v>4702224.3708596798</v>
      </c>
      <c r="D9" s="233">
        <f>IF(B9=0, "    ---- ", IF(ABS(ROUND(100/B9*C9-100,1))&lt;999,ROUND(100/B9*C9-100,1),IF(ROUND(100/B9*C9-100,1)&gt;999,999,-999)))</f>
        <v>3.4</v>
      </c>
      <c r="E9" s="182"/>
      <c r="F9" s="196">
        <f>'Skjema total MA'!E7</f>
        <v>7194932.5101800002</v>
      </c>
      <c r="G9" s="196">
        <f>'Skjema total MA'!F7</f>
        <v>10447209.588509999</v>
      </c>
      <c r="H9" s="233">
        <f>IF(F9=0, "    ---- ", IF(ABS(ROUND(100/F9*G9-100,1))&lt;999,ROUND(100/F9*G9-100,1),IF(ROUND(100/F9*G9-100,1)&gt;999,999,-999)))</f>
        <v>45.2</v>
      </c>
      <c r="I9" s="182"/>
      <c r="J9" s="196">
        <f t="shared" ref="J9:K60" si="0">SUM(B9+F9)</f>
        <v>11743750.755698729</v>
      </c>
      <c r="K9" s="196">
        <f t="shared" si="0"/>
        <v>15149433.959369678</v>
      </c>
      <c r="L9" s="231">
        <f>IF(J9=0, "    ---- ", IF(ABS(ROUND(100/J9*K9-100,1))&lt;999,ROUND(100/J9*K9-100,1),IF(ROUND(100/J9*K9-100,1)&gt;999,999,-999)))</f>
        <v>29</v>
      </c>
      <c r="M9" s="74"/>
    </row>
    <row r="10" spans="1:13" ht="18.75" x14ac:dyDescent="0.3">
      <c r="A10" s="193" t="s">
        <v>113</v>
      </c>
      <c r="B10" s="104">
        <f>'Skjema total MA'!B22</f>
        <v>1581148.7813167991</v>
      </c>
      <c r="C10" s="104">
        <f>'Skjema total MA'!C22</f>
        <v>1788692.4403534168</v>
      </c>
      <c r="D10" s="233">
        <f t="shared" ref="D10:D17" si="1">IF(B10=0, "    ---- ", IF(ABS(ROUND(100/B10*C10-100,1))&lt;999,ROUND(100/B10*C10-100,1),IF(ROUND(100/B10*C10-100,1)&gt;999,999,-999)))</f>
        <v>13.1</v>
      </c>
      <c r="E10" s="182"/>
      <c r="F10" s="196">
        <f>'Skjema total MA'!E22</f>
        <v>1272183.97545</v>
      </c>
      <c r="G10" s="196">
        <f>'Skjema total MA'!F22</f>
        <v>1321585.56541</v>
      </c>
      <c r="H10" s="233">
        <f t="shared" ref="H10:H57" si="2">IF(F10=0, "    ---- ", IF(ABS(ROUND(100/F10*G10-100,1))&lt;999,ROUND(100/F10*G10-100,1),IF(ROUND(100/F10*G10-100,1)&gt;999,999,-999)))</f>
        <v>3.9</v>
      </c>
      <c r="I10" s="182"/>
      <c r="J10" s="196">
        <f t="shared" si="0"/>
        <v>2853332.7567667989</v>
      </c>
      <c r="K10" s="196">
        <f t="shared" si="0"/>
        <v>3110278.0057634171</v>
      </c>
      <c r="L10" s="231">
        <f t="shared" ref="L10:L60" si="3">IF(J10=0, "    ---- ", IF(ABS(ROUND(100/J10*K10-100,1))&lt;999,ROUND(100/J10*K10-100,1),IF(ROUND(100/J10*K10-100,1)&gt;999,999,-999)))</f>
        <v>9</v>
      </c>
      <c r="M10" s="74"/>
    </row>
    <row r="11" spans="1:13" ht="18.75" x14ac:dyDescent="0.3">
      <c r="A11" s="193" t="s">
        <v>114</v>
      </c>
      <c r="B11" s="104">
        <f>'Skjema total MA'!B47</f>
        <v>4197749.6637307834</v>
      </c>
      <c r="C11" s="104">
        <f>'Skjema total MA'!C47</f>
        <v>4328043.2384185186</v>
      </c>
      <c r="D11" s="233">
        <f t="shared" si="1"/>
        <v>3.1</v>
      </c>
      <c r="E11" s="182"/>
      <c r="F11" s="196"/>
      <c r="G11" s="196"/>
      <c r="H11" s="233"/>
      <c r="I11" s="182"/>
      <c r="J11" s="196">
        <f t="shared" si="0"/>
        <v>4197749.6637307834</v>
      </c>
      <c r="K11" s="196">
        <f t="shared" si="0"/>
        <v>4328043.2384185186</v>
      </c>
      <c r="L11" s="231">
        <f t="shared" si="3"/>
        <v>3.1</v>
      </c>
      <c r="M11" s="74"/>
    </row>
    <row r="12" spans="1:13" ht="18.75" x14ac:dyDescent="0.3">
      <c r="A12" s="193" t="s">
        <v>115</v>
      </c>
      <c r="B12" s="104">
        <f>'Skjema total MA'!B66</f>
        <v>8827978.527449999</v>
      </c>
      <c r="C12" s="104">
        <f>'Skjema total MA'!C66</f>
        <v>8808966.7867200002</v>
      </c>
      <c r="D12" s="233">
        <f t="shared" si="1"/>
        <v>-0.2</v>
      </c>
      <c r="E12" s="182"/>
      <c r="F12" s="196">
        <f>'Skjema total MA'!E66</f>
        <v>28954658.446547724</v>
      </c>
      <c r="G12" s="196">
        <f>'Skjema total MA'!F66</f>
        <v>32289611.062169999</v>
      </c>
      <c r="H12" s="233">
        <f t="shared" si="2"/>
        <v>11.5</v>
      </c>
      <c r="I12" s="182"/>
      <c r="J12" s="196">
        <f t="shared" si="0"/>
        <v>37782636.973997727</v>
      </c>
      <c r="K12" s="196">
        <f t="shared" si="0"/>
        <v>41098577.848889999</v>
      </c>
      <c r="L12" s="231">
        <f t="shared" si="3"/>
        <v>8.8000000000000007</v>
      </c>
      <c r="M12" s="74"/>
    </row>
    <row r="13" spans="1:13" ht="18.75" x14ac:dyDescent="0.3">
      <c r="A13" s="193" t="s">
        <v>116</v>
      </c>
      <c r="B13" s="104">
        <f>'Skjema total MA'!B68</f>
        <v>149078.27249</v>
      </c>
      <c r="C13" s="104">
        <f>'Skjema total MA'!C68</f>
        <v>146003.35967999999</v>
      </c>
      <c r="D13" s="233">
        <f t="shared" si="1"/>
        <v>-2.1</v>
      </c>
      <c r="E13" s="182"/>
      <c r="F13" s="196">
        <f>'Skjema total MA'!E68</f>
        <v>28548246.69539772</v>
      </c>
      <c r="G13" s="196">
        <f>'Skjema total MA'!F68</f>
        <v>31851980.505620003</v>
      </c>
      <c r="H13" s="233">
        <f t="shared" si="2"/>
        <v>11.6</v>
      </c>
      <c r="I13" s="182"/>
      <c r="J13" s="196">
        <f t="shared" si="0"/>
        <v>28697324.967887718</v>
      </c>
      <c r="K13" s="196">
        <f t="shared" si="0"/>
        <v>31997983.865300003</v>
      </c>
      <c r="L13" s="231">
        <f t="shared" si="3"/>
        <v>11.5</v>
      </c>
      <c r="M13" s="74"/>
    </row>
    <row r="14" spans="1:13" s="133" customFormat="1" ht="18.75" x14ac:dyDescent="0.3">
      <c r="A14" s="194" t="s">
        <v>117</v>
      </c>
      <c r="B14" s="131">
        <f>'Skjema total MA'!B75</f>
        <v>322673.74612999998</v>
      </c>
      <c r="C14" s="131">
        <f>'Skjema total MA'!C75</f>
        <v>390399.33177000005</v>
      </c>
      <c r="D14" s="233">
        <f t="shared" si="1"/>
        <v>21</v>
      </c>
      <c r="E14" s="183"/>
      <c r="F14" s="197">
        <f>'Skjema total MA'!E75</f>
        <v>406411.75115000003</v>
      </c>
      <c r="G14" s="197">
        <f>'Skjema total MA'!F75</f>
        <v>437630.55654999998</v>
      </c>
      <c r="H14" s="233">
        <f t="shared" si="2"/>
        <v>7.7</v>
      </c>
      <c r="I14" s="183"/>
      <c r="J14" s="196">
        <f t="shared" si="0"/>
        <v>729085.49728000001</v>
      </c>
      <c r="K14" s="196">
        <f t="shared" si="0"/>
        <v>828029.88832000003</v>
      </c>
      <c r="L14" s="231">
        <f t="shared" si="3"/>
        <v>13.6</v>
      </c>
      <c r="M14" s="132"/>
    </row>
    <row r="15" spans="1:13" ht="22.5" x14ac:dyDescent="0.3">
      <c r="A15" s="193" t="s">
        <v>356</v>
      </c>
      <c r="B15" s="104">
        <f>'Skjema total MA'!B134</f>
        <v>43607514.193259999</v>
      </c>
      <c r="C15" s="104">
        <f>'Skjema total MA'!C134</f>
        <v>45460871.025120005</v>
      </c>
      <c r="D15" s="233">
        <f t="shared" si="1"/>
        <v>4.3</v>
      </c>
      <c r="E15" s="182"/>
      <c r="F15" s="196">
        <f>'Skjema total MA'!E134</f>
        <v>148957.79199999999</v>
      </c>
      <c r="G15" s="196">
        <f>'Skjema total MA'!F134</f>
        <v>152808.77100000001</v>
      </c>
      <c r="H15" s="233">
        <f t="shared" si="2"/>
        <v>2.6</v>
      </c>
      <c r="I15" s="182"/>
      <c r="J15" s="196">
        <f t="shared" si="0"/>
        <v>43756471.985260002</v>
      </c>
      <c r="K15" s="196">
        <f t="shared" si="0"/>
        <v>45613679.796120003</v>
      </c>
      <c r="L15" s="231">
        <f t="shared" si="3"/>
        <v>4.2</v>
      </c>
      <c r="M15" s="74"/>
    </row>
    <row r="16" spans="1:13" ht="18.75" x14ac:dyDescent="0.3">
      <c r="A16" s="193" t="s">
        <v>118</v>
      </c>
      <c r="B16" s="104">
        <f>'Skjema total MA'!B36</f>
        <v>15256.704</v>
      </c>
      <c r="C16" s="104">
        <f>'Skjema total MA'!C36</f>
        <v>12205.221</v>
      </c>
      <c r="D16" s="233">
        <f t="shared" si="1"/>
        <v>-20</v>
      </c>
      <c r="E16" s="182"/>
      <c r="F16" s="196">
        <f>'Skjema total MA'!E36</f>
        <v>0</v>
      </c>
      <c r="G16" s="196">
        <f>'Skjema total MA'!F36</f>
        <v>0</v>
      </c>
      <c r="H16" s="233"/>
      <c r="I16" s="182"/>
      <c r="J16" s="196">
        <f t="shared" si="0"/>
        <v>15256.704</v>
      </c>
      <c r="K16" s="196">
        <f t="shared" si="0"/>
        <v>12205.221</v>
      </c>
      <c r="L16" s="231">
        <f t="shared" si="3"/>
        <v>-20</v>
      </c>
      <c r="M16" s="74"/>
    </row>
    <row r="17" spans="1:23" s="135" customFormat="1" ht="18.75" customHeight="1" x14ac:dyDescent="0.3">
      <c r="A17" s="137" t="s">
        <v>119</v>
      </c>
      <c r="B17" s="110">
        <f>'Tabel 1.1'!B31</f>
        <v>62778466.115276307</v>
      </c>
      <c r="C17" s="198">
        <f>'Tabel 1.1'!C31</f>
        <v>65101003.082471624</v>
      </c>
      <c r="D17" s="233">
        <f t="shared" si="1"/>
        <v>3.7</v>
      </c>
      <c r="E17" s="138"/>
      <c r="F17" s="198">
        <f>'Tabel 1.1'!B44</f>
        <v>37570732.724177718</v>
      </c>
      <c r="G17" s="198">
        <f>'Tabel 1.1'!C44</f>
        <v>44211214.987089999</v>
      </c>
      <c r="H17" s="233">
        <f t="shared" si="2"/>
        <v>17.7</v>
      </c>
      <c r="I17" s="138"/>
      <c r="J17" s="198">
        <f t="shared" si="0"/>
        <v>100349198.83945403</v>
      </c>
      <c r="K17" s="198">
        <f t="shared" si="0"/>
        <v>109312218.06956163</v>
      </c>
      <c r="L17" s="231">
        <f t="shared" si="3"/>
        <v>8.9</v>
      </c>
      <c r="M17" s="75"/>
      <c r="N17" s="134"/>
      <c r="O17" s="134"/>
      <c r="Q17" s="136"/>
      <c r="R17" s="136"/>
      <c r="S17" s="136"/>
      <c r="T17" s="136"/>
      <c r="U17" s="136"/>
      <c r="V17" s="136"/>
      <c r="W17" s="136"/>
    </row>
    <row r="18" spans="1:23" ht="18.75" customHeight="1" x14ac:dyDescent="0.3">
      <c r="A18" s="137"/>
      <c r="B18" s="104"/>
      <c r="C18" s="196"/>
      <c r="D18" s="196"/>
      <c r="E18" s="182"/>
      <c r="F18" s="196"/>
      <c r="G18" s="196"/>
      <c r="H18" s="233"/>
      <c r="I18" s="182"/>
      <c r="J18" s="196"/>
      <c r="K18" s="196"/>
      <c r="L18" s="231"/>
      <c r="M18" s="74"/>
    </row>
    <row r="19" spans="1:23" ht="18.75" customHeight="1" x14ac:dyDescent="0.3">
      <c r="A19" s="192" t="s">
        <v>357</v>
      </c>
      <c r="B19" s="200"/>
      <c r="C19" s="203"/>
      <c r="D19" s="196"/>
      <c r="E19" s="182"/>
      <c r="F19" s="203"/>
      <c r="G19" s="203"/>
      <c r="H19" s="233"/>
      <c r="I19" s="182"/>
      <c r="J19" s="196"/>
      <c r="K19" s="196"/>
      <c r="L19" s="231"/>
      <c r="M19" s="74"/>
    </row>
    <row r="20" spans="1:23" ht="18.75" customHeight="1" x14ac:dyDescent="0.3">
      <c r="A20" s="193" t="s">
        <v>112</v>
      </c>
      <c r="B20" s="104">
        <f>'Skjema total MA'!B10</f>
        <v>22453044.525717266</v>
      </c>
      <c r="C20" s="104">
        <f>'Skjema total MA'!C10</f>
        <v>21140855.829446681</v>
      </c>
      <c r="D20" s="233">
        <f>IF(B20=0, "    ---- ", IF(ABS(ROUND(100/B20*C20-100,1))&lt;999,ROUND(100/B20*C20-100,1),IF(ROUND(100/B20*C20-100,1)&gt;999,999,-999)))</f>
        <v>-5.8</v>
      </c>
      <c r="E20" s="182"/>
      <c r="F20" s="196">
        <f>'Skjema total MA'!E10</f>
        <v>41671357.724664405</v>
      </c>
      <c r="G20" s="196">
        <f>'Skjema total MA'!F10</f>
        <v>52977621.870609999</v>
      </c>
      <c r="H20" s="233">
        <f t="shared" si="2"/>
        <v>27.1</v>
      </c>
      <c r="I20" s="182"/>
      <c r="J20" s="196">
        <f t="shared" si="0"/>
        <v>64124402.250381671</v>
      </c>
      <c r="K20" s="196">
        <f t="shared" si="0"/>
        <v>74118477.700056672</v>
      </c>
      <c r="L20" s="231">
        <f t="shared" si="3"/>
        <v>15.6</v>
      </c>
      <c r="M20" s="74"/>
    </row>
    <row r="21" spans="1:23" ht="18.75" customHeight="1" x14ac:dyDescent="0.3">
      <c r="A21" s="193" t="s">
        <v>113</v>
      </c>
      <c r="B21" s="104">
        <f>'Skjema total MA'!B29</f>
        <v>47916142.416100003</v>
      </c>
      <c r="C21" s="104">
        <f>'Skjema total MA'!C29</f>
        <v>46977062.425480001</v>
      </c>
      <c r="D21" s="233">
        <f t="shared" ref="D21:D27" si="4">IF(B21=0, "    ---- ", IF(ABS(ROUND(100/B21*C21-100,1))&lt;999,ROUND(100/B21*C21-100,1),IF(ROUND(100/B21*C21-100,1)&gt;999,999,-999)))</f>
        <v>-2</v>
      </c>
      <c r="E21" s="182"/>
      <c r="F21" s="196">
        <f>'Skjema total MA'!E29</f>
        <v>19108924.803149998</v>
      </c>
      <c r="G21" s="196">
        <f>'Skjema total MA'!F29</f>
        <v>22338327.633749999</v>
      </c>
      <c r="H21" s="233">
        <f t="shared" si="2"/>
        <v>16.899999999999999</v>
      </c>
      <c r="I21" s="182"/>
      <c r="J21" s="196">
        <f t="shared" si="0"/>
        <v>67025067.219250001</v>
      </c>
      <c r="K21" s="196">
        <f t="shared" si="0"/>
        <v>69315390.05923</v>
      </c>
      <c r="L21" s="231">
        <f t="shared" si="3"/>
        <v>3.4</v>
      </c>
      <c r="M21" s="74"/>
    </row>
    <row r="22" spans="1:23" ht="18.75" x14ac:dyDescent="0.3">
      <c r="A22" s="193" t="s">
        <v>115</v>
      </c>
      <c r="B22" s="104">
        <f>'Skjema total MA'!B87</f>
        <v>386300595.53110218</v>
      </c>
      <c r="C22" s="104">
        <f>'Skjema total MA'!C87</f>
        <v>392024870.93138003</v>
      </c>
      <c r="D22" s="233">
        <f t="shared" si="4"/>
        <v>1.5</v>
      </c>
      <c r="E22" s="182"/>
      <c r="F22" s="196">
        <f>'Skjema total MA'!E87</f>
        <v>246310125.87968564</v>
      </c>
      <c r="G22" s="196">
        <f>'Skjema total MA'!F87</f>
        <v>314589446.54096997</v>
      </c>
      <c r="H22" s="233">
        <f t="shared" si="2"/>
        <v>27.7</v>
      </c>
      <c r="I22" s="182"/>
      <c r="J22" s="196">
        <f t="shared" si="0"/>
        <v>632610721.41078782</v>
      </c>
      <c r="K22" s="196">
        <f t="shared" si="0"/>
        <v>706614317.47235</v>
      </c>
      <c r="L22" s="231">
        <f t="shared" si="3"/>
        <v>11.7</v>
      </c>
      <c r="M22" s="74"/>
    </row>
    <row r="23" spans="1:23" ht="22.5" x14ac:dyDescent="0.3">
      <c r="A23" s="193" t="s">
        <v>120</v>
      </c>
      <c r="B23" s="104">
        <f>'Skjema total MA'!B89</f>
        <v>2719861.9205399998</v>
      </c>
      <c r="C23" s="104">
        <f>'Skjema total MA'!C89</f>
        <v>2983522.41585</v>
      </c>
      <c r="D23" s="233">
        <f t="shared" si="4"/>
        <v>9.6999999999999993</v>
      </c>
      <c r="E23" s="182"/>
      <c r="F23" s="196">
        <f>'Skjema total MA'!E89</f>
        <v>245299127.69542563</v>
      </c>
      <c r="G23" s="196">
        <f>'Skjema total MA'!F89</f>
        <v>313011680.88800001</v>
      </c>
      <c r="H23" s="233">
        <f t="shared" si="2"/>
        <v>27.6</v>
      </c>
      <c r="I23" s="182"/>
      <c r="J23" s="196">
        <f t="shared" si="0"/>
        <v>248018989.61596563</v>
      </c>
      <c r="K23" s="196">
        <f t="shared" si="0"/>
        <v>315995203.30385</v>
      </c>
      <c r="L23" s="231">
        <f t="shared" si="3"/>
        <v>27.4</v>
      </c>
      <c r="M23" s="74"/>
    </row>
    <row r="24" spans="1:23" ht="18.75" x14ac:dyDescent="0.3">
      <c r="A24" s="194" t="s">
        <v>117</v>
      </c>
      <c r="B24" s="104">
        <f>'Skjema total MA'!B96</f>
        <v>839685.03784</v>
      </c>
      <c r="C24" s="104">
        <f>'Skjema total MA'!C96</f>
        <v>1401970.99077</v>
      </c>
      <c r="D24" s="233">
        <f t="shared" si="4"/>
        <v>67</v>
      </c>
      <c r="E24" s="182"/>
      <c r="F24" s="196">
        <f>'Skjema total MA'!E96</f>
        <v>1010998.18426</v>
      </c>
      <c r="G24" s="196">
        <f>'Skjema total MA'!F96</f>
        <v>1577765.6529700002</v>
      </c>
      <c r="H24" s="233">
        <f t="shared" si="2"/>
        <v>56.1</v>
      </c>
      <c r="I24" s="182"/>
      <c r="J24" s="196">
        <f t="shared" si="0"/>
        <v>1850683.2220999999</v>
      </c>
      <c r="K24" s="196">
        <f t="shared" si="0"/>
        <v>2979736.6437400002</v>
      </c>
      <c r="L24" s="231">
        <f t="shared" si="3"/>
        <v>61</v>
      </c>
      <c r="M24" s="74"/>
    </row>
    <row r="25" spans="1:23" ht="22.5" x14ac:dyDescent="0.3">
      <c r="A25" s="193" t="s">
        <v>356</v>
      </c>
      <c r="B25" s="104">
        <f>'Skjema total MA'!B135</f>
        <v>549293662.85705996</v>
      </c>
      <c r="C25" s="104">
        <f>'Skjema total MA'!C135</f>
        <v>586695944.14879</v>
      </c>
      <c r="D25" s="233">
        <f t="shared" si="4"/>
        <v>6.8</v>
      </c>
      <c r="E25" s="182"/>
      <c r="F25" s="196">
        <f>'Skjema total MA'!E135</f>
        <v>2418695.24015</v>
      </c>
      <c r="G25" s="196">
        <f>'Skjema total MA'!F135</f>
        <v>2703759.0266499999</v>
      </c>
      <c r="H25" s="233">
        <f t="shared" si="2"/>
        <v>11.8</v>
      </c>
      <c r="I25" s="182"/>
      <c r="J25" s="196">
        <f t="shared" si="0"/>
        <v>551712358.09720993</v>
      </c>
      <c r="K25" s="196">
        <f t="shared" si="0"/>
        <v>589399703.17543995</v>
      </c>
      <c r="L25" s="231">
        <f t="shared" si="3"/>
        <v>6.8</v>
      </c>
      <c r="M25" s="74"/>
    </row>
    <row r="26" spans="1:23" ht="18.75" x14ac:dyDescent="0.3">
      <c r="A26" s="193" t="s">
        <v>118</v>
      </c>
      <c r="B26" s="104">
        <f>'Skjema total MA'!B37</f>
        <v>3738156.3530000001</v>
      </c>
      <c r="C26" s="104">
        <f>'Skjema total MA'!C37</f>
        <v>3584900.3</v>
      </c>
      <c r="D26" s="233">
        <f t="shared" si="4"/>
        <v>-4.0999999999999996</v>
      </c>
      <c r="E26" s="182"/>
      <c r="F26" s="196">
        <f>'Skjema total MA'!E37</f>
        <v>0</v>
      </c>
      <c r="G26" s="196">
        <f>'Skjema total MA'!F37</f>
        <v>0</v>
      </c>
      <c r="H26" s="233"/>
      <c r="I26" s="182"/>
      <c r="J26" s="196">
        <f t="shared" si="0"/>
        <v>3738156.3530000001</v>
      </c>
      <c r="K26" s="196">
        <f t="shared" si="0"/>
        <v>3584900.3</v>
      </c>
      <c r="L26" s="231">
        <f t="shared" si="3"/>
        <v>-4.0999999999999996</v>
      </c>
      <c r="M26" s="74"/>
    </row>
    <row r="27" spans="1:23" s="135" customFormat="1" ht="18.75" x14ac:dyDescent="0.3">
      <c r="A27" s="137" t="s">
        <v>121</v>
      </c>
      <c r="B27" s="110">
        <f>'Tabel 1.1'!G31</f>
        <v>1009701601.6829795</v>
      </c>
      <c r="C27" s="198">
        <f>'Tabel 1.1'!H31</f>
        <v>1050423633.6350967</v>
      </c>
      <c r="D27" s="233">
        <f t="shared" si="4"/>
        <v>4</v>
      </c>
      <c r="E27" s="138"/>
      <c r="F27" s="198">
        <f>'Tabel 1.1'!G44</f>
        <v>309509103.64765006</v>
      </c>
      <c r="G27" s="198">
        <f>'Tabel 1.1'!H44</f>
        <v>392609155.07198</v>
      </c>
      <c r="H27" s="233">
        <f t="shared" si="2"/>
        <v>26.8</v>
      </c>
      <c r="I27" s="138"/>
      <c r="J27" s="198">
        <f t="shared" si="0"/>
        <v>1319210705.3306296</v>
      </c>
      <c r="K27" s="198">
        <f t="shared" si="0"/>
        <v>1443032788.7070765</v>
      </c>
      <c r="L27" s="231">
        <f t="shared" si="3"/>
        <v>9.4</v>
      </c>
      <c r="M27" s="75"/>
      <c r="N27" s="134"/>
      <c r="O27" s="134"/>
    </row>
    <row r="28" spans="1:23" ht="18.75" x14ac:dyDescent="0.3">
      <c r="A28" s="137"/>
      <c r="B28" s="104"/>
      <c r="C28" s="196"/>
      <c r="D28" s="233"/>
      <c r="E28" s="182"/>
      <c r="F28" s="196"/>
      <c r="G28" s="196"/>
      <c r="H28" s="233"/>
      <c r="I28" s="182"/>
      <c r="J28" s="196">
        <f t="shared" si="0"/>
        <v>0</v>
      </c>
      <c r="K28" s="196">
        <f t="shared" si="0"/>
        <v>0</v>
      </c>
      <c r="L28" s="231"/>
      <c r="M28" s="74"/>
    </row>
    <row r="29" spans="1:23" ht="22.5" x14ac:dyDescent="0.3">
      <c r="A29" s="192" t="s">
        <v>358</v>
      </c>
      <c r="B29" s="200"/>
      <c r="C29" s="203"/>
      <c r="D29" s="196"/>
      <c r="E29" s="182"/>
      <c r="F29" s="196"/>
      <c r="G29" s="196"/>
      <c r="H29" s="233"/>
      <c r="I29" s="182"/>
      <c r="J29" s="196"/>
      <c r="K29" s="196"/>
      <c r="L29" s="231"/>
      <c r="M29" s="74"/>
    </row>
    <row r="30" spans="1:23" ht="18.75" x14ac:dyDescent="0.3">
      <c r="A30" s="193" t="s">
        <v>112</v>
      </c>
      <c r="B30" s="104">
        <f>'Skjema total MA'!B11</f>
        <v>25116</v>
      </c>
      <c r="C30" s="104">
        <f>'Skjema total MA'!C11</f>
        <v>65203</v>
      </c>
      <c r="D30" s="233">
        <f>IF(B30=0, "    ---- ", IF(ABS(ROUND(100/B30*C30-100,1))&lt;999,ROUND(100/B30*C30-100,1),IF(ROUND(100/B30*C30-100,1)&gt;999,999,-999)))</f>
        <v>159.6</v>
      </c>
      <c r="E30" s="182"/>
      <c r="F30" s="196">
        <f>'Skjema total MA'!E11</f>
        <v>291117.74226000003</v>
      </c>
      <c r="G30" s="196">
        <f>'Skjema total MA'!F11</f>
        <v>412700.34194999991</v>
      </c>
      <c r="H30" s="233">
        <f t="shared" si="2"/>
        <v>41.8</v>
      </c>
      <c r="I30" s="182"/>
      <c r="J30" s="196">
        <f t="shared" si="0"/>
        <v>316233.74226000003</v>
      </c>
      <c r="K30" s="196">
        <f t="shared" si="0"/>
        <v>477903.34194999991</v>
      </c>
      <c r="L30" s="231">
        <f t="shared" si="3"/>
        <v>51.1</v>
      </c>
      <c r="M30" s="74"/>
    </row>
    <row r="31" spans="1:23" ht="18.75" x14ac:dyDescent="0.3">
      <c r="A31" s="193" t="s">
        <v>113</v>
      </c>
      <c r="B31" s="104">
        <f>'Skjema total MA'!B34</f>
        <v>28123.286410000001</v>
      </c>
      <c r="C31" s="104">
        <f>'Skjema total MA'!C34</f>
        <v>26556.532999999999</v>
      </c>
      <c r="D31" s="233">
        <f t="shared" ref="D31:D38" si="5">IF(B31=0, "    ---- ", IF(ABS(ROUND(100/B31*C31-100,1))&lt;999,ROUND(100/B31*C31-100,1),IF(ROUND(100/B31*C31-100,1)&gt;999,999,-999)))</f>
        <v>-5.6</v>
      </c>
      <c r="E31" s="182"/>
      <c r="F31" s="196">
        <f>'Skjema total MA'!E34</f>
        <v>75875.299440000003</v>
      </c>
      <c r="G31" s="196">
        <f>'Skjema total MA'!F34</f>
        <v>70179.748269999996</v>
      </c>
      <c r="H31" s="233">
        <f t="shared" si="2"/>
        <v>-7.5</v>
      </c>
      <c r="I31" s="182"/>
      <c r="J31" s="196">
        <f t="shared" si="0"/>
        <v>103998.58585</v>
      </c>
      <c r="K31" s="196">
        <f t="shared" si="0"/>
        <v>96736.281269999992</v>
      </c>
      <c r="L31" s="231">
        <f t="shared" si="3"/>
        <v>-7</v>
      </c>
      <c r="M31" s="74"/>
    </row>
    <row r="32" spans="1:23" ht="18.75" x14ac:dyDescent="0.3">
      <c r="A32" s="193" t="s">
        <v>115</v>
      </c>
      <c r="B32" s="104">
        <f>'Skjema total MA'!B111</f>
        <v>539848.83570000005</v>
      </c>
      <c r="C32" s="104">
        <f>'Skjema total MA'!C111</f>
        <v>476617.47998</v>
      </c>
      <c r="D32" s="233">
        <f t="shared" si="5"/>
        <v>-11.7</v>
      </c>
      <c r="E32" s="182"/>
      <c r="F32" s="196">
        <f>'Skjema total MA'!E111</f>
        <v>12496971.152389999</v>
      </c>
      <c r="G32" s="196">
        <f>'Skjema total MA'!F111</f>
        <v>13236727.65402</v>
      </c>
      <c r="H32" s="233">
        <f t="shared" si="2"/>
        <v>5.9</v>
      </c>
      <c r="I32" s="182"/>
      <c r="J32" s="196">
        <f t="shared" si="0"/>
        <v>13036819.988089999</v>
      </c>
      <c r="K32" s="196">
        <f t="shared" si="0"/>
        <v>13713345.134</v>
      </c>
      <c r="L32" s="231">
        <f t="shared" si="3"/>
        <v>5.2</v>
      </c>
      <c r="M32" s="74"/>
    </row>
    <row r="33" spans="1:15" ht="22.5" x14ac:dyDescent="0.3">
      <c r="A33" s="193" t="s">
        <v>356</v>
      </c>
      <c r="B33" s="104">
        <f>'Skjema total MA'!B136</f>
        <v>318088.91600000003</v>
      </c>
      <c r="C33" s="104">
        <f>'Skjema total MA'!C136</f>
        <v>86016.298999999999</v>
      </c>
      <c r="D33" s="233">
        <f t="shared" si="5"/>
        <v>-73</v>
      </c>
      <c r="E33" s="182"/>
      <c r="F33" s="196">
        <f>'Skjema total MA'!E136</f>
        <v>-10.804</v>
      </c>
      <c r="G33" s="196">
        <f>'Skjema total MA'!F136</f>
        <v>31148.103999999999</v>
      </c>
      <c r="H33" s="233">
        <f t="shared" si="2"/>
        <v>-999</v>
      </c>
      <c r="I33" s="182"/>
      <c r="J33" s="196">
        <f t="shared" si="0"/>
        <v>318078.11200000002</v>
      </c>
      <c r="K33" s="196">
        <f t="shared" si="0"/>
        <v>117164.40299999999</v>
      </c>
      <c r="L33" s="231">
        <f t="shared" si="3"/>
        <v>-63.2</v>
      </c>
      <c r="M33" s="74"/>
    </row>
    <row r="34" spans="1:15" ht="18.75" x14ac:dyDescent="0.3">
      <c r="A34" s="193" t="s">
        <v>118</v>
      </c>
      <c r="B34" s="104">
        <f>'Skjema total MA'!B38</f>
        <v>611</v>
      </c>
      <c r="C34" s="104">
        <f>'Skjema total MA'!C38</f>
        <v>0</v>
      </c>
      <c r="D34" s="233">
        <f t="shared" si="5"/>
        <v>-100</v>
      </c>
      <c r="E34" s="182"/>
      <c r="F34" s="196">
        <f>'Skjema total MA'!E38</f>
        <v>0</v>
      </c>
      <c r="G34" s="196">
        <f>'Skjema total MA'!F38</f>
        <v>0</v>
      </c>
      <c r="H34" s="233"/>
      <c r="I34" s="182"/>
      <c r="J34" s="196">
        <f t="shared" si="0"/>
        <v>611</v>
      </c>
      <c r="K34" s="196">
        <f t="shared" si="0"/>
        <v>0</v>
      </c>
      <c r="L34" s="231">
        <f t="shared" si="3"/>
        <v>-100</v>
      </c>
      <c r="M34" s="74"/>
    </row>
    <row r="35" spans="1:15" s="135" customFormat="1" ht="18.75" x14ac:dyDescent="0.3">
      <c r="A35" s="137" t="s">
        <v>122</v>
      </c>
      <c r="B35" s="110">
        <f>SUM(B30:B34)</f>
        <v>911788.03811000008</v>
      </c>
      <c r="C35" s="198">
        <f>SUM(C30:C34)</f>
        <v>654393.31198</v>
      </c>
      <c r="D35" s="233">
        <f t="shared" si="5"/>
        <v>-28.2</v>
      </c>
      <c r="E35" s="138"/>
      <c r="F35" s="198">
        <f>SUM(F30:F34)</f>
        <v>12863953.39009</v>
      </c>
      <c r="G35" s="198">
        <f>SUM(G30:G34)</f>
        <v>13750755.848240001</v>
      </c>
      <c r="H35" s="233">
        <f t="shared" si="2"/>
        <v>6.9</v>
      </c>
      <c r="I35" s="138"/>
      <c r="J35" s="198">
        <f t="shared" si="0"/>
        <v>13775741.428199999</v>
      </c>
      <c r="K35" s="198">
        <f t="shared" si="0"/>
        <v>14405149.160220001</v>
      </c>
      <c r="L35" s="231">
        <f t="shared" si="3"/>
        <v>4.5999999999999996</v>
      </c>
      <c r="M35" s="75"/>
    </row>
    <row r="36" spans="1:15" ht="18.75" x14ac:dyDescent="0.3">
      <c r="A36" s="137"/>
      <c r="B36" s="110"/>
      <c r="C36" s="198"/>
      <c r="D36" s="233"/>
      <c r="E36" s="138"/>
      <c r="F36" s="198"/>
      <c r="G36" s="198"/>
      <c r="H36" s="233"/>
      <c r="I36" s="138"/>
      <c r="J36" s="196"/>
      <c r="K36" s="196"/>
      <c r="L36" s="231"/>
      <c r="M36" s="74"/>
    </row>
    <row r="37" spans="1:15" ht="22.5" x14ac:dyDescent="0.3">
      <c r="A37" s="137" t="s">
        <v>359</v>
      </c>
      <c r="B37" s="110"/>
      <c r="C37" s="198"/>
      <c r="D37" s="196"/>
      <c r="E37" s="138"/>
      <c r="F37" s="198"/>
      <c r="G37" s="198"/>
      <c r="H37" s="233"/>
      <c r="I37" s="138"/>
      <c r="J37" s="196"/>
      <c r="K37" s="196"/>
      <c r="L37" s="231"/>
      <c r="M37" s="74"/>
    </row>
    <row r="38" spans="1:15" s="135" customFormat="1" ht="18.75" x14ac:dyDescent="0.3">
      <c r="A38" s="137" t="s">
        <v>114</v>
      </c>
      <c r="B38" s="110">
        <f>'Skjema total MA'!B53</f>
        <v>112803.67199999999</v>
      </c>
      <c r="C38" s="110">
        <f>'Skjema total MA'!C53</f>
        <v>233339.94</v>
      </c>
      <c r="D38" s="233">
        <f t="shared" si="5"/>
        <v>106.9</v>
      </c>
      <c r="E38" s="138"/>
      <c r="F38" s="198"/>
      <c r="G38" s="198"/>
      <c r="H38" s="233"/>
      <c r="I38" s="138"/>
      <c r="J38" s="198">
        <f t="shared" si="0"/>
        <v>112803.67199999999</v>
      </c>
      <c r="K38" s="198">
        <f t="shared" si="0"/>
        <v>233339.94</v>
      </c>
      <c r="L38" s="231">
        <f t="shared" si="3"/>
        <v>106.9</v>
      </c>
      <c r="M38" s="75"/>
    </row>
    <row r="39" spans="1:15" ht="18.75" x14ac:dyDescent="0.3">
      <c r="A39" s="137"/>
      <c r="B39" s="110"/>
      <c r="C39" s="198"/>
      <c r="D39" s="196"/>
      <c r="E39" s="138"/>
      <c r="F39" s="198"/>
      <c r="G39" s="198"/>
      <c r="H39" s="233"/>
      <c r="I39" s="138"/>
      <c r="J39" s="196"/>
      <c r="K39" s="196"/>
      <c r="L39" s="231"/>
      <c r="M39" s="74"/>
    </row>
    <row r="40" spans="1:15" ht="22.5" x14ac:dyDescent="0.3">
      <c r="A40" s="192" t="s">
        <v>360</v>
      </c>
      <c r="B40" s="200"/>
      <c r="C40" s="203"/>
      <c r="D40" s="196"/>
      <c r="E40" s="182"/>
      <c r="F40" s="196"/>
      <c r="G40" s="196"/>
      <c r="H40" s="233"/>
      <c r="I40" s="182"/>
      <c r="J40" s="196"/>
      <c r="K40" s="196"/>
      <c r="L40" s="231"/>
      <c r="M40" s="74"/>
    </row>
    <row r="41" spans="1:15" ht="18.75" x14ac:dyDescent="0.3">
      <c r="A41" s="193" t="s">
        <v>112</v>
      </c>
      <c r="B41" s="104">
        <f>'Skjema total MA'!B12</f>
        <v>2765</v>
      </c>
      <c r="C41" s="104">
        <f>'Skjema total MA'!C12</f>
        <v>18101</v>
      </c>
      <c r="D41" s="233">
        <f>IF(B41=0, "    ---- ", IF(ABS(ROUND(100/B41*C41-100,1))&lt;999,ROUND(100/B41*C41-100,1),IF(ROUND(100/B41*C41-100,1)&gt;999,999,-999)))</f>
        <v>554.6</v>
      </c>
      <c r="E41" s="182"/>
      <c r="F41" s="196">
        <f>'Skjema total MA'!E12</f>
        <v>245162.99463999999</v>
      </c>
      <c r="G41" s="196">
        <f>'Skjema total MA'!F12</f>
        <v>324427.82951000001</v>
      </c>
      <c r="H41" s="233">
        <f t="shared" si="2"/>
        <v>32.299999999999997</v>
      </c>
      <c r="I41" s="182"/>
      <c r="J41" s="196">
        <f t="shared" si="0"/>
        <v>247927.99463999999</v>
      </c>
      <c r="K41" s="196">
        <f t="shared" si="0"/>
        <v>342528.82951000001</v>
      </c>
      <c r="L41" s="231">
        <f t="shared" si="3"/>
        <v>38.200000000000003</v>
      </c>
      <c r="M41" s="74"/>
    </row>
    <row r="42" spans="1:15" ht="18.75" x14ac:dyDescent="0.3">
      <c r="A42" s="193" t="s">
        <v>113</v>
      </c>
      <c r="B42" s="104">
        <f>'Skjema total MA'!B35</f>
        <v>-29295.694759999998</v>
      </c>
      <c r="C42" s="104">
        <f>'Skjema total MA'!C35</f>
        <v>-29190.046699999999</v>
      </c>
      <c r="D42" s="233">
        <f t="shared" ref="D42:D46" si="6">IF(B42=0, "    ---- ", IF(ABS(ROUND(100/B42*C42-100,1))&lt;999,ROUND(100/B42*C42-100,1),IF(ROUND(100/B42*C42-100,1)&gt;999,999,-999)))</f>
        <v>-0.4</v>
      </c>
      <c r="E42" s="182"/>
      <c r="F42" s="196">
        <f>'Skjema total MA'!E35</f>
        <v>114569.91455</v>
      </c>
      <c r="G42" s="196">
        <f>'Skjema total MA'!F35</f>
        <v>132988.32624999998</v>
      </c>
      <c r="H42" s="233">
        <f t="shared" si="2"/>
        <v>16.100000000000001</v>
      </c>
      <c r="I42" s="182"/>
      <c r="J42" s="196">
        <f t="shared" si="0"/>
        <v>85274.219790000003</v>
      </c>
      <c r="K42" s="196">
        <f t="shared" si="0"/>
        <v>103798.27954999998</v>
      </c>
      <c r="L42" s="231">
        <f t="shared" si="3"/>
        <v>21.7</v>
      </c>
      <c r="M42" s="74"/>
    </row>
    <row r="43" spans="1:15" ht="18.75" x14ac:dyDescent="0.3">
      <c r="A43" s="193" t="s">
        <v>115</v>
      </c>
      <c r="B43" s="104">
        <f>'Skjema total MA'!B119</f>
        <v>600803.36812</v>
      </c>
      <c r="C43" s="104">
        <f>'Skjema total MA'!C119</f>
        <v>491675.87259000004</v>
      </c>
      <c r="D43" s="233">
        <f t="shared" si="6"/>
        <v>-18.2</v>
      </c>
      <c r="E43" s="182"/>
      <c r="F43" s="196">
        <f>'Skjema total MA'!E119</f>
        <v>12756287.872939998</v>
      </c>
      <c r="G43" s="196">
        <f>'Skjema total MA'!F119</f>
        <v>13560237.3026</v>
      </c>
      <c r="H43" s="233">
        <f t="shared" si="2"/>
        <v>6.3</v>
      </c>
      <c r="I43" s="182"/>
      <c r="J43" s="196">
        <f t="shared" si="0"/>
        <v>13357091.241059998</v>
      </c>
      <c r="K43" s="196">
        <f t="shared" si="0"/>
        <v>14051913.17519</v>
      </c>
      <c r="L43" s="231">
        <f t="shared" si="3"/>
        <v>5.2</v>
      </c>
      <c r="M43" s="74"/>
    </row>
    <row r="44" spans="1:15" ht="22.5" x14ac:dyDescent="0.3">
      <c r="A44" s="193" t="s">
        <v>356</v>
      </c>
      <c r="B44" s="104">
        <f>'Skjema total MA'!B137</f>
        <v>496739.50099999999</v>
      </c>
      <c r="C44" s="104">
        <f>'Skjema total MA'!C137</f>
        <v>291578.90500000003</v>
      </c>
      <c r="D44" s="233">
        <f t="shared" si="6"/>
        <v>-41.3</v>
      </c>
      <c r="E44" s="182"/>
      <c r="F44" s="196">
        <f>'Skjema total MA'!E137</f>
        <v>0</v>
      </c>
      <c r="G44" s="196">
        <f>'Skjema total MA'!F137</f>
        <v>0</v>
      </c>
      <c r="H44" s="233"/>
      <c r="I44" s="182"/>
      <c r="J44" s="196">
        <f t="shared" si="0"/>
        <v>496739.50099999999</v>
      </c>
      <c r="K44" s="196">
        <f t="shared" si="0"/>
        <v>291578.90500000003</v>
      </c>
      <c r="L44" s="231">
        <f t="shared" si="3"/>
        <v>-41.3</v>
      </c>
      <c r="M44" s="74"/>
    </row>
    <row r="45" spans="1:15" ht="18.75" x14ac:dyDescent="0.3">
      <c r="A45" s="193" t="s">
        <v>118</v>
      </c>
      <c r="B45" s="104">
        <f>'Skjema total MA'!B39</f>
        <v>0</v>
      </c>
      <c r="C45" s="104">
        <f>'Skjema total MA'!C39</f>
        <v>0</v>
      </c>
      <c r="D45" s="233"/>
      <c r="E45" s="182"/>
      <c r="F45" s="196"/>
      <c r="G45" s="196"/>
      <c r="H45" s="233"/>
      <c r="I45" s="182"/>
      <c r="J45" s="196">
        <f t="shared" si="0"/>
        <v>0</v>
      </c>
      <c r="K45" s="196">
        <f t="shared" si="0"/>
        <v>0</v>
      </c>
      <c r="L45" s="231"/>
      <c r="M45" s="74"/>
    </row>
    <row r="46" spans="1:15" s="135" customFormat="1" ht="18.75" x14ac:dyDescent="0.3">
      <c r="A46" s="137" t="s">
        <v>123</v>
      </c>
      <c r="B46" s="110">
        <f>SUM(B41:B45)</f>
        <v>1071012.1743600001</v>
      </c>
      <c r="C46" s="198">
        <f>SUM(C41:C45)</f>
        <v>772165.73089000001</v>
      </c>
      <c r="D46" s="233">
        <f t="shared" si="6"/>
        <v>-27.9</v>
      </c>
      <c r="E46" s="138"/>
      <c r="F46" s="198">
        <f>SUM(F41:F45)</f>
        <v>13116020.782129997</v>
      </c>
      <c r="G46" s="272">
        <f>SUM(G41:G45)</f>
        <v>14017653.45836</v>
      </c>
      <c r="H46" s="233">
        <f t="shared" si="2"/>
        <v>6.9</v>
      </c>
      <c r="I46" s="138"/>
      <c r="J46" s="198">
        <f t="shared" si="0"/>
        <v>14187032.956489997</v>
      </c>
      <c r="K46" s="198">
        <f t="shared" si="0"/>
        <v>14789819.18925</v>
      </c>
      <c r="L46" s="231">
        <f t="shared" si="3"/>
        <v>4.2</v>
      </c>
      <c r="M46" s="75"/>
      <c r="N46" s="134"/>
      <c r="O46" s="134"/>
    </row>
    <row r="47" spans="1:15" ht="18.75" x14ac:dyDescent="0.3">
      <c r="A47" s="137"/>
      <c r="B47" s="110"/>
      <c r="C47" s="198"/>
      <c r="D47" s="196"/>
      <c r="E47" s="138"/>
      <c r="F47" s="198"/>
      <c r="G47" s="198"/>
      <c r="H47" s="233"/>
      <c r="I47" s="138"/>
      <c r="J47" s="196"/>
      <c r="K47" s="196"/>
      <c r="L47" s="231"/>
      <c r="M47" s="74"/>
    </row>
    <row r="48" spans="1:15" ht="22.5" x14ac:dyDescent="0.3">
      <c r="A48" s="137" t="s">
        <v>361</v>
      </c>
      <c r="B48" s="110"/>
      <c r="C48" s="198"/>
      <c r="D48" s="196"/>
      <c r="E48" s="138"/>
      <c r="F48" s="198"/>
      <c r="G48" s="198"/>
      <c r="H48" s="233"/>
      <c r="I48" s="138"/>
      <c r="J48" s="196"/>
      <c r="K48" s="196"/>
      <c r="L48" s="231"/>
      <c r="M48" s="74"/>
    </row>
    <row r="49" spans="1:15" s="135" customFormat="1" ht="18.75" x14ac:dyDescent="0.3">
      <c r="A49" s="137" t="s">
        <v>114</v>
      </c>
      <c r="B49" s="110">
        <f>'Skjema total MA'!B56</f>
        <v>119459.16899999999</v>
      </c>
      <c r="C49" s="110">
        <f>'Skjema total MA'!C56</f>
        <v>185992.932</v>
      </c>
      <c r="D49" s="233">
        <f t="shared" ref="D49" si="7">IF(B49=0, "    ---- ", IF(ABS(ROUND(100/B49*C49-100,1))&lt;999,ROUND(100/B49*C49-100,1),IF(ROUND(100/B49*C49-100,1)&gt;999,999,-999)))</f>
        <v>55.7</v>
      </c>
      <c r="E49" s="138"/>
      <c r="F49" s="198"/>
      <c r="G49" s="198"/>
      <c r="H49" s="233"/>
      <c r="I49" s="138"/>
      <c r="J49" s="198">
        <f>SUM(B49+F49)</f>
        <v>119459.16899999999</v>
      </c>
      <c r="K49" s="198">
        <f>SUM(C49+G49)</f>
        <v>185992.932</v>
      </c>
      <c r="L49" s="231">
        <f t="shared" si="3"/>
        <v>55.7</v>
      </c>
      <c r="M49" s="75"/>
    </row>
    <row r="50" spans="1:15" ht="18.75" x14ac:dyDescent="0.3">
      <c r="A50" s="137"/>
      <c r="B50" s="104"/>
      <c r="C50" s="196"/>
      <c r="D50" s="196"/>
      <c r="E50" s="182"/>
      <c r="F50" s="196"/>
      <c r="G50" s="196"/>
      <c r="H50" s="233"/>
      <c r="I50" s="182"/>
      <c r="J50" s="196"/>
      <c r="K50" s="196"/>
      <c r="L50" s="231"/>
      <c r="M50" s="74"/>
    </row>
    <row r="51" spans="1:15" ht="21.75" x14ac:dyDescent="0.3">
      <c r="A51" s="192" t="s">
        <v>362</v>
      </c>
      <c r="B51" s="104"/>
      <c r="C51" s="196"/>
      <c r="D51" s="196"/>
      <c r="E51" s="182"/>
      <c r="F51" s="196"/>
      <c r="G51" s="196"/>
      <c r="H51" s="233"/>
      <c r="I51" s="182"/>
      <c r="J51" s="196"/>
      <c r="K51" s="196"/>
      <c r="L51" s="231"/>
      <c r="M51" s="74"/>
    </row>
    <row r="52" spans="1:15" ht="18.75" x14ac:dyDescent="0.3">
      <c r="A52" s="193" t="s">
        <v>112</v>
      </c>
      <c r="B52" s="104">
        <f>B30-B41</f>
        <v>22351</v>
      </c>
      <c r="C52" s="196">
        <f>C30-C41</f>
        <v>47102</v>
      </c>
      <c r="D52" s="233">
        <f>IF(B52=0, "    ---- ", IF(ABS(ROUND(100/B52*C52-100,1))&lt;999,ROUND(100/B52*C52-100,1),IF(ROUND(100/B52*C52-100,1)&gt;999,999,-999)))</f>
        <v>110.7</v>
      </c>
      <c r="E52" s="182"/>
      <c r="F52" s="196">
        <f>F30-F41</f>
        <v>45954.747620000038</v>
      </c>
      <c r="G52" s="196">
        <f>G30-G41</f>
        <v>88272.512439999904</v>
      </c>
      <c r="H52" s="233">
        <f t="shared" si="2"/>
        <v>92.1</v>
      </c>
      <c r="I52" s="182"/>
      <c r="J52" s="196">
        <f t="shared" si="0"/>
        <v>68305.747620000038</v>
      </c>
      <c r="K52" s="196">
        <f t="shared" si="0"/>
        <v>135374.5124399999</v>
      </c>
      <c r="L52" s="231">
        <f t="shared" si="3"/>
        <v>98.2</v>
      </c>
      <c r="M52" s="74"/>
    </row>
    <row r="53" spans="1:15" ht="18.75" x14ac:dyDescent="0.3">
      <c r="A53" s="193" t="s">
        <v>113</v>
      </c>
      <c r="B53" s="104">
        <f t="shared" ref="B53:C56" si="8">B31-B42</f>
        <v>57418.981169999999</v>
      </c>
      <c r="C53" s="196">
        <f t="shared" si="8"/>
        <v>55746.579700000002</v>
      </c>
      <c r="D53" s="233">
        <f t="shared" ref="D53:D60" si="9">IF(B53=0, "    ---- ", IF(ABS(ROUND(100/B53*C53-100,1))&lt;999,ROUND(100/B53*C53-100,1),IF(ROUND(100/B53*C53-100,1)&gt;999,999,-999)))</f>
        <v>-2.9</v>
      </c>
      <c r="E53" s="182"/>
      <c r="F53" s="196">
        <f t="shared" ref="F53:G56" si="10">F31-F42</f>
        <v>-38694.615109999999</v>
      </c>
      <c r="G53" s="196">
        <f t="shared" si="10"/>
        <v>-62808.577979999987</v>
      </c>
      <c r="H53" s="233">
        <f t="shared" si="2"/>
        <v>62.3</v>
      </c>
      <c r="I53" s="182"/>
      <c r="J53" s="196">
        <f t="shared" si="0"/>
        <v>18724.36606</v>
      </c>
      <c r="K53" s="196">
        <f t="shared" si="0"/>
        <v>-7061.9982799999852</v>
      </c>
      <c r="L53" s="231">
        <f t="shared" si="3"/>
        <v>-137.69999999999999</v>
      </c>
      <c r="M53" s="74"/>
    </row>
    <row r="54" spans="1:15" ht="18.75" x14ac:dyDescent="0.3">
      <c r="A54" s="193" t="s">
        <v>115</v>
      </c>
      <c r="B54" s="104">
        <f t="shared" si="8"/>
        <v>-60954.532419999945</v>
      </c>
      <c r="C54" s="196">
        <f t="shared" si="8"/>
        <v>-15058.392610000039</v>
      </c>
      <c r="D54" s="233">
        <f t="shared" si="9"/>
        <v>-75.3</v>
      </c>
      <c r="E54" s="182"/>
      <c r="F54" s="196">
        <f t="shared" si="10"/>
        <v>-259316.7205499988</v>
      </c>
      <c r="G54" s="196">
        <f t="shared" si="10"/>
        <v>-323509.6485799998</v>
      </c>
      <c r="H54" s="233">
        <f t="shared" si="2"/>
        <v>24.8</v>
      </c>
      <c r="I54" s="182"/>
      <c r="J54" s="196">
        <f t="shared" si="0"/>
        <v>-320271.25296999875</v>
      </c>
      <c r="K54" s="196">
        <f t="shared" si="0"/>
        <v>-338568.04118999984</v>
      </c>
      <c r="L54" s="231">
        <f t="shared" si="3"/>
        <v>5.7</v>
      </c>
      <c r="M54" s="74"/>
    </row>
    <row r="55" spans="1:15" ht="22.5" x14ac:dyDescent="0.3">
      <c r="A55" s="193" t="s">
        <v>356</v>
      </c>
      <c r="B55" s="104">
        <f t="shared" si="8"/>
        <v>-178650.58499999996</v>
      </c>
      <c r="C55" s="196">
        <f t="shared" si="8"/>
        <v>-205562.60600000003</v>
      </c>
      <c r="D55" s="233">
        <f t="shared" si="9"/>
        <v>15.1</v>
      </c>
      <c r="E55" s="182"/>
      <c r="F55" s="196">
        <f t="shared" si="10"/>
        <v>-10.804</v>
      </c>
      <c r="G55" s="196">
        <f t="shared" si="10"/>
        <v>31148.103999999999</v>
      </c>
      <c r="H55" s="233">
        <f t="shared" si="2"/>
        <v>-999</v>
      </c>
      <c r="I55" s="182"/>
      <c r="J55" s="196">
        <f t="shared" si="0"/>
        <v>-178661.38899999997</v>
      </c>
      <c r="K55" s="196">
        <f t="shared" si="0"/>
        <v>-174414.50200000004</v>
      </c>
      <c r="L55" s="231">
        <f t="shared" si="3"/>
        <v>-2.4</v>
      </c>
      <c r="M55" s="74"/>
    </row>
    <row r="56" spans="1:15" ht="18.75" x14ac:dyDescent="0.3">
      <c r="A56" s="193" t="s">
        <v>118</v>
      </c>
      <c r="B56" s="104">
        <f t="shared" si="8"/>
        <v>611</v>
      </c>
      <c r="C56" s="196">
        <f t="shared" si="8"/>
        <v>0</v>
      </c>
      <c r="D56" s="233">
        <f t="shared" si="9"/>
        <v>-100</v>
      </c>
      <c r="E56" s="182"/>
      <c r="F56" s="196">
        <f t="shared" si="10"/>
        <v>0</v>
      </c>
      <c r="G56" s="196">
        <f t="shared" si="10"/>
        <v>0</v>
      </c>
      <c r="H56" s="233"/>
      <c r="I56" s="182"/>
      <c r="J56" s="196">
        <f t="shared" si="0"/>
        <v>611</v>
      </c>
      <c r="K56" s="196">
        <f t="shared" si="0"/>
        <v>0</v>
      </c>
      <c r="L56" s="231">
        <f t="shared" si="3"/>
        <v>-100</v>
      </c>
      <c r="M56" s="74"/>
    </row>
    <row r="57" spans="1:15" s="135" customFormat="1" ht="18.75" x14ac:dyDescent="0.3">
      <c r="A57" s="137" t="s">
        <v>124</v>
      </c>
      <c r="B57" s="110">
        <f>SUM(B52:B56)</f>
        <v>-159224.13624999992</v>
      </c>
      <c r="C57" s="198">
        <f>SUM(C52:C56)</f>
        <v>-117772.41891000007</v>
      </c>
      <c r="D57" s="233">
        <f>IF(B57=0, "    ---- ", IF(ABS(ROUND(100/B57*C57-100,1))&lt;999,ROUND(100/B57*C57-100,1),IF(ROUND(100/B57*C57-100,1)&gt;999,999,-999)))</f>
        <v>-26</v>
      </c>
      <c r="E57" s="138"/>
      <c r="F57" s="198">
        <f>SUM(F52:F56)</f>
        <v>-252067.39203999878</v>
      </c>
      <c r="G57" s="272">
        <f>SUM(G52:G56)</f>
        <v>-266897.61011999991</v>
      </c>
      <c r="H57" s="233">
        <f t="shared" si="2"/>
        <v>5.9</v>
      </c>
      <c r="I57" s="138"/>
      <c r="J57" s="198">
        <f t="shared" si="0"/>
        <v>-411291.52828999871</v>
      </c>
      <c r="K57" s="196">
        <f t="shared" si="0"/>
        <v>-384670.02902999998</v>
      </c>
      <c r="L57" s="231">
        <f t="shared" si="3"/>
        <v>-6.5</v>
      </c>
      <c r="M57" s="75"/>
      <c r="N57" s="134"/>
      <c r="O57" s="134"/>
    </row>
    <row r="58" spans="1:15" ht="18.75" x14ac:dyDescent="0.3">
      <c r="A58" s="137"/>
      <c r="B58" s="110"/>
      <c r="C58" s="198"/>
      <c r="D58" s="233"/>
      <c r="E58" s="138"/>
      <c r="F58" s="198"/>
      <c r="G58" s="198"/>
      <c r="H58" s="233"/>
      <c r="I58" s="138"/>
      <c r="J58" s="198"/>
      <c r="K58" s="196"/>
      <c r="L58" s="231"/>
      <c r="M58" s="74"/>
    </row>
    <row r="59" spans="1:15" ht="22.5" x14ac:dyDescent="0.3">
      <c r="A59" s="137" t="s">
        <v>363</v>
      </c>
      <c r="B59" s="110"/>
      <c r="C59" s="198"/>
      <c r="D59" s="233"/>
      <c r="E59" s="138"/>
      <c r="F59" s="198"/>
      <c r="G59" s="198"/>
      <c r="H59" s="233"/>
      <c r="I59" s="138"/>
      <c r="J59" s="198"/>
      <c r="K59" s="196"/>
      <c r="L59" s="231"/>
      <c r="M59" s="74"/>
    </row>
    <row r="60" spans="1:15" s="135" customFormat="1" ht="18.75" x14ac:dyDescent="0.3">
      <c r="A60" s="137" t="s">
        <v>114</v>
      </c>
      <c r="B60" s="110">
        <f>B38-B49</f>
        <v>-6655.497000000003</v>
      </c>
      <c r="C60" s="198">
        <f>C38-C49</f>
        <v>47347.008000000002</v>
      </c>
      <c r="D60" s="233">
        <f t="shared" si="9"/>
        <v>-811.4</v>
      </c>
      <c r="E60" s="138"/>
      <c r="F60" s="198">
        <f>F38-F49</f>
        <v>0</v>
      </c>
      <c r="G60" s="198">
        <f>G38-G49</f>
        <v>0</v>
      </c>
      <c r="H60" s="233"/>
      <c r="I60" s="138"/>
      <c r="J60" s="198">
        <f t="shared" si="0"/>
        <v>-6655.497000000003</v>
      </c>
      <c r="K60" s="196">
        <f t="shared" si="0"/>
        <v>47347.008000000002</v>
      </c>
      <c r="L60" s="231">
        <f t="shared" si="3"/>
        <v>-811.4</v>
      </c>
      <c r="M60" s="75"/>
    </row>
    <row r="61" spans="1:15" s="135" customFormat="1" ht="18.75" x14ac:dyDescent="0.3">
      <c r="A61" s="195"/>
      <c r="B61" s="115"/>
      <c r="C61" s="199"/>
      <c r="D61" s="204"/>
      <c r="E61" s="138"/>
      <c r="F61" s="199"/>
      <c r="G61" s="199"/>
      <c r="H61" s="204"/>
      <c r="I61" s="138"/>
      <c r="J61" s="204"/>
      <c r="K61" s="204"/>
      <c r="L61" s="204"/>
      <c r="M61" s="75"/>
    </row>
    <row r="62" spans="1:15" ht="18.75" x14ac:dyDescent="0.3">
      <c r="A62" s="112" t="s">
        <v>125</v>
      </c>
      <c r="C62" s="139"/>
      <c r="D62" s="139"/>
      <c r="E62" s="139"/>
      <c r="F62" s="139"/>
      <c r="G62" s="112"/>
      <c r="H62" s="74"/>
      <c r="I62" s="112"/>
      <c r="J62" s="112"/>
      <c r="K62" s="112"/>
      <c r="L62" s="74"/>
      <c r="M62" s="74"/>
    </row>
    <row r="63" spans="1:15" ht="18.75" x14ac:dyDescent="0.3">
      <c r="A63" s="112" t="s">
        <v>126</v>
      </c>
      <c r="C63" s="139"/>
      <c r="D63" s="139"/>
      <c r="E63" s="139"/>
      <c r="F63" s="139"/>
      <c r="G63" s="74"/>
      <c r="H63" s="74"/>
      <c r="I63" s="74"/>
      <c r="J63" s="74"/>
      <c r="K63" s="74"/>
      <c r="L63" s="74"/>
      <c r="M63" s="74"/>
    </row>
    <row r="64" spans="1:15" ht="18.75" x14ac:dyDescent="0.3">
      <c r="A64" s="112" t="s">
        <v>105</v>
      </c>
      <c r="B64" s="74"/>
      <c r="C64" s="74"/>
      <c r="D64" s="74"/>
      <c r="E64" s="74"/>
      <c r="F64" s="74"/>
      <c r="G64" s="74"/>
      <c r="H64" s="74"/>
      <c r="I64" s="74"/>
      <c r="J64" s="74"/>
      <c r="K64" s="74"/>
      <c r="L64" s="74"/>
      <c r="M64" s="74"/>
    </row>
    <row r="65" spans="1:13" ht="18.75" x14ac:dyDescent="0.3">
      <c r="A65" s="74"/>
      <c r="C65" s="74"/>
      <c r="D65" s="74"/>
      <c r="E65" s="74"/>
      <c r="F65" s="74"/>
      <c r="G65" s="74"/>
      <c r="H65" s="74"/>
      <c r="I65" s="74"/>
      <c r="J65" s="74"/>
      <c r="K65" s="74"/>
      <c r="L65" s="74"/>
      <c r="M65" s="74"/>
    </row>
    <row r="66" spans="1:13" ht="18.75" x14ac:dyDescent="0.3">
      <c r="A66" s="74"/>
      <c r="B66" s="74"/>
      <c r="C66" s="74"/>
      <c r="D66" s="74"/>
      <c r="E66" s="74"/>
      <c r="F66" s="74"/>
      <c r="G66" s="74"/>
      <c r="H66" s="74"/>
      <c r="I66" s="74"/>
      <c r="J66" s="74"/>
      <c r="K66" s="74"/>
      <c r="L66" s="74"/>
      <c r="M66" s="74"/>
    </row>
    <row r="67" spans="1:13" ht="18.75" x14ac:dyDescent="0.3">
      <c r="A67" s="74"/>
      <c r="B67" s="74"/>
      <c r="C67" s="74"/>
      <c r="D67" s="74"/>
      <c r="E67" s="74"/>
      <c r="F67" s="74"/>
      <c r="G67" s="74"/>
      <c r="H67" s="74"/>
      <c r="I67" s="74"/>
      <c r="J67" s="74"/>
      <c r="K67" s="74"/>
      <c r="L67" s="74"/>
      <c r="M67" s="74"/>
    </row>
    <row r="68" spans="1:13" ht="18.75" x14ac:dyDescent="0.3">
      <c r="A68" s="74"/>
      <c r="B68" s="74"/>
      <c r="C68" s="74"/>
      <c r="D68" s="74"/>
      <c r="E68" s="74"/>
      <c r="F68" s="74"/>
      <c r="G68" s="74"/>
      <c r="H68" s="74"/>
      <c r="I68" s="74"/>
      <c r="J68" s="74"/>
      <c r="K68" s="74"/>
      <c r="L68" s="74"/>
      <c r="M68" s="74"/>
    </row>
    <row r="69" spans="1:13" ht="18.75" x14ac:dyDescent="0.3">
      <c r="A69" s="74"/>
      <c r="B69" s="74"/>
      <c r="C69" s="74"/>
      <c r="D69" s="74"/>
      <c r="E69" s="74"/>
      <c r="F69" s="74"/>
      <c r="G69" s="74"/>
      <c r="H69" s="74"/>
      <c r="I69" s="74"/>
      <c r="J69" s="74"/>
      <c r="K69" s="74"/>
      <c r="L69" s="74"/>
      <c r="M69" s="74"/>
    </row>
    <row r="70" spans="1:13" ht="18.75" x14ac:dyDescent="0.3">
      <c r="A70" s="74"/>
      <c r="B70" s="74"/>
      <c r="C70" s="74"/>
      <c r="D70" s="74"/>
      <c r="E70" s="74"/>
      <c r="F70" s="74"/>
      <c r="G70" s="74"/>
      <c r="H70" s="74"/>
      <c r="I70" s="74"/>
      <c r="J70" s="74"/>
      <c r="K70" s="74"/>
      <c r="L70" s="74"/>
      <c r="M70" s="74"/>
    </row>
    <row r="71" spans="1:13" ht="18.75" x14ac:dyDescent="0.3">
      <c r="A71" s="74"/>
      <c r="B71" s="74"/>
      <c r="C71" s="74"/>
      <c r="D71" s="74"/>
      <c r="E71" s="74"/>
      <c r="F71" s="74"/>
      <c r="G71" s="74"/>
      <c r="H71" s="74"/>
      <c r="I71" s="74"/>
      <c r="J71" s="74"/>
      <c r="K71" s="74"/>
      <c r="L71" s="74"/>
      <c r="M71" s="74"/>
    </row>
    <row r="72" spans="1:13" ht="18.75" x14ac:dyDescent="0.3">
      <c r="A72" s="74"/>
      <c r="B72" s="74"/>
      <c r="C72" s="74"/>
      <c r="D72" s="74"/>
      <c r="E72" s="74"/>
      <c r="F72" s="74"/>
      <c r="G72" s="74"/>
      <c r="H72" s="74"/>
      <c r="I72" s="74"/>
      <c r="J72" s="74"/>
      <c r="K72" s="74"/>
      <c r="L72" s="74"/>
      <c r="M72" s="74"/>
    </row>
    <row r="73" spans="1:13" ht="18.75" x14ac:dyDescent="0.3">
      <c r="A73" s="74"/>
      <c r="B73" s="74"/>
      <c r="C73" s="74"/>
      <c r="D73" s="74"/>
      <c r="E73" s="74"/>
      <c r="F73" s="74"/>
      <c r="G73" s="74"/>
      <c r="H73" s="74"/>
      <c r="I73" s="74"/>
      <c r="J73" s="74"/>
      <c r="K73" s="74"/>
      <c r="L73" s="74"/>
      <c r="M73" s="74"/>
    </row>
    <row r="74" spans="1:13" ht="18.75" x14ac:dyDescent="0.3">
      <c r="A74" s="74"/>
      <c r="B74" s="74"/>
      <c r="C74" s="74"/>
      <c r="D74" s="74"/>
      <c r="E74" s="74"/>
      <c r="F74" s="74"/>
      <c r="G74" s="74"/>
      <c r="H74" s="74"/>
      <c r="I74" s="74"/>
      <c r="J74" s="74"/>
      <c r="K74" s="74"/>
      <c r="L74" s="74"/>
      <c r="M74" s="74"/>
    </row>
    <row r="75" spans="1:13" ht="18.75" x14ac:dyDescent="0.3">
      <c r="A75" s="74"/>
      <c r="B75" s="74"/>
      <c r="C75" s="74"/>
      <c r="D75" s="74"/>
      <c r="E75" s="74"/>
      <c r="F75" s="74"/>
      <c r="G75" s="74"/>
      <c r="H75" s="74"/>
      <c r="I75" s="74"/>
      <c r="J75" s="74"/>
      <c r="K75" s="74"/>
      <c r="L75" s="74"/>
      <c r="M75" s="74"/>
    </row>
    <row r="76" spans="1:13" ht="18.75" x14ac:dyDescent="0.3">
      <c r="A76" s="74"/>
      <c r="B76" s="74"/>
      <c r="C76" s="74"/>
      <c r="D76" s="74"/>
      <c r="E76" s="74"/>
      <c r="F76" s="74"/>
      <c r="G76" s="74"/>
      <c r="H76" s="74"/>
      <c r="I76" s="74"/>
      <c r="J76" s="74"/>
      <c r="K76" s="74"/>
      <c r="L76" s="74"/>
      <c r="M76" s="74"/>
    </row>
    <row r="77" spans="1:13" ht="18.75" x14ac:dyDescent="0.3">
      <c r="A77" s="74"/>
      <c r="B77" s="74"/>
      <c r="C77" s="74"/>
      <c r="D77" s="74"/>
      <c r="E77" s="74"/>
      <c r="F77" s="74"/>
      <c r="G77" s="74"/>
      <c r="H77" s="74"/>
      <c r="I77" s="74"/>
      <c r="J77" s="74"/>
      <c r="K77" s="74"/>
      <c r="L77" s="74"/>
      <c r="M77" s="74"/>
    </row>
    <row r="78" spans="1:13" ht="18.75" x14ac:dyDescent="0.3">
      <c r="A78" s="74"/>
      <c r="B78" s="74"/>
      <c r="C78" s="74"/>
      <c r="D78" s="74"/>
      <c r="E78" s="74"/>
      <c r="F78" s="74"/>
      <c r="G78" s="74"/>
      <c r="H78" s="74"/>
      <c r="I78" s="74"/>
      <c r="J78" s="74"/>
      <c r="K78" s="74"/>
      <c r="L78" s="74"/>
      <c r="M78" s="74"/>
    </row>
    <row r="79" spans="1:13" ht="18.75" x14ac:dyDescent="0.3">
      <c r="A79" s="74"/>
      <c r="B79" s="74"/>
      <c r="C79" s="74"/>
      <c r="D79" s="74"/>
      <c r="E79" s="74"/>
      <c r="F79" s="74"/>
      <c r="G79" s="74"/>
      <c r="H79" s="74"/>
      <c r="I79" s="74"/>
      <c r="J79" s="74"/>
      <c r="K79" s="74"/>
      <c r="L79" s="74"/>
      <c r="M79" s="74"/>
    </row>
    <row r="80" spans="1:13" ht="18.75" x14ac:dyDescent="0.3">
      <c r="A80" s="74"/>
      <c r="B80" s="74"/>
      <c r="C80" s="74"/>
      <c r="D80" s="74"/>
      <c r="E80" s="74"/>
      <c r="F80" s="74"/>
      <c r="G80" s="74"/>
      <c r="H80" s="74"/>
      <c r="I80" s="74"/>
      <c r="J80" s="74"/>
      <c r="K80" s="74"/>
      <c r="L80" s="74"/>
      <c r="M80" s="74"/>
    </row>
    <row r="81" spans="1:13" ht="18.75" x14ac:dyDescent="0.3">
      <c r="A81" s="74"/>
      <c r="B81" s="74"/>
      <c r="C81" s="74"/>
      <c r="D81" s="74"/>
      <c r="E81" s="74"/>
      <c r="F81" s="74"/>
      <c r="G81" s="74"/>
      <c r="H81" s="74"/>
      <c r="I81" s="74"/>
      <c r="J81" s="74"/>
      <c r="K81" s="74"/>
      <c r="L81" s="74"/>
      <c r="M81" s="74"/>
    </row>
    <row r="82" spans="1:13" ht="18.75" x14ac:dyDescent="0.3">
      <c r="A82" s="74"/>
      <c r="B82" s="74"/>
      <c r="C82" s="74"/>
      <c r="D82" s="74"/>
      <c r="E82" s="74"/>
      <c r="F82" s="74"/>
      <c r="G82" s="74"/>
      <c r="H82" s="74"/>
      <c r="I82" s="74"/>
      <c r="J82" s="74"/>
      <c r="K82" s="74"/>
      <c r="L82" s="74"/>
      <c r="M82" s="74"/>
    </row>
    <row r="83" spans="1:13" ht="18.75" x14ac:dyDescent="0.3">
      <c r="A83" s="74"/>
      <c r="B83" s="74"/>
      <c r="C83" s="74"/>
      <c r="D83" s="74"/>
      <c r="E83" s="74"/>
      <c r="F83" s="74"/>
      <c r="G83" s="74"/>
      <c r="H83" s="74"/>
      <c r="I83" s="74"/>
      <c r="J83" s="74"/>
      <c r="K83" s="74"/>
      <c r="L83" s="74"/>
      <c r="M83" s="74"/>
    </row>
    <row r="84" spans="1:13" ht="18.75" x14ac:dyDescent="0.3">
      <c r="A84" s="74"/>
      <c r="B84" s="74"/>
      <c r="C84" s="74"/>
      <c r="D84" s="74"/>
      <c r="E84" s="74"/>
      <c r="F84" s="74"/>
      <c r="G84" s="74"/>
      <c r="H84" s="74"/>
      <c r="I84" s="74"/>
      <c r="J84" s="74"/>
      <c r="K84" s="74"/>
      <c r="L84" s="74"/>
      <c r="M84" s="74"/>
    </row>
    <row r="85" spans="1:13" ht="18.75" x14ac:dyDescent="0.3">
      <c r="A85" s="74"/>
      <c r="B85" s="74"/>
      <c r="C85" s="74"/>
      <c r="D85" s="74"/>
      <c r="E85" s="74"/>
      <c r="F85" s="74"/>
      <c r="G85" s="74"/>
      <c r="H85" s="74"/>
      <c r="I85" s="74"/>
      <c r="J85" s="74"/>
      <c r="K85" s="74"/>
      <c r="L85" s="74"/>
      <c r="M85" s="74"/>
    </row>
    <row r="86" spans="1:13" ht="18.75" x14ac:dyDescent="0.3">
      <c r="A86" s="74"/>
      <c r="B86" s="74"/>
      <c r="C86" s="74"/>
      <c r="D86" s="74"/>
      <c r="E86" s="74"/>
      <c r="F86" s="74"/>
      <c r="G86" s="74"/>
      <c r="H86" s="74"/>
      <c r="I86" s="74"/>
      <c r="J86" s="74"/>
      <c r="K86" s="74"/>
      <c r="L86" s="74"/>
      <c r="M86" s="74"/>
    </row>
    <row r="87" spans="1:13" ht="18.75" x14ac:dyDescent="0.3">
      <c r="A87" s="74"/>
      <c r="B87" s="74"/>
      <c r="C87" s="74"/>
      <c r="D87" s="74"/>
      <c r="E87" s="74"/>
      <c r="F87" s="74"/>
      <c r="G87" s="74"/>
      <c r="H87" s="74"/>
      <c r="I87" s="74"/>
      <c r="J87" s="74"/>
      <c r="K87" s="74"/>
      <c r="L87" s="74"/>
      <c r="M87" s="74"/>
    </row>
    <row r="88" spans="1:13" ht="18.75" x14ac:dyDescent="0.3">
      <c r="A88" s="74"/>
      <c r="B88" s="74"/>
      <c r="C88" s="74"/>
      <c r="D88" s="74"/>
      <c r="E88" s="74"/>
      <c r="F88" s="74"/>
      <c r="G88" s="74"/>
      <c r="H88" s="74"/>
      <c r="I88" s="74"/>
      <c r="J88" s="74"/>
      <c r="K88" s="74"/>
      <c r="L88" s="74"/>
      <c r="M88" s="74"/>
    </row>
    <row r="89" spans="1:13" ht="18.75" x14ac:dyDescent="0.3">
      <c r="A89" s="74"/>
      <c r="B89" s="74"/>
      <c r="C89" s="74"/>
      <c r="D89" s="74"/>
      <c r="E89" s="74"/>
      <c r="F89" s="74"/>
      <c r="G89" s="74"/>
      <c r="H89" s="74"/>
      <c r="I89" s="74"/>
      <c r="J89" s="74"/>
      <c r="K89" s="74"/>
      <c r="L89" s="74"/>
      <c r="M89" s="74"/>
    </row>
    <row r="90" spans="1:13" ht="18.75" x14ac:dyDescent="0.3">
      <c r="A90" s="74"/>
      <c r="B90" s="74"/>
      <c r="C90" s="74"/>
      <c r="D90" s="74"/>
      <c r="E90" s="74"/>
      <c r="F90" s="74"/>
      <c r="G90" s="74"/>
      <c r="H90" s="74"/>
      <c r="I90" s="74"/>
      <c r="J90" s="74"/>
      <c r="K90" s="74"/>
      <c r="L90" s="74"/>
      <c r="M90" s="74"/>
    </row>
    <row r="91" spans="1:13" ht="18.75" x14ac:dyDescent="0.3">
      <c r="A91" s="74"/>
      <c r="B91" s="74"/>
      <c r="C91" s="74"/>
      <c r="D91" s="74"/>
      <c r="E91" s="74"/>
      <c r="F91" s="74"/>
      <c r="G91" s="74"/>
      <c r="H91" s="74"/>
      <c r="I91" s="74"/>
      <c r="J91" s="74"/>
      <c r="K91" s="74"/>
      <c r="L91" s="74"/>
      <c r="M91" s="74"/>
    </row>
    <row r="92" spans="1:13" ht="18.75" x14ac:dyDescent="0.3">
      <c r="A92" s="74"/>
      <c r="B92" s="74"/>
      <c r="C92" s="74"/>
      <c r="D92" s="74"/>
      <c r="E92" s="74"/>
      <c r="F92" s="74"/>
      <c r="G92" s="74"/>
      <c r="H92" s="74"/>
      <c r="I92" s="74"/>
      <c r="J92" s="74"/>
      <c r="K92" s="74"/>
      <c r="L92" s="74"/>
      <c r="M92" s="74"/>
    </row>
    <row r="93" spans="1:13" ht="18.75" x14ac:dyDescent="0.3">
      <c r="A93" s="74"/>
      <c r="B93" s="74"/>
      <c r="C93" s="74"/>
      <c r="D93" s="74"/>
      <c r="E93" s="74"/>
      <c r="F93" s="74"/>
      <c r="G93" s="74"/>
      <c r="H93" s="74"/>
      <c r="I93" s="74"/>
      <c r="J93" s="74"/>
      <c r="K93" s="74"/>
      <c r="L93" s="74"/>
      <c r="M93" s="74"/>
    </row>
    <row r="94" spans="1:13" ht="18.75" x14ac:dyDescent="0.3">
      <c r="A94" s="74"/>
      <c r="B94" s="74"/>
      <c r="C94" s="74"/>
      <c r="D94" s="74"/>
      <c r="E94" s="74"/>
      <c r="F94" s="74"/>
      <c r="G94" s="74"/>
      <c r="H94" s="74"/>
      <c r="I94" s="74"/>
      <c r="J94" s="74"/>
      <c r="K94" s="74"/>
      <c r="L94" s="74"/>
      <c r="M94" s="74"/>
    </row>
    <row r="95" spans="1:13" ht="18.75" x14ac:dyDescent="0.3">
      <c r="A95" s="74"/>
      <c r="B95" s="74"/>
      <c r="C95" s="74"/>
      <c r="D95" s="74"/>
      <c r="E95" s="74"/>
      <c r="F95" s="74"/>
      <c r="G95" s="74"/>
      <c r="H95" s="74"/>
      <c r="I95" s="74"/>
      <c r="J95" s="74"/>
      <c r="K95" s="74"/>
      <c r="L95" s="74"/>
      <c r="M95" s="74"/>
    </row>
    <row r="96" spans="1:13" ht="18.75" x14ac:dyDescent="0.3">
      <c r="A96" s="74"/>
      <c r="B96" s="74"/>
      <c r="C96" s="74"/>
      <c r="D96" s="74"/>
      <c r="E96" s="74"/>
      <c r="F96" s="74"/>
      <c r="G96" s="74"/>
      <c r="H96" s="74"/>
      <c r="I96" s="74"/>
      <c r="J96" s="74"/>
      <c r="K96" s="74"/>
      <c r="L96" s="74"/>
      <c r="M96" s="74"/>
    </row>
    <row r="97" spans="1:13" ht="18.75" x14ac:dyDescent="0.3">
      <c r="A97" s="74"/>
      <c r="B97" s="74"/>
      <c r="C97" s="74"/>
      <c r="D97" s="74"/>
      <c r="E97" s="74"/>
      <c r="F97" s="74"/>
      <c r="G97" s="74"/>
      <c r="H97" s="74"/>
      <c r="I97" s="74"/>
      <c r="J97" s="74"/>
      <c r="K97" s="74"/>
      <c r="L97" s="74"/>
      <c r="M97" s="74"/>
    </row>
    <row r="98" spans="1:13" ht="18.75" x14ac:dyDescent="0.3">
      <c r="A98" s="74"/>
      <c r="B98" s="74"/>
      <c r="C98" s="74"/>
      <c r="D98" s="74"/>
      <c r="E98" s="74"/>
      <c r="F98" s="74"/>
      <c r="G98" s="74"/>
      <c r="H98" s="74"/>
      <c r="I98" s="74"/>
      <c r="J98" s="74"/>
      <c r="K98" s="74"/>
      <c r="L98" s="74"/>
      <c r="M98" s="74"/>
    </row>
    <row r="99" spans="1:13" ht="18.75" x14ac:dyDescent="0.3">
      <c r="A99" s="74"/>
      <c r="B99" s="74"/>
      <c r="C99" s="74"/>
      <c r="D99" s="74"/>
      <c r="E99" s="74"/>
      <c r="F99" s="74"/>
      <c r="G99" s="74"/>
      <c r="H99" s="74"/>
      <c r="I99" s="74"/>
      <c r="J99" s="74"/>
      <c r="K99" s="74"/>
      <c r="L99" s="74"/>
      <c r="M99" s="74"/>
    </row>
    <row r="100" spans="1:13" ht="18.75" x14ac:dyDescent="0.3">
      <c r="A100" s="74"/>
      <c r="B100" s="74"/>
      <c r="C100" s="74"/>
      <c r="D100" s="74"/>
      <c r="E100" s="74"/>
      <c r="F100" s="74"/>
      <c r="G100" s="74"/>
      <c r="H100" s="74"/>
      <c r="I100" s="74"/>
      <c r="J100" s="74"/>
      <c r="K100" s="74"/>
      <c r="L100" s="74"/>
      <c r="M100" s="74"/>
    </row>
    <row r="101" spans="1:13" ht="18.75" x14ac:dyDescent="0.3">
      <c r="A101" s="74"/>
      <c r="B101" s="74"/>
      <c r="C101" s="74"/>
      <c r="D101" s="74"/>
      <c r="E101" s="74"/>
      <c r="F101" s="74"/>
      <c r="G101" s="74"/>
      <c r="H101" s="74"/>
      <c r="I101" s="74"/>
      <c r="J101" s="74"/>
      <c r="K101" s="74"/>
      <c r="L101" s="74"/>
      <c r="M101" s="74"/>
    </row>
    <row r="102" spans="1:13" ht="18.75" x14ac:dyDescent="0.3">
      <c r="A102" s="74"/>
      <c r="B102" s="74"/>
      <c r="C102" s="74"/>
      <c r="D102" s="74"/>
      <c r="E102" s="74"/>
      <c r="F102" s="74"/>
      <c r="G102" s="74"/>
      <c r="H102" s="74"/>
      <c r="I102" s="74"/>
      <c r="J102" s="74"/>
      <c r="K102" s="74"/>
      <c r="L102" s="74"/>
      <c r="M102" s="74"/>
    </row>
    <row r="103" spans="1:13" ht="18.75" x14ac:dyDescent="0.3">
      <c r="A103" s="74"/>
      <c r="B103" s="74"/>
      <c r="C103" s="74"/>
      <c r="D103" s="74"/>
      <c r="E103" s="74"/>
      <c r="F103" s="74"/>
      <c r="G103" s="74"/>
      <c r="H103" s="74"/>
      <c r="I103" s="74"/>
      <c r="J103" s="74"/>
      <c r="K103" s="74"/>
      <c r="L103" s="74"/>
      <c r="M103" s="74"/>
    </row>
    <row r="104" spans="1:13" ht="18.75" x14ac:dyDescent="0.3">
      <c r="A104" s="74"/>
      <c r="B104" s="74"/>
      <c r="C104" s="74"/>
      <c r="D104" s="74"/>
      <c r="E104" s="74"/>
      <c r="F104" s="74"/>
      <c r="G104" s="74"/>
      <c r="H104" s="74"/>
      <c r="I104" s="74"/>
      <c r="J104" s="74"/>
      <c r="K104" s="74"/>
      <c r="L104" s="74"/>
      <c r="M104" s="74"/>
    </row>
    <row r="105" spans="1:13" ht="18.75" x14ac:dyDescent="0.3">
      <c r="A105" s="74"/>
      <c r="B105" s="74"/>
      <c r="C105" s="74"/>
      <c r="D105" s="74"/>
      <c r="E105" s="74"/>
      <c r="F105" s="74"/>
      <c r="G105" s="74"/>
      <c r="H105" s="74"/>
      <c r="I105" s="74"/>
      <c r="J105" s="74"/>
      <c r="K105" s="74"/>
      <c r="L105" s="74"/>
      <c r="M105" s="74"/>
    </row>
    <row r="106" spans="1:13" ht="18.75" x14ac:dyDescent="0.3">
      <c r="A106" s="74"/>
      <c r="B106" s="74"/>
      <c r="C106" s="74"/>
      <c r="D106" s="74"/>
      <c r="E106" s="74"/>
      <c r="F106" s="74"/>
      <c r="G106" s="74"/>
      <c r="H106" s="74"/>
      <c r="I106" s="74"/>
      <c r="J106" s="74"/>
      <c r="K106" s="74"/>
      <c r="L106" s="74"/>
      <c r="M106" s="74"/>
    </row>
    <row r="107" spans="1:13" ht="18.75" x14ac:dyDescent="0.3">
      <c r="A107" s="74"/>
      <c r="B107" s="74"/>
      <c r="C107" s="74"/>
      <c r="D107" s="74"/>
      <c r="E107" s="74"/>
      <c r="F107" s="74"/>
      <c r="G107" s="74"/>
      <c r="H107" s="74"/>
      <c r="I107" s="74"/>
      <c r="J107" s="74"/>
      <c r="K107" s="74"/>
      <c r="L107" s="74"/>
      <c r="M107" s="74"/>
    </row>
    <row r="108" spans="1:13" ht="18.75" x14ac:dyDescent="0.3">
      <c r="A108" s="74"/>
      <c r="B108" s="74"/>
      <c r="C108" s="74"/>
      <c r="D108" s="74"/>
      <c r="E108" s="74"/>
      <c r="F108" s="74"/>
      <c r="G108" s="74"/>
      <c r="H108" s="74"/>
      <c r="I108" s="74"/>
      <c r="J108" s="74"/>
      <c r="K108" s="74"/>
      <c r="L108" s="74"/>
      <c r="M108" s="74"/>
    </row>
    <row r="109" spans="1:13" ht="18.75" x14ac:dyDescent="0.3">
      <c r="A109" s="74"/>
      <c r="B109" s="74"/>
      <c r="C109" s="74"/>
      <c r="D109" s="74"/>
      <c r="E109" s="74"/>
      <c r="F109" s="74"/>
      <c r="G109" s="74"/>
      <c r="H109" s="74"/>
      <c r="I109" s="74"/>
      <c r="J109" s="74"/>
      <c r="K109" s="74"/>
      <c r="L109" s="74"/>
      <c r="M109" s="74"/>
    </row>
    <row r="110" spans="1:13" ht="18.75" x14ac:dyDescent="0.3">
      <c r="A110" s="74"/>
      <c r="B110" s="74"/>
      <c r="C110" s="74"/>
      <c r="D110" s="74"/>
      <c r="E110" s="74"/>
      <c r="F110" s="74"/>
      <c r="G110" s="74"/>
      <c r="H110" s="74"/>
      <c r="I110" s="74"/>
      <c r="J110" s="74"/>
      <c r="K110" s="74"/>
      <c r="L110" s="74"/>
      <c r="M110" s="74"/>
    </row>
    <row r="111" spans="1:13" ht="18.75" x14ac:dyDescent="0.3">
      <c r="A111" s="74"/>
      <c r="B111" s="74"/>
      <c r="C111" s="74"/>
      <c r="D111" s="74"/>
      <c r="E111" s="74"/>
      <c r="F111" s="74"/>
      <c r="G111" s="74"/>
      <c r="H111" s="74"/>
      <c r="I111" s="74"/>
      <c r="J111" s="74"/>
      <c r="K111" s="74"/>
      <c r="L111" s="74"/>
      <c r="M111" s="74"/>
    </row>
    <row r="112" spans="1:13" ht="18.75" x14ac:dyDescent="0.3">
      <c r="A112" s="74"/>
      <c r="B112" s="74"/>
      <c r="C112" s="74"/>
      <c r="D112" s="74"/>
      <c r="E112" s="74"/>
      <c r="F112" s="74"/>
      <c r="G112" s="74"/>
      <c r="H112" s="74"/>
      <c r="I112" s="74"/>
      <c r="J112" s="74"/>
      <c r="K112" s="74"/>
      <c r="L112" s="74"/>
      <c r="M112" s="74"/>
    </row>
    <row r="113" spans="1:13" ht="18.75" x14ac:dyDescent="0.3">
      <c r="A113" s="74"/>
      <c r="B113" s="74"/>
      <c r="C113" s="74"/>
      <c r="D113" s="74"/>
      <c r="E113" s="74"/>
      <c r="F113" s="74"/>
      <c r="G113" s="74"/>
      <c r="H113" s="74"/>
      <c r="I113" s="74"/>
      <c r="J113" s="74"/>
      <c r="K113" s="74"/>
      <c r="L113" s="74"/>
      <c r="M113" s="74"/>
    </row>
    <row r="114" spans="1:13" ht="18.75" x14ac:dyDescent="0.3">
      <c r="A114" s="74"/>
      <c r="B114" s="74"/>
      <c r="C114" s="74"/>
      <c r="D114" s="74"/>
      <c r="E114" s="74"/>
      <c r="F114" s="74"/>
      <c r="G114" s="74"/>
      <c r="H114" s="74"/>
      <c r="I114" s="74"/>
      <c r="J114" s="74"/>
      <c r="K114" s="74"/>
      <c r="L114" s="74"/>
      <c r="M114" s="74"/>
    </row>
    <row r="115" spans="1:13" ht="18.75" x14ac:dyDescent="0.3">
      <c r="A115" s="74"/>
      <c r="B115" s="74"/>
      <c r="C115" s="74"/>
      <c r="D115" s="74"/>
      <c r="E115" s="74"/>
      <c r="F115" s="74"/>
      <c r="G115" s="74"/>
      <c r="H115" s="74"/>
      <c r="I115" s="74"/>
      <c r="J115" s="74"/>
      <c r="K115" s="74"/>
      <c r="L115" s="74"/>
      <c r="M115" s="74"/>
    </row>
  </sheetData>
  <mergeCells count="3">
    <mergeCell ref="B5:D5"/>
    <mergeCell ref="F5:H5"/>
    <mergeCell ref="J5:L5"/>
  </mergeCells>
  <hyperlinks>
    <hyperlink ref="B1" location="Innhold!A1" display="Tilbake" xr:uid="{00000000-0004-0000-0400-000000000000}"/>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dimension ref="A1:J92"/>
  <sheetViews>
    <sheetView showGridLines="0" zoomScale="70" zoomScaleNormal="70" workbookViewId="0">
      <pane xSplit="1" ySplit="7" topLeftCell="B8" activePane="bottomRight" state="frozen"/>
      <selection pane="topRight" activeCell="B1" sqref="B1"/>
      <selection pane="bottomLeft" activeCell="A8" sqref="A8"/>
      <selection pane="bottomRight" activeCell="A5" sqref="A5"/>
    </sheetView>
  </sheetViews>
  <sheetFormatPr baseColWidth="10" defaultColWidth="11.42578125" defaultRowHeight="18" x14ac:dyDescent="0.25"/>
  <cols>
    <col min="1" max="1" width="35.85546875" style="81" customWidth="1"/>
    <col min="2" max="2" width="18.140625" style="81" customWidth="1"/>
    <col min="3" max="3" width="17.85546875" style="81" customWidth="1"/>
    <col min="4" max="4" width="11.7109375" style="81" customWidth="1"/>
    <col min="5" max="5" width="4.7109375" style="81" customWidth="1"/>
    <col min="6" max="7" width="13" style="81" customWidth="1"/>
    <col min="8" max="8" width="11.7109375" style="81" customWidth="1"/>
    <col min="9" max="9" width="12.42578125" style="81" customWidth="1"/>
    <col min="10" max="10" width="11.42578125" style="81"/>
    <col min="11" max="12" width="17.140625" style="81" bestFit="1" customWidth="1"/>
    <col min="13" max="16384" width="11.42578125" style="81"/>
  </cols>
  <sheetData>
    <row r="1" spans="1:10" ht="18.75" customHeight="1" x14ac:dyDescent="0.3">
      <c r="A1" s="80" t="s">
        <v>79</v>
      </c>
      <c r="B1" s="73" t="s">
        <v>52</v>
      </c>
      <c r="C1" s="80"/>
      <c r="D1" s="80"/>
      <c r="E1" s="80"/>
      <c r="F1" s="74"/>
      <c r="G1" s="74"/>
      <c r="H1" s="74"/>
      <c r="I1" s="74"/>
      <c r="J1" s="74"/>
    </row>
    <row r="2" spans="1:10" ht="20.100000000000001" customHeight="1" x14ac:dyDescent="0.3">
      <c r="A2" s="80" t="s">
        <v>162</v>
      </c>
      <c r="B2" s="80"/>
      <c r="C2" s="80"/>
      <c r="D2" s="80"/>
      <c r="E2" s="80"/>
      <c r="F2" s="74"/>
      <c r="G2" s="74"/>
      <c r="H2" s="74"/>
      <c r="I2" s="74"/>
      <c r="J2" s="74"/>
    </row>
    <row r="3" spans="1:10" ht="20.100000000000001" customHeight="1" x14ac:dyDescent="0.3">
      <c r="A3" s="75"/>
      <c r="B3" s="75"/>
      <c r="C3" s="75"/>
      <c r="D3" s="75"/>
      <c r="E3" s="256"/>
      <c r="F3" s="74"/>
      <c r="G3" s="74"/>
      <c r="H3" s="74"/>
      <c r="I3" s="74"/>
      <c r="J3" s="74"/>
    </row>
    <row r="4" spans="1:10" ht="20.100000000000001" customHeight="1" x14ac:dyDescent="0.3">
      <c r="A4" s="257"/>
      <c r="B4" s="958" t="s">
        <v>163</v>
      </c>
      <c r="C4" s="958"/>
      <c r="D4" s="959"/>
      <c r="E4" s="89"/>
      <c r="F4" s="960" t="s">
        <v>163</v>
      </c>
      <c r="G4" s="958"/>
      <c r="H4" s="959"/>
      <c r="I4" s="74"/>
      <c r="J4" s="74"/>
    </row>
    <row r="5" spans="1:10" ht="18.75" customHeight="1" x14ac:dyDescent="0.3">
      <c r="A5" s="258" t="s">
        <v>367</v>
      </c>
      <c r="B5" s="961" t="s">
        <v>164</v>
      </c>
      <c r="C5" s="962"/>
      <c r="D5" s="963"/>
      <c r="E5" s="259"/>
      <c r="F5" s="964" t="s">
        <v>165</v>
      </c>
      <c r="G5" s="965"/>
      <c r="H5" s="966"/>
      <c r="I5" s="112"/>
      <c r="J5" s="74"/>
    </row>
    <row r="6" spans="1:10" ht="18.75" customHeight="1" x14ac:dyDescent="0.3">
      <c r="A6" s="122"/>
      <c r="B6" s="120"/>
      <c r="C6" s="192"/>
      <c r="D6" s="260" t="s">
        <v>83</v>
      </c>
      <c r="E6" s="260"/>
      <c r="F6" s="123"/>
      <c r="G6" s="124"/>
      <c r="H6" s="94" t="s">
        <v>83</v>
      </c>
      <c r="I6" s="100"/>
      <c r="J6" s="74"/>
    </row>
    <row r="7" spans="1:10" ht="18.75" customHeight="1" x14ac:dyDescent="0.3">
      <c r="A7" s="126"/>
      <c r="B7" s="97">
        <v>2018</v>
      </c>
      <c r="C7" s="97">
        <v>2019</v>
      </c>
      <c r="D7" s="261" t="s">
        <v>85</v>
      </c>
      <c r="E7" s="260"/>
      <c r="F7" s="97">
        <v>2018</v>
      </c>
      <c r="G7" s="127">
        <v>2019</v>
      </c>
      <c r="H7" s="262" t="s">
        <v>85</v>
      </c>
      <c r="I7" s="100"/>
      <c r="J7" s="74"/>
    </row>
    <row r="8" spans="1:10" ht="18.75" customHeight="1" x14ac:dyDescent="0.3">
      <c r="A8" s="101" t="s">
        <v>166</v>
      </c>
      <c r="B8" s="109">
        <f>SUM(B9:B14)</f>
        <v>142130.42435168001</v>
      </c>
      <c r="C8" s="109">
        <f>SUM(C9:C14)</f>
        <v>147664.20510747001</v>
      </c>
      <c r="D8" s="263">
        <f t="shared" ref="D8:D38" si="0">IF(B8=0, "    ---- ", IF(ABS(ROUND(100/B8*C8-100,1))&lt;999,ROUND(100/B8*C8-100,1),IF(ROUND(100/B8*C8-100,1)&gt;999,999,-999)))</f>
        <v>3.9</v>
      </c>
      <c r="E8" s="264"/>
      <c r="F8" s="263">
        <f>SUM(F9:F14)</f>
        <v>100</v>
      </c>
      <c r="G8" s="263">
        <f>SUM(G9:G14)</f>
        <v>100.00000000000001</v>
      </c>
      <c r="H8" s="264">
        <f t="shared" ref="H8:H38" si="1">IF(F8=0, "    ---- ", IF(ABS(ROUND(100/F8*G8-100,1))&lt;999,ROUND(100/F8*G8-100,1),IF(ROUND(100/F8*G8-100,1)&gt;999,999,-999)))</f>
        <v>0</v>
      </c>
      <c r="I8" s="104"/>
      <c r="J8" s="74"/>
    </row>
    <row r="9" spans="1:10" ht="18.75" customHeight="1" x14ac:dyDescent="0.3">
      <c r="A9" s="86" t="s">
        <v>167</v>
      </c>
      <c r="B9" s="106">
        <f>'Tabell 6'!AO21</f>
        <v>3770.69460845</v>
      </c>
      <c r="C9" s="106">
        <f>'Tabell 6'!AP21</f>
        <v>2491.1315584500003</v>
      </c>
      <c r="D9" s="265">
        <f t="shared" si="0"/>
        <v>-33.9</v>
      </c>
      <c r="E9" s="265"/>
      <c r="F9" s="265">
        <f>'Tabell 6'!AO21/'Tabell 6'!AO29*100</f>
        <v>2.6529820238346664</v>
      </c>
      <c r="G9" s="265">
        <f>'Tabell 6'!AP21/'Tabell 6'!AP29*100</f>
        <v>1.6870246629079506</v>
      </c>
      <c r="H9" s="266">
        <f t="shared" si="1"/>
        <v>-36.4</v>
      </c>
      <c r="I9" s="104"/>
      <c r="J9" s="77"/>
    </row>
    <row r="10" spans="1:10" ht="18.75" customHeight="1" x14ac:dyDescent="0.3">
      <c r="A10" s="86" t="s">
        <v>168</v>
      </c>
      <c r="B10" s="105">
        <f>'Tabell 6'!AO18+'Tabell 6'!AO22</f>
        <v>71156.442989439995</v>
      </c>
      <c r="C10" s="105">
        <f>'Tabell 6'!AP18+'Tabell 6'!AP22</f>
        <v>76836.308268749999</v>
      </c>
      <c r="D10" s="265">
        <f t="shared" si="0"/>
        <v>8</v>
      </c>
      <c r="E10" s="265"/>
      <c r="F10" s="265">
        <f>('Tabell 6'!AO18+'Tabell 6'!AO22)/'Tabell 6'!AO29*100</f>
        <v>50.064188096261688</v>
      </c>
      <c r="G10" s="265">
        <f>('Tabell 6'!AP18+'Tabell 6'!AP22)/'Tabell 6'!AP29*100</f>
        <v>52.034484737061739</v>
      </c>
      <c r="H10" s="266">
        <f t="shared" si="1"/>
        <v>3.9</v>
      </c>
      <c r="I10" s="104"/>
      <c r="J10" s="74"/>
    </row>
    <row r="11" spans="1:10" ht="18.75" customHeight="1" x14ac:dyDescent="0.3">
      <c r="A11" s="86" t="s">
        <v>169</v>
      </c>
      <c r="B11" s="105">
        <f>'Tabell 6'!AO14</f>
        <v>924.26844574999996</v>
      </c>
      <c r="C11" s="105">
        <f>'Tabell 6'!AP14</f>
        <v>965.24898774999997</v>
      </c>
      <c r="D11" s="265">
        <f t="shared" si="0"/>
        <v>4.4000000000000004</v>
      </c>
      <c r="E11" s="265"/>
      <c r="F11" s="265">
        <f>'Tabell 6'!AO14/'Tabell 6'!AO29*100</f>
        <v>0.6502959869190561</v>
      </c>
      <c r="G11" s="265">
        <f>'Tabell 6'!AP14/'Tabell 6'!AP29*100</f>
        <v>0.65367838268420697</v>
      </c>
      <c r="H11" s="266">
        <f t="shared" si="1"/>
        <v>0.5</v>
      </c>
      <c r="I11" s="104"/>
      <c r="J11" s="74"/>
    </row>
    <row r="12" spans="1:10" ht="18.75" customHeight="1" x14ac:dyDescent="0.3">
      <c r="A12" s="108" t="s">
        <v>170</v>
      </c>
      <c r="B12" s="105">
        <f>'Tabell 6'!AO15</f>
        <v>23165.276184959999</v>
      </c>
      <c r="C12" s="105">
        <f>'Tabell 6'!AP15</f>
        <v>24347.67197634</v>
      </c>
      <c r="D12" s="267">
        <f t="shared" si="0"/>
        <v>5.0999999999999996</v>
      </c>
      <c r="E12" s="267"/>
      <c r="F12" s="265">
        <f>'Tabell 6'!AO15/'Tabell 6'!AO29*100</f>
        <v>16.298604813590835</v>
      </c>
      <c r="G12" s="265">
        <f>'Tabell 6'!AP15/'Tabell 6'!AP29*100</f>
        <v>16.488540305769952</v>
      </c>
      <c r="H12" s="266">
        <f t="shared" si="1"/>
        <v>1.2</v>
      </c>
      <c r="I12" s="104"/>
      <c r="J12" s="74"/>
    </row>
    <row r="13" spans="1:10" ht="18.75" customHeight="1" x14ac:dyDescent="0.3">
      <c r="A13" s="86" t="s">
        <v>171</v>
      </c>
      <c r="B13" s="105">
        <f>'Tabell 6'!AO19+'Tabell 6'!AO23</f>
        <v>28476.789221570001</v>
      </c>
      <c r="C13" s="105">
        <f>'Tabell 6'!AP19+'Tabell 6'!AP23</f>
        <v>29363.028381269996</v>
      </c>
      <c r="D13" s="265">
        <f t="shared" si="0"/>
        <v>3.1</v>
      </c>
      <c r="E13" s="265"/>
      <c r="F13" s="265">
        <f>('Tabell 6'!AO19+'Tabell 6'!AO23)/'Tabell 6'!AO29*100</f>
        <v>20.035674523217168</v>
      </c>
      <c r="G13" s="265">
        <f>('Tabell 6'!AP19+'Tabell 6'!AP23)/'Tabell 6'!AP29*100</f>
        <v>19.88500080970848</v>
      </c>
      <c r="H13" s="266">
        <f t="shared" si="1"/>
        <v>-0.8</v>
      </c>
      <c r="I13" s="104"/>
      <c r="J13" s="74"/>
    </row>
    <row r="14" spans="1:10" ht="18.75" customHeight="1" x14ac:dyDescent="0.3">
      <c r="A14" s="86" t="s">
        <v>172</v>
      </c>
      <c r="B14" s="176">
        <f>'Tabell 6'!AO17-'Tabell 6'!AO18+'Tabell 6'!AO24+'Tabell 6'!AO25+'Tabell 6'!AO26+'Tabell 6'!AO28</f>
        <v>14636.952901510002</v>
      </c>
      <c r="C14" s="176">
        <f>'Tabell 6'!AP17-'Tabell 6'!AP18+'Tabell 6'!AP24+'Tabell 6'!AP25+'Tabell 6'!AP26+'Tabell 6'!AP28</f>
        <v>13660.815934910002</v>
      </c>
      <c r="D14" s="265">
        <f t="shared" si="0"/>
        <v>-6.7</v>
      </c>
      <c r="E14" s="265"/>
      <c r="F14" s="265">
        <f>('Tabell 6'!AO17-'Tabell 6'!AO18+'Tabell 6'!AO24+'Tabell 6'!AO25+'Tabell 6'!AO26+'Tabell 6'!AO28)/'Tabell 6'!AO29*100</f>
        <v>10.298254556176586</v>
      </c>
      <c r="G14" s="265">
        <f>('Tabell 6'!AP17-'Tabell 6'!AP18+'Tabell 6'!AP24+'Tabell 6'!AP25+'Tabell 6'!AP26+'Tabell 6'!AP28)/'Tabell 6'!AP29*100</f>
        <v>9.2512711018676885</v>
      </c>
      <c r="H14" s="266">
        <f t="shared" si="1"/>
        <v>-10.199999999999999</v>
      </c>
      <c r="I14" s="104"/>
      <c r="J14" s="74"/>
    </row>
    <row r="15" spans="1:10" ht="18.75" customHeight="1" x14ac:dyDescent="0.3">
      <c r="A15" s="193"/>
      <c r="B15" s="103"/>
      <c r="C15" s="176"/>
      <c r="D15" s="266"/>
      <c r="E15" s="266"/>
      <c r="F15" s="266"/>
      <c r="G15" s="265"/>
      <c r="H15" s="266"/>
      <c r="I15" s="104"/>
      <c r="J15" s="74"/>
    </row>
    <row r="16" spans="1:10" s="135" customFormat="1" ht="18.75" customHeight="1" x14ac:dyDescent="0.3">
      <c r="A16" s="101" t="s">
        <v>173</v>
      </c>
      <c r="B16" s="109">
        <f>SUM(B17:B22)</f>
        <v>1079781.55743076</v>
      </c>
      <c r="C16" s="109">
        <f>SUM(C17:C22)</f>
        <v>1157323.3282709501</v>
      </c>
      <c r="D16" s="263">
        <f t="shared" si="0"/>
        <v>7.2</v>
      </c>
      <c r="E16" s="263"/>
      <c r="F16" s="263">
        <f>SUM(F17:F22)</f>
        <v>100.00000000000001</v>
      </c>
      <c r="G16" s="263">
        <f>SUM(G17:G22)</f>
        <v>100</v>
      </c>
      <c r="H16" s="264">
        <f t="shared" si="1"/>
        <v>0</v>
      </c>
      <c r="I16" s="110"/>
      <c r="J16" s="75"/>
    </row>
    <row r="17" spans="1:10" ht="18.75" customHeight="1" x14ac:dyDescent="0.3">
      <c r="A17" s="86" t="s">
        <v>167</v>
      </c>
      <c r="B17" s="103">
        <f>'Tabell 6'!AO40</f>
        <v>172891.75472512</v>
      </c>
      <c r="C17" s="103">
        <f>'Tabell 6'!AP40</f>
        <v>212736.08868356</v>
      </c>
      <c r="D17" s="265">
        <f t="shared" si="0"/>
        <v>23</v>
      </c>
      <c r="E17" s="265"/>
      <c r="F17" s="265">
        <f>'Tabell 6'!AO40/('Tabell 6'!AO45+'Tabell 6'!AO46)*100</f>
        <v>16.011734367504843</v>
      </c>
      <c r="G17" s="265">
        <f>'Tabell 6'!AP40/('Tabell 6'!AP45+'Tabell 6'!AP46)*100</f>
        <v>18.381733391773015</v>
      </c>
      <c r="H17" s="266">
        <f t="shared" si="1"/>
        <v>14.8</v>
      </c>
      <c r="I17" s="104"/>
      <c r="J17" s="74"/>
    </row>
    <row r="18" spans="1:10" ht="18.75" customHeight="1" x14ac:dyDescent="0.3">
      <c r="A18" s="86" t="s">
        <v>168</v>
      </c>
      <c r="B18" s="103">
        <f>'Tabell 6'!AO37+'Tabell 6'!AO41</f>
        <v>350793.85998292</v>
      </c>
      <c r="C18" s="103">
        <f>'Tabell 6'!AP37+'Tabell 6'!AP41</f>
        <v>333222.62925281003</v>
      </c>
      <c r="D18" s="265">
        <f t="shared" si="0"/>
        <v>-5</v>
      </c>
      <c r="E18" s="265"/>
      <c r="F18" s="265">
        <f>('Tabell 6'!AO37+'Tabell 6'!AO41)/('Tabell 6'!AO45+'Tabell 6'!AO46)*100</f>
        <v>32.487483933102311</v>
      </c>
      <c r="G18" s="265">
        <f>('Tabell 6'!AP37+'Tabell 6'!AP41)/('Tabell 6'!AP45+'Tabell 6'!AP46)*100</f>
        <v>28.792526782523879</v>
      </c>
      <c r="H18" s="266">
        <f t="shared" si="1"/>
        <v>-11.4</v>
      </c>
      <c r="I18" s="104"/>
      <c r="J18" s="74"/>
    </row>
    <row r="19" spans="1:10" ht="18.75" customHeight="1" x14ac:dyDescent="0.3">
      <c r="A19" s="86" t="s">
        <v>169</v>
      </c>
      <c r="B19" s="103">
        <f>'Tabell 6'!AO33</f>
        <v>33.44200197</v>
      </c>
      <c r="C19" s="103">
        <f>'Tabell 6'!AP33</f>
        <v>26.20400197</v>
      </c>
      <c r="D19" s="265">
        <f t="shared" si="0"/>
        <v>-21.6</v>
      </c>
      <c r="E19" s="265"/>
      <c r="F19" s="265">
        <f>'Tabell 6'!AO33/('Tabell 6'!AO45+'Tabell 6'!AO46)*100</f>
        <v>3.0971080900448183E-3</v>
      </c>
      <c r="G19" s="265">
        <f>'Tabell 6'!AP33/('Tabell 6'!AP45+'Tabell 6'!AP46)*100</f>
        <v>2.2641902508911647E-3</v>
      </c>
      <c r="H19" s="266">
        <f t="shared" si="1"/>
        <v>-26.9</v>
      </c>
      <c r="I19" s="104"/>
      <c r="J19" s="74"/>
    </row>
    <row r="20" spans="1:10" ht="18.75" customHeight="1" x14ac:dyDescent="0.3">
      <c r="A20" s="108" t="s">
        <v>170</v>
      </c>
      <c r="B20" s="105">
        <f>'Tabell 6'!AO34</f>
        <v>136604.63461572002</v>
      </c>
      <c r="C20" s="105">
        <f>'Tabell 6'!AP34</f>
        <v>155620.65572295</v>
      </c>
      <c r="D20" s="267">
        <f t="shared" si="0"/>
        <v>13.9</v>
      </c>
      <c r="E20" s="267"/>
      <c r="F20" s="265">
        <f>'Tabell 6'!AO34/('Tabell 6'!AO45+'Tabell 6'!AO46)*100</f>
        <v>12.651136118749621</v>
      </c>
      <c r="G20" s="265">
        <f>'Tabell 6'!AP34/('Tabell 6'!AP45+'Tabell 6'!AP46)*100</f>
        <v>13.446601474408062</v>
      </c>
      <c r="H20" s="266">
        <f t="shared" si="1"/>
        <v>6.3</v>
      </c>
      <c r="I20" s="104"/>
      <c r="J20" s="74"/>
    </row>
    <row r="21" spans="1:10" ht="18.75" customHeight="1" x14ac:dyDescent="0.3">
      <c r="A21" s="86" t="s">
        <v>171</v>
      </c>
      <c r="B21" s="103">
        <f>'Tabell 6'!AO38+'Tabell 6'!AO42</f>
        <v>410710.30426259991</v>
      </c>
      <c r="C21" s="103">
        <f>'Tabell 6'!AP38+'Tabell 6'!AP42</f>
        <v>443974.57292698999</v>
      </c>
      <c r="D21" s="265">
        <f t="shared" si="0"/>
        <v>8.1</v>
      </c>
      <c r="E21" s="265"/>
      <c r="F21" s="265">
        <f>('Tabell 6'!AO38+'Tabell 6'!AO42)/('Tabell 6'!AO45+'Tabell 6'!AO46)*100</f>
        <v>38.036425185835462</v>
      </c>
      <c r="G21" s="265">
        <f>('Tabell 6'!AP38+'Tabell 6'!AP42)/('Tabell 6'!AP45+'Tabell 6'!AP46)*100</f>
        <v>38.362189898158491</v>
      </c>
      <c r="H21" s="266">
        <f t="shared" si="1"/>
        <v>0.9</v>
      </c>
      <c r="I21" s="104"/>
      <c r="J21" s="74"/>
    </row>
    <row r="22" spans="1:10" ht="18.75" customHeight="1" x14ac:dyDescent="0.3">
      <c r="A22" s="193" t="s">
        <v>172</v>
      </c>
      <c r="B22" s="103">
        <f>'Tabell 6'!AO36-'Tabell 6'!AO37+'Tabell 6'!AO43+'Tabell 6'!AO44+'Tabell 6'!AO46</f>
        <v>8747.5618424300064</v>
      </c>
      <c r="C22" s="103">
        <f>'Tabell 6'!AP36-'Tabell 6'!AP37+'Tabell 6'!AP43+'Tabell 6'!AP44+'Tabell 6'!AP46</f>
        <v>11743.177682669988</v>
      </c>
      <c r="D22" s="265">
        <f t="shared" si="0"/>
        <v>34.200000000000003</v>
      </c>
      <c r="E22" s="265"/>
      <c r="F22" s="266">
        <f>('Tabell 6'!AO36-'Tabell 6'!AO37+'Tabell 6'!AO43+'Tabell 6'!AO44+'Tabell 6'!AO46)/('Tabell 6'!AO45+'Tabell 6'!AO46)*100</f>
        <v>0.81012328671773381</v>
      </c>
      <c r="G22" s="266">
        <f>('Tabell 6'!AP36-'Tabell 6'!AP37+'Tabell 6'!AP43+'Tabell 6'!AP44+'Tabell 6'!AP46)/('Tabell 6'!AP45+'Tabell 6'!AP46)*100</f>
        <v>1.0146842628856698</v>
      </c>
      <c r="H22" s="266">
        <f t="shared" si="1"/>
        <v>25.3</v>
      </c>
      <c r="I22" s="104"/>
      <c r="J22" s="74"/>
    </row>
    <row r="23" spans="1:10" ht="18.75" customHeight="1" x14ac:dyDescent="0.3">
      <c r="A23" s="86"/>
      <c r="B23" s="176"/>
      <c r="C23" s="176"/>
      <c r="D23" s="266"/>
      <c r="E23" s="265"/>
      <c r="F23" s="265"/>
      <c r="G23" s="266"/>
      <c r="H23" s="266"/>
      <c r="I23" s="182"/>
      <c r="J23" s="74"/>
    </row>
    <row r="24" spans="1:10" ht="18.75" customHeight="1" x14ac:dyDescent="0.3">
      <c r="A24" s="137" t="s">
        <v>174</v>
      </c>
      <c r="B24" s="109">
        <f>SUM(B25:B30)</f>
        <v>311664.26819542999</v>
      </c>
      <c r="C24" s="109">
        <f>SUM(C25:C30)</f>
        <v>392611.17357641004</v>
      </c>
      <c r="D24" s="263">
        <f t="shared" si="0"/>
        <v>26</v>
      </c>
      <c r="E24" s="263"/>
      <c r="F24" s="264">
        <f>SUM(F25:F30)</f>
        <v>100.00000000000001</v>
      </c>
      <c r="G24" s="264">
        <f>SUM(G25:G30)</f>
        <v>100</v>
      </c>
      <c r="H24" s="266">
        <f t="shared" si="1"/>
        <v>0</v>
      </c>
      <c r="I24" s="182"/>
      <c r="J24" s="74"/>
    </row>
    <row r="25" spans="1:10" ht="18.75" customHeight="1" x14ac:dyDescent="0.3">
      <c r="A25" s="193" t="s">
        <v>167</v>
      </c>
      <c r="B25" s="103">
        <f>'Tabell 6'!AO55</f>
        <v>167297.26133842999</v>
      </c>
      <c r="C25" s="103">
        <f>'Tabell 6'!AP55</f>
        <v>222461.47494248004</v>
      </c>
      <c r="D25" s="265">
        <f t="shared" si="0"/>
        <v>33</v>
      </c>
      <c r="E25" s="265"/>
      <c r="F25" s="265">
        <f>'Tabell 6'!AO55/('Tabell 6'!AO60+'Tabell 6'!AO61)*100</f>
        <v>53.678678761315609</v>
      </c>
      <c r="G25" s="265">
        <f>'Tabell 6'!AP55/('Tabell 6'!AP60+'Tabell 6'!AP61)*100</f>
        <v>56.662033562624671</v>
      </c>
      <c r="H25" s="266">
        <f t="shared" si="1"/>
        <v>5.6</v>
      </c>
      <c r="I25" s="182"/>
      <c r="J25" s="74"/>
    </row>
    <row r="26" spans="1:10" ht="18.75" customHeight="1" x14ac:dyDescent="0.3">
      <c r="A26" s="193" t="s">
        <v>168</v>
      </c>
      <c r="B26" s="103">
        <f>'Tabell 6'!AO52+'Tabell 6'!AO56</f>
        <v>120844.04835926001</v>
      </c>
      <c r="C26" s="103">
        <f>'Tabell 6'!AP52+'Tabell 6'!AP56</f>
        <v>140517.93703115001</v>
      </c>
      <c r="D26" s="265">
        <f t="shared" si="0"/>
        <v>16.3</v>
      </c>
      <c r="E26" s="265"/>
      <c r="F26" s="265">
        <f>('Tabell 6'!AO52+'Tabell 6'!AO56)/('Tabell 6'!AO60+'Tabell 6'!AO61)*100</f>
        <v>38.773789840895198</v>
      </c>
      <c r="G26" s="265">
        <f>('Tabell 6'!AP52+'Tabell 6'!AP56)/('Tabell 6'!AP60+'Tabell 6'!AP61)*100</f>
        <v>35.790610784489658</v>
      </c>
      <c r="H26" s="266">
        <f t="shared" si="1"/>
        <v>-7.7</v>
      </c>
      <c r="I26" s="182"/>
      <c r="J26" s="74"/>
    </row>
    <row r="27" spans="1:10" ht="18.75" customHeight="1" x14ac:dyDescent="0.3">
      <c r="A27" s="193" t="s">
        <v>169</v>
      </c>
      <c r="B27" s="103">
        <f>'Tabell 6'!AO48</f>
        <v>0</v>
      </c>
      <c r="C27" s="103">
        <f>'Tabell 6'!AP48</f>
        <v>0</v>
      </c>
      <c r="D27" s="265" t="str">
        <f t="shared" si="0"/>
        <v xml:space="preserve">    ---- </v>
      </c>
      <c r="E27" s="265"/>
      <c r="F27" s="265">
        <f>'Tabell 6'!AO48/('Tabell 6'!AO60+'Tabell 6'!AO61)*100</f>
        <v>0</v>
      </c>
      <c r="G27" s="265">
        <f>'Tabell 6'!AP48/('Tabell 6'!AP60+'Tabell 6'!AP61)*100</f>
        <v>0</v>
      </c>
      <c r="H27" s="266" t="str">
        <f t="shared" si="1"/>
        <v xml:space="preserve">    ---- </v>
      </c>
      <c r="I27" s="182"/>
      <c r="J27" s="74"/>
    </row>
    <row r="28" spans="1:10" ht="18.75" customHeight="1" x14ac:dyDescent="0.3">
      <c r="A28" s="108" t="s">
        <v>170</v>
      </c>
      <c r="B28" s="105">
        <f>'Tabell 6'!AO49</f>
        <v>17083.813439879999</v>
      </c>
      <c r="C28" s="105">
        <f>'Tabell 6'!AP49</f>
        <v>21702.984733879999</v>
      </c>
      <c r="D28" s="267">
        <f t="shared" si="0"/>
        <v>27</v>
      </c>
      <c r="E28" s="267"/>
      <c r="F28" s="265">
        <f>'Tabell 6'!AO49/('Tabell 6'!AO60+'Tabell 6'!AO61)*100</f>
        <v>5.4814796507784278</v>
      </c>
      <c r="G28" s="265">
        <f>'Tabell 6'!AP49/('Tabell 6'!AP60+'Tabell 6'!AP61)*100</f>
        <v>5.5278571254559994</v>
      </c>
      <c r="H28" s="266">
        <f t="shared" si="1"/>
        <v>0.8</v>
      </c>
      <c r="I28" s="182"/>
      <c r="J28" s="74"/>
    </row>
    <row r="29" spans="1:10" ht="18.75" customHeight="1" x14ac:dyDescent="0.3">
      <c r="A29" s="193" t="s">
        <v>171</v>
      </c>
      <c r="B29" s="103">
        <f>'Tabell 6'!AO53+'Tabell 6'!AO57</f>
        <v>3824.7219787200002</v>
      </c>
      <c r="C29" s="103">
        <f>'Tabell 6'!AP53+'Tabell 6'!AP57</f>
        <v>4009.1332531699995</v>
      </c>
      <c r="D29" s="265">
        <f t="shared" si="0"/>
        <v>4.8</v>
      </c>
      <c r="E29" s="265"/>
      <c r="F29" s="265">
        <f>('Tabell 6'!AO53+'Tabell 6'!AO57)/('Tabell 6'!AO60+'Tabell 6'!AO61)*100</f>
        <v>1.2271929666065207</v>
      </c>
      <c r="G29" s="265">
        <f>('Tabell 6'!AP53+'Tabell 6'!AP57)/('Tabell 6'!AP60+'Tabell 6'!AP61)*100</f>
        <v>1.0211459894657688</v>
      </c>
      <c r="H29" s="266">
        <f t="shared" si="1"/>
        <v>-16.8</v>
      </c>
      <c r="I29" s="182"/>
      <c r="J29" s="74"/>
    </row>
    <row r="30" spans="1:10" ht="18.75" customHeight="1" x14ac:dyDescent="0.3">
      <c r="A30" s="86" t="s">
        <v>172</v>
      </c>
      <c r="B30" s="103">
        <f>'Tabell 6'!AO51-'Tabell 6'!AO52+'Tabell 6'!AO58+'Tabell 6'!AO59+'Tabell 6'!AO61</f>
        <v>2614.42307914</v>
      </c>
      <c r="C30" s="103">
        <f>'Tabell 6'!AP51-'Tabell 6'!AP52+'Tabell 6'!AP58+'Tabell 6'!AP59+'Tabell 6'!AP61</f>
        <v>3919.6436157300004</v>
      </c>
      <c r="D30" s="266">
        <f t="shared" si="0"/>
        <v>49.9</v>
      </c>
      <c r="E30" s="266"/>
      <c r="F30" s="266">
        <f>('Tabell 6'!AO51-'Tabell 6'!AO52+'Tabell 6'!AO58+'Tabell 6'!AO59+'Tabell 6'!AO61)/('Tabell 6'!AO60+'Tabell 6'!AO61)*100</f>
        <v>0.83885878040424522</v>
      </c>
      <c r="G30" s="266">
        <f>('Tabell 6'!AP51-'Tabell 6'!AP52+'Tabell 6'!AP58+'Tabell 6'!AP59+'Tabell 6'!AP61)/('Tabell 6'!AP60+'Tabell 6'!AP61)*100</f>
        <v>0.99835253796391499</v>
      </c>
      <c r="H30" s="266">
        <f t="shared" si="1"/>
        <v>19</v>
      </c>
      <c r="I30" s="182"/>
      <c r="J30" s="74"/>
    </row>
    <row r="31" spans="1:10" ht="18.75" customHeight="1" x14ac:dyDescent="0.3">
      <c r="A31" s="193"/>
      <c r="B31" s="176"/>
      <c r="C31" s="176"/>
      <c r="D31" s="265"/>
      <c r="E31" s="265"/>
      <c r="F31" s="265"/>
      <c r="G31" s="266"/>
      <c r="H31" s="266"/>
      <c r="I31" s="182"/>
      <c r="J31" s="74"/>
    </row>
    <row r="32" spans="1:10" ht="18.75" customHeight="1" x14ac:dyDescent="0.3">
      <c r="A32" s="137" t="s">
        <v>2</v>
      </c>
      <c r="B32" s="109">
        <f>SUM(B33:B38)</f>
        <v>1533576.2499778699</v>
      </c>
      <c r="C32" s="109">
        <f>SUM(C33:C38)</f>
        <v>1697598.7069548301</v>
      </c>
      <c r="D32" s="263">
        <f t="shared" si="0"/>
        <v>10.7</v>
      </c>
      <c r="E32" s="263"/>
      <c r="F32" s="263">
        <f>SUM(F33:F38)</f>
        <v>100</v>
      </c>
      <c r="G32" s="263">
        <f>SUM(G33:G38)</f>
        <v>99.999999999999986</v>
      </c>
      <c r="H32" s="264">
        <f t="shared" si="1"/>
        <v>0</v>
      </c>
      <c r="I32" s="182"/>
      <c r="J32" s="74"/>
    </row>
    <row r="33" spans="1:10" ht="18.75" customHeight="1" x14ac:dyDescent="0.3">
      <c r="A33" s="193" t="s">
        <v>167</v>
      </c>
      <c r="B33" s="103">
        <f t="shared" ref="B33:C38" si="2">B9+B17+B25</f>
        <v>343959.71067199996</v>
      </c>
      <c r="C33" s="103">
        <f t="shared" si="2"/>
        <v>437688.69518449006</v>
      </c>
      <c r="D33" s="265">
        <f t="shared" si="0"/>
        <v>27.2</v>
      </c>
      <c r="E33" s="265"/>
      <c r="F33" s="265">
        <f>B33/B32*100</f>
        <v>22.428601817285802</v>
      </c>
      <c r="G33" s="265">
        <f>C33/C32*100</f>
        <v>25.782812710173449</v>
      </c>
      <c r="H33" s="266">
        <f t="shared" si="1"/>
        <v>15</v>
      </c>
      <c r="I33" s="182"/>
      <c r="J33" s="74"/>
    </row>
    <row r="34" spans="1:10" ht="18.75" customHeight="1" x14ac:dyDescent="0.3">
      <c r="A34" s="193" t="s">
        <v>168</v>
      </c>
      <c r="B34" s="103">
        <f t="shared" si="2"/>
        <v>542794.35133162001</v>
      </c>
      <c r="C34" s="103">
        <f t="shared" si="2"/>
        <v>550576.87455270998</v>
      </c>
      <c r="D34" s="265">
        <f t="shared" si="0"/>
        <v>1.4</v>
      </c>
      <c r="E34" s="265"/>
      <c r="F34" s="265">
        <f>B34/B32*100</f>
        <v>35.394024349258977</v>
      </c>
      <c r="G34" s="265">
        <f>C34/C32*100</f>
        <v>32.432686965245182</v>
      </c>
      <c r="H34" s="266">
        <f t="shared" si="1"/>
        <v>-8.4</v>
      </c>
      <c r="I34" s="182"/>
      <c r="J34" s="74"/>
    </row>
    <row r="35" spans="1:10" ht="18.75" customHeight="1" x14ac:dyDescent="0.3">
      <c r="A35" s="193" t="s">
        <v>169</v>
      </c>
      <c r="B35" s="103">
        <f t="shared" si="2"/>
        <v>957.71044771999993</v>
      </c>
      <c r="C35" s="103">
        <f t="shared" si="2"/>
        <v>991.45298972000001</v>
      </c>
      <c r="D35" s="265">
        <f t="shared" si="0"/>
        <v>3.5</v>
      </c>
      <c r="E35" s="265"/>
      <c r="F35" s="265">
        <f>B35/B32*100</f>
        <v>6.2449483534569611E-2</v>
      </c>
      <c r="G35" s="265">
        <f>C35/C32*100</f>
        <v>5.8403260184998515E-2</v>
      </c>
      <c r="H35" s="266">
        <f t="shared" si="1"/>
        <v>-6.5</v>
      </c>
      <c r="I35" s="182"/>
      <c r="J35" s="74"/>
    </row>
    <row r="36" spans="1:10" ht="18.75" customHeight="1" x14ac:dyDescent="0.3">
      <c r="A36" s="108" t="s">
        <v>170</v>
      </c>
      <c r="B36" s="105">
        <f t="shared" si="2"/>
        <v>176853.72424056003</v>
      </c>
      <c r="C36" s="105">
        <f t="shared" si="2"/>
        <v>201671.31243317001</v>
      </c>
      <c r="D36" s="267">
        <f t="shared" si="0"/>
        <v>14</v>
      </c>
      <c r="E36" s="267"/>
      <c r="F36" s="265">
        <f>B36/B32*100</f>
        <v>11.532111575352845</v>
      </c>
      <c r="G36" s="265">
        <f>C36/C32*100</f>
        <v>11.87979889516587</v>
      </c>
      <c r="H36" s="266">
        <f t="shared" si="1"/>
        <v>3</v>
      </c>
      <c r="I36" s="182"/>
      <c r="J36" s="74"/>
    </row>
    <row r="37" spans="1:10" ht="18.75" customHeight="1" x14ac:dyDescent="0.3">
      <c r="A37" s="193" t="s">
        <v>171</v>
      </c>
      <c r="B37" s="103">
        <f t="shared" si="2"/>
        <v>443011.81546288991</v>
      </c>
      <c r="C37" s="103">
        <f t="shared" si="2"/>
        <v>477346.73456143</v>
      </c>
      <c r="D37" s="265">
        <f t="shared" si="0"/>
        <v>7.8</v>
      </c>
      <c r="E37" s="265"/>
      <c r="F37" s="265">
        <f>B37/B32*100</f>
        <v>28.887498451367037</v>
      </c>
      <c r="G37" s="265">
        <f>C37/C32*100</f>
        <v>28.118938392554472</v>
      </c>
      <c r="H37" s="266">
        <f t="shared" si="1"/>
        <v>-2.7</v>
      </c>
      <c r="I37" s="182"/>
      <c r="J37" s="74"/>
    </row>
    <row r="38" spans="1:10" ht="18.75" customHeight="1" x14ac:dyDescent="0.3">
      <c r="A38" s="268" t="s">
        <v>172</v>
      </c>
      <c r="B38" s="269">
        <f t="shared" si="2"/>
        <v>25998.93782308001</v>
      </c>
      <c r="C38" s="269">
        <f t="shared" si="2"/>
        <v>29323.63723330999</v>
      </c>
      <c r="D38" s="270">
        <f t="shared" si="0"/>
        <v>12.8</v>
      </c>
      <c r="E38" s="265"/>
      <c r="F38" s="270">
        <f>B38/B32*100</f>
        <v>1.6953143232007659</v>
      </c>
      <c r="G38" s="270">
        <f>C38/C32*100</f>
        <v>1.727359776676022</v>
      </c>
      <c r="H38" s="271">
        <f t="shared" si="1"/>
        <v>1.9</v>
      </c>
      <c r="I38" s="182"/>
      <c r="J38" s="74"/>
    </row>
    <row r="39" spans="1:10" ht="18.75" customHeight="1" x14ac:dyDescent="0.3">
      <c r="A39" s="112"/>
      <c r="B39" s="112"/>
      <c r="C39" s="112"/>
      <c r="D39" s="112"/>
      <c r="E39" s="112"/>
      <c r="F39" s="182"/>
      <c r="G39" s="182"/>
      <c r="H39" s="182"/>
      <c r="I39" s="182"/>
      <c r="J39" s="74"/>
    </row>
    <row r="40" spans="1:10" ht="18.75" customHeight="1" x14ac:dyDescent="0.3">
      <c r="A40" s="112" t="s">
        <v>175</v>
      </c>
      <c r="B40" s="112"/>
      <c r="C40" s="112"/>
      <c r="D40" s="112"/>
      <c r="E40" s="112"/>
      <c r="F40" s="182"/>
      <c r="G40" s="182"/>
      <c r="H40" s="182"/>
      <c r="I40" s="182"/>
      <c r="J40" s="74"/>
    </row>
    <row r="41" spans="1:10" ht="18.75" x14ac:dyDescent="0.3">
      <c r="A41" s="112" t="s">
        <v>105</v>
      </c>
      <c r="B41" s="112"/>
      <c r="C41" s="112"/>
      <c r="D41" s="112"/>
      <c r="E41" s="112"/>
      <c r="F41" s="74"/>
      <c r="G41" s="74"/>
      <c r="H41" s="74"/>
      <c r="I41" s="74"/>
      <c r="J41" s="74"/>
    </row>
    <row r="42" spans="1:10" ht="18.75" x14ac:dyDescent="0.3">
      <c r="A42" s="74"/>
      <c r="B42" s="74"/>
      <c r="C42" s="74"/>
      <c r="D42" s="74"/>
      <c r="E42" s="74"/>
      <c r="G42" s="74"/>
      <c r="H42" s="74"/>
      <c r="I42" s="74"/>
      <c r="J42" s="74"/>
    </row>
    <row r="43" spans="1:10" ht="18.75" x14ac:dyDescent="0.3">
      <c r="A43" s="74"/>
      <c r="B43" s="74"/>
      <c r="C43" s="74"/>
      <c r="D43" s="74"/>
      <c r="E43" s="74"/>
      <c r="F43" s="74"/>
      <c r="G43" s="74"/>
      <c r="H43" s="74"/>
      <c r="I43" s="74"/>
      <c r="J43" s="74"/>
    </row>
    <row r="44" spans="1:10" ht="18.75" x14ac:dyDescent="0.3">
      <c r="A44" s="74"/>
      <c r="B44" s="74"/>
      <c r="C44" s="74"/>
      <c r="D44" s="74"/>
      <c r="E44" s="74"/>
      <c r="F44" s="74"/>
      <c r="G44" s="74"/>
      <c r="H44" s="74"/>
      <c r="I44" s="74"/>
      <c r="J44" s="74"/>
    </row>
    <row r="45" spans="1:10" ht="18.75" x14ac:dyDescent="0.3">
      <c r="A45" s="74"/>
      <c r="B45" s="74"/>
      <c r="C45" s="74"/>
      <c r="D45" s="74"/>
      <c r="E45" s="74"/>
      <c r="F45" s="74"/>
      <c r="G45" s="74"/>
      <c r="H45" s="74"/>
      <c r="I45" s="74"/>
      <c r="J45" s="74"/>
    </row>
    <row r="46" spans="1:10" ht="18.75" x14ac:dyDescent="0.3">
      <c r="A46" s="74"/>
      <c r="B46" s="74"/>
      <c r="C46" s="74"/>
      <c r="D46" s="74"/>
      <c r="E46" s="74"/>
      <c r="F46" s="74"/>
      <c r="G46" s="74"/>
      <c r="H46" s="74"/>
      <c r="I46" s="74"/>
      <c r="J46" s="74"/>
    </row>
    <row r="47" spans="1:10" ht="18.75" x14ac:dyDescent="0.3">
      <c r="A47" s="74"/>
      <c r="B47" s="74"/>
      <c r="C47" s="74"/>
      <c r="D47" s="74"/>
      <c r="E47" s="74"/>
      <c r="F47" s="74"/>
      <c r="G47" s="74"/>
      <c r="H47" s="74"/>
      <c r="I47" s="74"/>
      <c r="J47" s="74"/>
    </row>
    <row r="48" spans="1:10" ht="18.75" x14ac:dyDescent="0.3">
      <c r="A48" s="74"/>
      <c r="B48" s="74"/>
      <c r="C48" s="74"/>
      <c r="D48" s="74"/>
      <c r="E48" s="74"/>
      <c r="F48" s="74"/>
      <c r="G48" s="74"/>
      <c r="H48" s="74"/>
      <c r="I48" s="74"/>
      <c r="J48" s="74"/>
    </row>
    <row r="49" spans="1:10" ht="18.75" x14ac:dyDescent="0.3">
      <c r="A49" s="74"/>
      <c r="B49" s="74"/>
      <c r="C49" s="74"/>
      <c r="D49" s="74"/>
      <c r="E49" s="74"/>
      <c r="F49" s="74"/>
      <c r="G49" s="74"/>
      <c r="H49" s="74"/>
      <c r="I49" s="74"/>
      <c r="J49" s="74"/>
    </row>
    <row r="50" spans="1:10" ht="18.75" x14ac:dyDescent="0.3">
      <c r="A50" s="74"/>
      <c r="B50" s="74"/>
      <c r="C50" s="74"/>
      <c r="D50" s="74"/>
      <c r="E50" s="74"/>
      <c r="F50" s="74"/>
      <c r="G50" s="74"/>
      <c r="H50" s="74"/>
      <c r="I50" s="74"/>
      <c r="J50" s="74"/>
    </row>
    <row r="51" spans="1:10" ht="18.75" x14ac:dyDescent="0.3">
      <c r="A51" s="74"/>
      <c r="B51" s="74"/>
      <c r="C51" s="74"/>
      <c r="D51" s="74"/>
      <c r="E51" s="74"/>
      <c r="F51" s="74"/>
      <c r="G51" s="74"/>
      <c r="H51" s="74"/>
      <c r="I51" s="74"/>
      <c r="J51" s="74"/>
    </row>
    <row r="52" spans="1:10" ht="18.75" x14ac:dyDescent="0.3">
      <c r="A52" s="74"/>
      <c r="B52" s="74"/>
      <c r="C52" s="74"/>
      <c r="D52" s="74"/>
      <c r="E52" s="74"/>
      <c r="F52" s="74"/>
      <c r="G52" s="74"/>
      <c r="H52" s="74"/>
      <c r="I52" s="74"/>
      <c r="J52" s="74"/>
    </row>
    <row r="53" spans="1:10" ht="18.75" x14ac:dyDescent="0.3">
      <c r="A53" s="74"/>
      <c r="B53" s="74"/>
      <c r="C53" s="74"/>
      <c r="D53" s="74"/>
      <c r="E53" s="74"/>
      <c r="F53" s="74"/>
      <c r="G53" s="74"/>
      <c r="H53" s="74"/>
      <c r="I53" s="74"/>
      <c r="J53" s="74"/>
    </row>
    <row r="54" spans="1:10" ht="18.75" x14ac:dyDescent="0.3">
      <c r="A54" s="74"/>
      <c r="B54" s="74"/>
      <c r="C54" s="74"/>
      <c r="D54" s="74"/>
      <c r="E54" s="74"/>
      <c r="F54" s="74"/>
      <c r="G54" s="74"/>
      <c r="H54" s="74"/>
      <c r="I54" s="74"/>
      <c r="J54" s="74"/>
    </row>
    <row r="55" spans="1:10" ht="18.75" x14ac:dyDescent="0.3">
      <c r="A55" s="74"/>
      <c r="B55" s="74"/>
      <c r="C55" s="74"/>
      <c r="D55" s="74"/>
      <c r="E55" s="74"/>
      <c r="F55" s="74"/>
      <c r="G55" s="74"/>
      <c r="H55" s="74"/>
      <c r="I55" s="74"/>
      <c r="J55" s="74"/>
    </row>
    <row r="56" spans="1:10" ht="18.75" x14ac:dyDescent="0.3">
      <c r="A56" s="74"/>
      <c r="B56" s="74"/>
      <c r="C56" s="74"/>
      <c r="D56" s="74"/>
      <c r="E56" s="74"/>
      <c r="F56" s="74"/>
      <c r="G56" s="74"/>
      <c r="H56" s="74"/>
      <c r="I56" s="74"/>
      <c r="J56" s="74"/>
    </row>
    <row r="57" spans="1:10" ht="18.75" x14ac:dyDescent="0.3">
      <c r="A57" s="74"/>
      <c r="B57" s="74"/>
      <c r="C57" s="74"/>
      <c r="D57" s="74"/>
      <c r="E57" s="74"/>
      <c r="F57" s="74"/>
      <c r="G57" s="74"/>
      <c r="H57" s="74"/>
      <c r="I57" s="74"/>
      <c r="J57" s="74"/>
    </row>
    <row r="58" spans="1:10" ht="18.75" x14ac:dyDescent="0.3">
      <c r="A58" s="74"/>
      <c r="B58" s="74"/>
      <c r="C58" s="74"/>
      <c r="D58" s="74"/>
      <c r="E58" s="74"/>
      <c r="F58" s="74"/>
      <c r="G58" s="74"/>
      <c r="H58" s="74"/>
      <c r="I58" s="74"/>
      <c r="J58" s="74"/>
    </row>
    <row r="59" spans="1:10" ht="18.75" x14ac:dyDescent="0.3">
      <c r="A59" s="74"/>
      <c r="B59" s="74"/>
      <c r="C59" s="74"/>
      <c r="D59" s="74"/>
      <c r="E59" s="74"/>
      <c r="F59" s="74"/>
      <c r="G59" s="74"/>
      <c r="H59" s="74"/>
      <c r="I59" s="74"/>
      <c r="J59" s="74"/>
    </row>
    <row r="60" spans="1:10" ht="18.75" x14ac:dyDescent="0.3">
      <c r="A60" s="74"/>
      <c r="B60" s="74"/>
      <c r="C60" s="74"/>
      <c r="D60" s="74"/>
      <c r="E60" s="74"/>
      <c r="F60" s="74"/>
      <c r="G60" s="74"/>
      <c r="H60" s="74"/>
      <c r="I60" s="74"/>
      <c r="J60" s="74"/>
    </row>
    <row r="61" spans="1:10" ht="18.75" x14ac:dyDescent="0.3">
      <c r="A61" s="74"/>
      <c r="B61" s="74"/>
      <c r="C61" s="74"/>
      <c r="D61" s="74"/>
      <c r="E61" s="74"/>
      <c r="F61" s="74"/>
      <c r="G61" s="74"/>
      <c r="H61" s="74"/>
      <c r="I61" s="74"/>
      <c r="J61" s="74"/>
    </row>
    <row r="62" spans="1:10" ht="18.75" x14ac:dyDescent="0.3">
      <c r="A62" s="74"/>
      <c r="B62" s="74"/>
      <c r="C62" s="74"/>
      <c r="D62" s="74"/>
      <c r="E62" s="74"/>
      <c r="F62" s="74"/>
      <c r="G62" s="74"/>
      <c r="H62" s="74"/>
      <c r="I62" s="74"/>
      <c r="J62" s="74"/>
    </row>
    <row r="63" spans="1:10" ht="18.75" x14ac:dyDescent="0.3">
      <c r="A63" s="74"/>
      <c r="B63" s="74"/>
      <c r="C63" s="74"/>
      <c r="D63" s="74"/>
      <c r="E63" s="74"/>
      <c r="F63" s="74"/>
      <c r="G63" s="74"/>
      <c r="H63" s="74"/>
      <c r="I63" s="74"/>
      <c r="J63" s="74"/>
    </row>
    <row r="64" spans="1:10" ht="18.75" x14ac:dyDescent="0.3">
      <c r="A64" s="74"/>
      <c r="B64" s="74"/>
      <c r="C64" s="74"/>
      <c r="D64" s="74"/>
      <c r="E64" s="74"/>
      <c r="F64" s="74"/>
      <c r="G64" s="74"/>
      <c r="H64" s="74"/>
      <c r="I64" s="74"/>
      <c r="J64" s="74"/>
    </row>
    <row r="65" spans="1:10" ht="18.75" x14ac:dyDescent="0.3">
      <c r="A65" s="74"/>
      <c r="B65" s="74"/>
      <c r="C65" s="74"/>
      <c r="D65" s="74"/>
      <c r="E65" s="74"/>
      <c r="F65" s="74"/>
      <c r="G65" s="74"/>
      <c r="H65" s="74"/>
      <c r="I65" s="74"/>
      <c r="J65" s="74"/>
    </row>
    <row r="66" spans="1:10" ht="18.75" x14ac:dyDescent="0.3">
      <c r="A66" s="74"/>
      <c r="B66" s="74"/>
      <c r="C66" s="74"/>
      <c r="D66" s="74"/>
      <c r="E66" s="74"/>
      <c r="F66" s="74"/>
      <c r="G66" s="74"/>
      <c r="H66" s="74"/>
      <c r="I66" s="74"/>
      <c r="J66" s="74"/>
    </row>
    <row r="67" spans="1:10" ht="18.75" x14ac:dyDescent="0.3">
      <c r="A67" s="74"/>
      <c r="B67" s="74"/>
      <c r="C67" s="74"/>
      <c r="D67" s="74"/>
      <c r="E67" s="74"/>
      <c r="F67" s="74"/>
      <c r="G67" s="74"/>
      <c r="H67" s="74"/>
      <c r="I67" s="74"/>
      <c r="J67" s="74"/>
    </row>
    <row r="68" spans="1:10" ht="18.75" x14ac:dyDescent="0.3">
      <c r="A68" s="74"/>
      <c r="B68" s="74"/>
      <c r="C68" s="74"/>
      <c r="D68" s="74"/>
      <c r="E68" s="74"/>
      <c r="F68" s="74"/>
      <c r="G68" s="74"/>
      <c r="H68" s="74"/>
      <c r="I68" s="74"/>
      <c r="J68" s="74"/>
    </row>
    <row r="69" spans="1:10" ht="18.75" x14ac:dyDescent="0.3">
      <c r="A69" s="74"/>
      <c r="B69" s="74"/>
      <c r="C69" s="74"/>
      <c r="D69" s="74"/>
      <c r="E69" s="74"/>
      <c r="F69" s="74"/>
      <c r="G69" s="74"/>
      <c r="H69" s="74"/>
      <c r="I69" s="74"/>
      <c r="J69" s="74"/>
    </row>
    <row r="70" spans="1:10" ht="18.75" x14ac:dyDescent="0.3">
      <c r="A70" s="74"/>
      <c r="B70" s="74"/>
      <c r="C70" s="74"/>
      <c r="D70" s="74"/>
      <c r="E70" s="74"/>
      <c r="F70" s="74"/>
      <c r="G70" s="74"/>
      <c r="H70" s="74"/>
      <c r="I70" s="74"/>
      <c r="J70" s="74"/>
    </row>
    <row r="71" spans="1:10" ht="18.75" x14ac:dyDescent="0.3">
      <c r="A71" s="74"/>
      <c r="B71" s="74"/>
      <c r="C71" s="74"/>
      <c r="D71" s="74"/>
      <c r="E71" s="74"/>
      <c r="F71" s="74"/>
      <c r="G71" s="74"/>
      <c r="H71" s="74"/>
      <c r="I71" s="74"/>
      <c r="J71" s="74"/>
    </row>
    <row r="72" spans="1:10" ht="18.75" x14ac:dyDescent="0.3">
      <c r="A72" s="74"/>
      <c r="B72" s="74"/>
      <c r="C72" s="74"/>
      <c r="D72" s="74"/>
      <c r="E72" s="74"/>
      <c r="F72" s="74"/>
      <c r="G72" s="74"/>
      <c r="H72" s="74"/>
      <c r="I72" s="74"/>
      <c r="J72" s="74"/>
    </row>
    <row r="73" spans="1:10" ht="18.75" x14ac:dyDescent="0.3">
      <c r="A73" s="74"/>
      <c r="B73" s="74"/>
      <c r="C73" s="74"/>
      <c r="D73" s="74"/>
      <c r="E73" s="74"/>
      <c r="F73" s="74"/>
      <c r="G73" s="74"/>
      <c r="H73" s="74"/>
      <c r="I73" s="74"/>
      <c r="J73" s="74"/>
    </row>
    <row r="74" spans="1:10" ht="18.75" x14ac:dyDescent="0.3">
      <c r="A74" s="74"/>
      <c r="B74" s="74"/>
      <c r="C74" s="74"/>
      <c r="D74" s="74"/>
      <c r="E74" s="74"/>
      <c r="F74" s="74"/>
      <c r="G74" s="74"/>
      <c r="H74" s="74"/>
      <c r="I74" s="74"/>
      <c r="J74" s="74"/>
    </row>
    <row r="75" spans="1:10" ht="18.75" x14ac:dyDescent="0.3">
      <c r="A75" s="74"/>
      <c r="B75" s="74"/>
      <c r="C75" s="74"/>
      <c r="D75" s="74"/>
      <c r="E75" s="74"/>
      <c r="F75" s="74"/>
      <c r="G75" s="74"/>
      <c r="H75" s="74"/>
      <c r="I75" s="74"/>
      <c r="J75" s="74"/>
    </row>
    <row r="76" spans="1:10" ht="18.75" x14ac:dyDescent="0.3">
      <c r="A76" s="74"/>
      <c r="B76" s="74"/>
      <c r="C76" s="74"/>
      <c r="D76" s="74"/>
      <c r="E76" s="74"/>
      <c r="F76" s="74"/>
      <c r="G76" s="74"/>
      <c r="H76" s="74"/>
      <c r="I76" s="74"/>
      <c r="J76" s="74"/>
    </row>
    <row r="77" spans="1:10" ht="18.75" x14ac:dyDescent="0.3">
      <c r="A77" s="74"/>
      <c r="B77" s="74"/>
      <c r="C77" s="74"/>
      <c r="D77" s="74"/>
      <c r="E77" s="74"/>
      <c r="F77" s="74"/>
      <c r="G77" s="74"/>
      <c r="H77" s="74"/>
      <c r="I77" s="74"/>
      <c r="J77" s="74"/>
    </row>
    <row r="78" spans="1:10" ht="18.75" x14ac:dyDescent="0.3">
      <c r="A78" s="74"/>
      <c r="B78" s="74"/>
      <c r="C78" s="74"/>
      <c r="D78" s="74"/>
      <c r="E78" s="74"/>
      <c r="F78" s="74"/>
      <c r="G78" s="74"/>
      <c r="H78" s="74"/>
      <c r="I78" s="74"/>
      <c r="J78" s="74"/>
    </row>
    <row r="79" spans="1:10" ht="18.75" x14ac:dyDescent="0.3">
      <c r="A79" s="74"/>
      <c r="B79" s="74"/>
      <c r="C79" s="74"/>
      <c r="D79" s="74"/>
      <c r="E79" s="74"/>
      <c r="F79" s="74"/>
      <c r="G79" s="74"/>
      <c r="H79" s="74"/>
      <c r="I79" s="74"/>
      <c r="J79" s="74"/>
    </row>
    <row r="80" spans="1:10" ht="18.75" x14ac:dyDescent="0.3">
      <c r="A80" s="74"/>
      <c r="B80" s="74"/>
      <c r="C80" s="74"/>
      <c r="D80" s="74"/>
      <c r="E80" s="74"/>
      <c r="F80" s="74"/>
      <c r="G80" s="74"/>
      <c r="H80" s="74"/>
      <c r="I80" s="74"/>
      <c r="J80" s="74"/>
    </row>
    <row r="81" spans="1:10" ht="18.75" x14ac:dyDescent="0.3">
      <c r="A81" s="74"/>
      <c r="B81" s="74"/>
      <c r="C81" s="74"/>
      <c r="D81" s="74"/>
      <c r="E81" s="74"/>
      <c r="F81" s="74"/>
      <c r="G81" s="74"/>
      <c r="H81" s="74"/>
      <c r="I81" s="74"/>
      <c r="J81" s="74"/>
    </row>
    <row r="82" spans="1:10" ht="18.75" x14ac:dyDescent="0.3">
      <c r="A82" s="74"/>
      <c r="B82" s="74"/>
      <c r="C82" s="74"/>
      <c r="D82" s="74"/>
      <c r="E82" s="74"/>
      <c r="F82" s="74"/>
      <c r="G82" s="74"/>
      <c r="H82" s="74"/>
      <c r="I82" s="74"/>
      <c r="J82" s="74"/>
    </row>
    <row r="83" spans="1:10" ht="18.75" x14ac:dyDescent="0.3">
      <c r="A83" s="74"/>
      <c r="B83" s="74"/>
      <c r="C83" s="74"/>
      <c r="D83" s="74"/>
      <c r="E83" s="74"/>
      <c r="F83" s="74"/>
      <c r="G83" s="74"/>
      <c r="H83" s="74"/>
      <c r="I83" s="74"/>
      <c r="J83" s="74"/>
    </row>
    <row r="84" spans="1:10" ht="18.75" x14ac:dyDescent="0.3">
      <c r="A84" s="74"/>
      <c r="B84" s="74"/>
      <c r="C84" s="74"/>
      <c r="D84" s="74"/>
      <c r="E84" s="74"/>
      <c r="F84" s="74"/>
      <c r="G84" s="74"/>
      <c r="H84" s="74"/>
      <c r="I84" s="74"/>
      <c r="J84" s="74"/>
    </row>
    <row r="85" spans="1:10" ht="18.75" x14ac:dyDescent="0.3">
      <c r="A85" s="74"/>
      <c r="B85" s="74"/>
      <c r="C85" s="74"/>
      <c r="D85" s="74"/>
      <c r="E85" s="74"/>
      <c r="F85" s="74"/>
      <c r="G85" s="74"/>
      <c r="H85" s="74"/>
      <c r="I85" s="74"/>
      <c r="J85" s="74"/>
    </row>
    <row r="86" spans="1:10" ht="18.75" x14ac:dyDescent="0.3">
      <c r="A86" s="74"/>
      <c r="B86" s="74"/>
      <c r="C86" s="74"/>
      <c r="D86" s="74"/>
      <c r="E86" s="74"/>
      <c r="F86" s="74"/>
      <c r="G86" s="74"/>
      <c r="H86" s="74"/>
      <c r="I86" s="74"/>
      <c r="J86" s="74"/>
    </row>
    <row r="87" spans="1:10" ht="18.75" x14ac:dyDescent="0.3">
      <c r="A87" s="74"/>
      <c r="B87" s="74"/>
      <c r="C87" s="74"/>
      <c r="D87" s="74"/>
      <c r="E87" s="74"/>
      <c r="F87" s="74"/>
      <c r="G87" s="74"/>
      <c r="H87" s="74"/>
      <c r="I87" s="74"/>
      <c r="J87" s="74"/>
    </row>
    <row r="88" spans="1:10" ht="18.75" x14ac:dyDescent="0.3">
      <c r="A88" s="74"/>
      <c r="B88" s="74"/>
      <c r="C88" s="74"/>
      <c r="D88" s="74"/>
      <c r="E88" s="74"/>
      <c r="F88" s="74"/>
      <c r="G88" s="74"/>
      <c r="H88" s="74"/>
      <c r="I88" s="74"/>
      <c r="J88" s="74"/>
    </row>
    <row r="89" spans="1:10" ht="18.75" x14ac:dyDescent="0.3">
      <c r="A89" s="74"/>
      <c r="B89" s="74"/>
      <c r="C89" s="74"/>
      <c r="D89" s="74"/>
      <c r="E89" s="74"/>
      <c r="F89" s="74"/>
      <c r="G89" s="74"/>
      <c r="H89" s="74"/>
      <c r="I89" s="74"/>
      <c r="J89" s="74"/>
    </row>
    <row r="90" spans="1:10" ht="18.75" x14ac:dyDescent="0.3">
      <c r="A90" s="74"/>
      <c r="B90" s="74"/>
      <c r="C90" s="74"/>
      <c r="D90" s="74"/>
      <c r="E90" s="74"/>
      <c r="F90" s="74"/>
      <c r="G90" s="74"/>
      <c r="H90" s="74"/>
      <c r="I90" s="74"/>
      <c r="J90" s="74"/>
    </row>
    <row r="91" spans="1:10" ht="18.75" x14ac:dyDescent="0.3">
      <c r="A91" s="74"/>
      <c r="B91" s="74"/>
      <c r="C91" s="74"/>
      <c r="D91" s="74"/>
      <c r="E91" s="74"/>
      <c r="F91" s="74"/>
      <c r="G91" s="74"/>
      <c r="H91" s="74"/>
      <c r="I91" s="74"/>
      <c r="J91" s="74"/>
    </row>
    <row r="92" spans="1:10" ht="18.75" x14ac:dyDescent="0.3">
      <c r="A92" s="74"/>
      <c r="B92" s="74"/>
      <c r="C92" s="74"/>
      <c r="D92" s="74"/>
      <c r="E92" s="74"/>
      <c r="F92" s="74"/>
      <c r="G92" s="74"/>
      <c r="H92" s="74"/>
      <c r="I92" s="74"/>
      <c r="J92" s="74"/>
    </row>
  </sheetData>
  <mergeCells count="4">
    <mergeCell ref="B4:D4"/>
    <mergeCell ref="F4:H4"/>
    <mergeCell ref="B5:D5"/>
    <mergeCell ref="F5:H5"/>
  </mergeCells>
  <hyperlinks>
    <hyperlink ref="B1" location="Innhold!A1" display="Tilbake" xr:uid="{00000000-0004-0000-0500-000000000000}"/>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K303"/>
  <sheetViews>
    <sheetView showGridLines="0" showZeros="0" zoomScaleNormal="100" zoomScaleSheetLayoutView="80" workbookViewId="0">
      <pane xSplit="1" ySplit="1" topLeftCell="F2" activePane="bottomRight" state="frozen"/>
      <selection activeCell="J44" sqref="J44"/>
      <selection pane="topRight" activeCell="J44" sqref="J44"/>
      <selection pane="bottomLeft" activeCell="J44" sqref="J44"/>
      <selection pane="bottomRight" activeCell="A3" sqref="A3"/>
    </sheetView>
  </sheetViews>
  <sheetFormatPr baseColWidth="10" defaultColWidth="11.42578125" defaultRowHeight="12.75" x14ac:dyDescent="0.2"/>
  <cols>
    <col min="1" max="1" width="57.140625" style="1" customWidth="1"/>
    <col min="2" max="2" width="10.7109375" style="1" customWidth="1"/>
    <col min="3" max="3" width="10.85546875" style="1" customWidth="1"/>
    <col min="4" max="4" width="8.7109375" style="1" customWidth="1"/>
    <col min="5" max="5" width="10.7109375" style="1" customWidth="1"/>
    <col min="6" max="6" width="10.85546875" style="1" customWidth="1"/>
    <col min="7" max="7" width="8.7109375" style="1" customWidth="1"/>
    <col min="8" max="8" width="10.7109375" style="1" customWidth="1"/>
    <col min="9" max="9" width="10.85546875" style="1" customWidth="1"/>
    <col min="10" max="10" width="8.7109375" style="1" customWidth="1"/>
    <col min="11" max="16384" width="11.42578125" style="1"/>
  </cols>
  <sheetData>
    <row r="1" spans="1:10" ht="15.75" customHeight="1" x14ac:dyDescent="0.2">
      <c r="A1" s="350">
        <v>4</v>
      </c>
      <c r="B1" s="4"/>
      <c r="C1" s="4"/>
      <c r="D1" s="4"/>
      <c r="E1" s="4"/>
      <c r="F1" s="4"/>
      <c r="G1" s="4"/>
      <c r="H1" s="4"/>
      <c r="I1" s="4"/>
      <c r="J1" s="4"/>
    </row>
    <row r="2" spans="1:10" ht="15.75" customHeight="1" x14ac:dyDescent="0.25">
      <c r="A2" s="165" t="s">
        <v>28</v>
      </c>
      <c r="B2" s="970"/>
      <c r="C2" s="970"/>
      <c r="D2" s="970"/>
      <c r="E2" s="970"/>
      <c r="F2" s="970"/>
      <c r="G2" s="970"/>
      <c r="H2" s="970"/>
      <c r="I2" s="970"/>
      <c r="J2" s="970"/>
    </row>
    <row r="3" spans="1:10" ht="15.75" customHeight="1" x14ac:dyDescent="0.25">
      <c r="A3" s="163"/>
      <c r="B3" s="296"/>
      <c r="C3" s="296"/>
      <c r="D3" s="296"/>
      <c r="E3" s="296"/>
      <c r="F3" s="296"/>
      <c r="G3" s="296"/>
      <c r="H3" s="296"/>
      <c r="I3" s="296"/>
      <c r="J3" s="296"/>
    </row>
    <row r="4" spans="1:10" ht="15.75" customHeight="1" x14ac:dyDescent="0.2">
      <c r="A4" s="144"/>
      <c r="B4" s="967" t="s">
        <v>0</v>
      </c>
      <c r="C4" s="968"/>
      <c r="D4" s="968"/>
      <c r="E4" s="967" t="s">
        <v>1</v>
      </c>
      <c r="F4" s="968"/>
      <c r="G4" s="968"/>
      <c r="H4" s="967" t="s">
        <v>2</v>
      </c>
      <c r="I4" s="968"/>
      <c r="J4" s="969"/>
    </row>
    <row r="5" spans="1:10" ht="15.75" customHeight="1" x14ac:dyDescent="0.2">
      <c r="A5" s="158"/>
      <c r="B5" s="20" t="s">
        <v>492</v>
      </c>
      <c r="C5" s="20" t="s">
        <v>493</v>
      </c>
      <c r="D5" s="249" t="s">
        <v>3</v>
      </c>
      <c r="E5" s="20" t="s">
        <v>492</v>
      </c>
      <c r="F5" s="20" t="s">
        <v>493</v>
      </c>
      <c r="G5" s="249" t="s">
        <v>3</v>
      </c>
      <c r="H5" s="20" t="s">
        <v>492</v>
      </c>
      <c r="I5" s="20" t="s">
        <v>493</v>
      </c>
      <c r="J5" s="249" t="s">
        <v>3</v>
      </c>
    </row>
    <row r="6" spans="1:10" ht="15.75" customHeight="1" x14ac:dyDescent="0.2">
      <c r="A6" s="946"/>
      <c r="B6" s="15"/>
      <c r="C6" s="15"/>
      <c r="D6" s="17" t="s">
        <v>4</v>
      </c>
      <c r="E6" s="16"/>
      <c r="F6" s="16"/>
      <c r="G6" s="15" t="s">
        <v>4</v>
      </c>
      <c r="H6" s="16"/>
      <c r="I6" s="16"/>
      <c r="J6" s="15" t="s">
        <v>4</v>
      </c>
    </row>
    <row r="7" spans="1:10" s="43" customFormat="1" ht="15.75" customHeight="1" x14ac:dyDescent="0.2">
      <c r="A7" s="14" t="s">
        <v>23</v>
      </c>
      <c r="B7" s="236">
        <v>4548818.24551873</v>
      </c>
      <c r="C7" s="236">
        <v>4702224.3708596798</v>
      </c>
      <c r="D7" s="160">
        <f t="shared" ref="D7:D12" si="0">IF(B7=0, "    ---- ", IF(ABS(ROUND(100/B7*C7-100,1))&lt;999,ROUND(100/B7*C7-100,1),IF(ROUND(100/B7*C7-100,1)&gt;999,999,-999)))</f>
        <v>3.4</v>
      </c>
      <c r="E7" s="236">
        <v>7194932.5101800002</v>
      </c>
      <c r="F7" s="236">
        <v>10447209.588509999</v>
      </c>
      <c r="G7" s="160">
        <f t="shared" ref="G7:G12" si="1">IF(E7=0, "    ---- ", IF(ABS(ROUND(100/E7*F7-100,1))&lt;999,ROUND(100/E7*F7-100,1),IF(ROUND(100/E7*F7-100,1)&gt;999,999,-999)))</f>
        <v>45.2</v>
      </c>
      <c r="H7" s="276">
        <f t="shared" ref="H7:H12" si="2">B7+E7</f>
        <v>11743750.755698729</v>
      </c>
      <c r="I7" s="277">
        <f t="shared" ref="I7:I12" si="3">C7+F7</f>
        <v>15149433.959369678</v>
      </c>
      <c r="J7" s="171">
        <f t="shared" ref="J7:J12" si="4">IF(H7=0, "    ---- ", IF(ABS(ROUND(100/H7*I7-100,1))&lt;999,ROUND(100/H7*I7-100,1),IF(ROUND(100/H7*I7-100,1)&gt;999,999,-999)))</f>
        <v>29</v>
      </c>
    </row>
    <row r="8" spans="1:10" ht="15.75" customHeight="1" x14ac:dyDescent="0.2">
      <c r="A8" s="21" t="s">
        <v>25</v>
      </c>
      <c r="B8" s="44">
        <v>2639319.623083082</v>
      </c>
      <c r="C8" s="44">
        <v>2808859.6262916261</v>
      </c>
      <c r="D8" s="166">
        <f t="shared" si="0"/>
        <v>6.4</v>
      </c>
      <c r="E8" s="187">
        <v>0</v>
      </c>
      <c r="F8" s="187">
        <v>0</v>
      </c>
      <c r="G8" s="175" t="str">
        <f t="shared" si="1"/>
        <v xml:space="preserve">    ---- </v>
      </c>
      <c r="H8" s="189">
        <f t="shared" si="2"/>
        <v>2639319.623083082</v>
      </c>
      <c r="I8" s="190">
        <f t="shared" si="3"/>
        <v>2808859.6262916261</v>
      </c>
      <c r="J8" s="171">
        <f t="shared" si="4"/>
        <v>6.4</v>
      </c>
    </row>
    <row r="9" spans="1:10" ht="15.75" customHeight="1" x14ac:dyDescent="0.2">
      <c r="A9" s="21" t="s">
        <v>24</v>
      </c>
      <c r="B9" s="44">
        <v>978646.56778636866</v>
      </c>
      <c r="C9" s="44">
        <v>984702.98460212152</v>
      </c>
      <c r="D9" s="175">
        <f t="shared" si="0"/>
        <v>0.6</v>
      </c>
      <c r="E9" s="187">
        <v>0</v>
      </c>
      <c r="F9" s="187">
        <v>0</v>
      </c>
      <c r="G9" s="175" t="str">
        <f t="shared" si="1"/>
        <v xml:space="preserve">    ---- </v>
      </c>
      <c r="H9" s="189">
        <f t="shared" si="2"/>
        <v>978646.56778636866</v>
      </c>
      <c r="I9" s="190">
        <f t="shared" si="3"/>
        <v>984702.98460212152</v>
      </c>
      <c r="J9" s="171">
        <f t="shared" si="4"/>
        <v>0.6</v>
      </c>
    </row>
    <row r="10" spans="1:10" s="43" customFormat="1" ht="15.75" customHeight="1" x14ac:dyDescent="0.2">
      <c r="A10" s="39" t="s">
        <v>451</v>
      </c>
      <c r="B10" s="236">
        <v>22453044.525717266</v>
      </c>
      <c r="C10" s="236">
        <v>21140855.829446681</v>
      </c>
      <c r="D10" s="160">
        <f t="shared" si="0"/>
        <v>-5.8</v>
      </c>
      <c r="E10" s="236">
        <v>41671357.724664405</v>
      </c>
      <c r="F10" s="236">
        <v>52977621.870609999</v>
      </c>
      <c r="G10" s="160">
        <f t="shared" si="1"/>
        <v>27.1</v>
      </c>
      <c r="H10" s="276">
        <f t="shared" si="2"/>
        <v>64124402.250381671</v>
      </c>
      <c r="I10" s="277">
        <f t="shared" si="3"/>
        <v>74118477.700056672</v>
      </c>
      <c r="J10" s="171">
        <f t="shared" si="4"/>
        <v>15.6</v>
      </c>
    </row>
    <row r="11" spans="1:10" s="43" customFormat="1" ht="15.75" customHeight="1" x14ac:dyDescent="0.2">
      <c r="A11" s="39" t="s">
        <v>452</v>
      </c>
      <c r="B11" s="236">
        <v>25116</v>
      </c>
      <c r="C11" s="236">
        <v>65203</v>
      </c>
      <c r="D11" s="171">
        <f t="shared" si="0"/>
        <v>159.6</v>
      </c>
      <c r="E11" s="236">
        <v>291117.74226000003</v>
      </c>
      <c r="F11" s="236">
        <v>412700.34194999991</v>
      </c>
      <c r="G11" s="171">
        <f t="shared" si="1"/>
        <v>41.8</v>
      </c>
      <c r="H11" s="276">
        <f t="shared" si="2"/>
        <v>316233.74226000003</v>
      </c>
      <c r="I11" s="277">
        <f t="shared" si="3"/>
        <v>477903.34194999991</v>
      </c>
      <c r="J11" s="171">
        <f t="shared" si="4"/>
        <v>51.1</v>
      </c>
    </row>
    <row r="12" spans="1:10" s="43" customFormat="1" ht="15.75" customHeight="1" x14ac:dyDescent="0.2">
      <c r="A12" s="754" t="s">
        <v>453</v>
      </c>
      <c r="B12" s="275">
        <v>2765</v>
      </c>
      <c r="C12" s="275">
        <v>18101</v>
      </c>
      <c r="D12" s="170">
        <f t="shared" si="0"/>
        <v>554.6</v>
      </c>
      <c r="E12" s="275">
        <v>245162.99463999999</v>
      </c>
      <c r="F12" s="275">
        <v>324427.82951000001</v>
      </c>
      <c r="G12" s="169">
        <f t="shared" si="1"/>
        <v>32.299999999999997</v>
      </c>
      <c r="H12" s="278">
        <f t="shared" si="2"/>
        <v>247927.99463999999</v>
      </c>
      <c r="I12" s="279">
        <f t="shared" si="3"/>
        <v>342528.82951000001</v>
      </c>
      <c r="J12" s="169">
        <f t="shared" si="4"/>
        <v>38.200000000000003</v>
      </c>
    </row>
    <row r="13" spans="1:10" s="43" customFormat="1" ht="15.75" customHeight="1" x14ac:dyDescent="0.2">
      <c r="A13" s="168"/>
      <c r="B13" s="35"/>
      <c r="C13" s="5"/>
      <c r="D13" s="32"/>
      <c r="E13" s="35"/>
      <c r="F13" s="5"/>
      <c r="G13" s="32"/>
      <c r="H13" s="48"/>
      <c r="I13" s="48"/>
      <c r="J13" s="32"/>
    </row>
    <row r="14" spans="1:10" ht="15.75" customHeight="1" x14ac:dyDescent="0.2">
      <c r="A14" s="153" t="s">
        <v>278</v>
      </c>
    </row>
    <row r="15" spans="1:10" ht="15.75" customHeight="1" x14ac:dyDescent="0.2">
      <c r="A15" s="149"/>
      <c r="E15" s="7"/>
      <c r="F15" s="7"/>
      <c r="G15" s="7"/>
      <c r="H15" s="7"/>
      <c r="I15" s="7"/>
      <c r="J15" s="7"/>
    </row>
    <row r="16" spans="1:10" s="3" customFormat="1" ht="15.75" customHeight="1" x14ac:dyDescent="0.25">
      <c r="A16" s="164"/>
      <c r="C16" s="30"/>
      <c r="D16" s="30"/>
      <c r="E16" s="30"/>
      <c r="F16" s="30"/>
      <c r="G16" s="30"/>
      <c r="H16" s="30"/>
      <c r="I16" s="30"/>
      <c r="J16" s="30"/>
    </row>
    <row r="17" spans="1:11" ht="15.75" customHeight="1" x14ac:dyDescent="0.25">
      <c r="A17" s="147" t="s">
        <v>275</v>
      </c>
      <c r="B17" s="28"/>
      <c r="C17" s="28"/>
      <c r="D17" s="29"/>
      <c r="E17" s="28"/>
      <c r="F17" s="28"/>
      <c r="G17" s="28"/>
      <c r="H17" s="28"/>
      <c r="I17" s="28"/>
      <c r="J17" s="28"/>
    </row>
    <row r="18" spans="1:11" ht="15.75" customHeight="1" x14ac:dyDescent="0.25">
      <c r="A18" s="149"/>
      <c r="B18" s="970"/>
      <c r="C18" s="970"/>
      <c r="D18" s="970"/>
      <c r="E18" s="970"/>
      <c r="F18" s="970"/>
      <c r="G18" s="970"/>
      <c r="H18" s="970"/>
      <c r="I18" s="970"/>
      <c r="J18" s="970"/>
    </row>
    <row r="19" spans="1:11" ht="15.75" customHeight="1" x14ac:dyDescent="0.2">
      <c r="A19" s="144"/>
      <c r="B19" s="967" t="s">
        <v>0</v>
      </c>
      <c r="C19" s="968"/>
      <c r="D19" s="968"/>
      <c r="E19" s="967" t="s">
        <v>1</v>
      </c>
      <c r="F19" s="968"/>
      <c r="G19" s="969"/>
      <c r="H19" s="968" t="s">
        <v>2</v>
      </c>
      <c r="I19" s="968"/>
      <c r="J19" s="969"/>
    </row>
    <row r="20" spans="1:11" ht="15.75" customHeight="1" x14ac:dyDescent="0.2">
      <c r="A20" s="140" t="s">
        <v>5</v>
      </c>
      <c r="B20" s="20" t="s">
        <v>492</v>
      </c>
      <c r="C20" s="20" t="s">
        <v>493</v>
      </c>
      <c r="D20" s="249" t="s">
        <v>3</v>
      </c>
      <c r="E20" s="20" t="s">
        <v>492</v>
      </c>
      <c r="F20" s="20" t="s">
        <v>493</v>
      </c>
      <c r="G20" s="249" t="s">
        <v>3</v>
      </c>
      <c r="H20" s="20" t="s">
        <v>492</v>
      </c>
      <c r="I20" s="20" t="s">
        <v>493</v>
      </c>
      <c r="J20" s="249" t="s">
        <v>3</v>
      </c>
    </row>
    <row r="21" spans="1:11" ht="15.75" customHeight="1" x14ac:dyDescent="0.2">
      <c r="A21" s="947"/>
      <c r="B21" s="15"/>
      <c r="C21" s="15"/>
      <c r="D21" s="17" t="s">
        <v>4</v>
      </c>
      <c r="E21" s="16"/>
      <c r="F21" s="16"/>
      <c r="G21" s="15" t="s">
        <v>4</v>
      </c>
      <c r="H21" s="16"/>
      <c r="I21" s="16"/>
      <c r="J21" s="15" t="s">
        <v>4</v>
      </c>
    </row>
    <row r="22" spans="1:11" s="43" customFormat="1" ht="15.75" customHeight="1" x14ac:dyDescent="0.2">
      <c r="A22" s="14" t="s">
        <v>23</v>
      </c>
      <c r="B22" s="236">
        <v>1581148.7813167991</v>
      </c>
      <c r="C22" s="236">
        <v>1788692.4403534168</v>
      </c>
      <c r="D22" s="11">
        <f t="shared" ref="D22:D38" si="5">IF(B22=0, "    ---- ", IF(ABS(ROUND(100/B22*C22-100,1))&lt;999,ROUND(100/B22*C22-100,1),IF(ROUND(100/B22*C22-100,1)&gt;999,999,-999)))</f>
        <v>13.1</v>
      </c>
      <c r="E22" s="236">
        <v>1272183.97545</v>
      </c>
      <c r="F22" s="307">
        <v>1321585.56541</v>
      </c>
      <c r="G22" s="349">
        <f t="shared" ref="G22:G35" si="6">IF(E22=0, "    ---- ", IF(ABS(ROUND(100/E22*F22-100,1))&lt;999,ROUND(100/E22*F22-100,1),IF(ROUND(100/E22*F22-100,1)&gt;999,999,-999)))</f>
        <v>3.9</v>
      </c>
      <c r="H22" s="307">
        <f>SUM(B22,E22)</f>
        <v>2853332.7567667989</v>
      </c>
      <c r="I22" s="236">
        <f t="shared" ref="I22:I39" si="7">SUM(C22,F22)</f>
        <v>3110278.0057634171</v>
      </c>
      <c r="J22" s="24">
        <f t="shared" ref="J22:J38" si="8">IF(H22=0, "    ---- ", IF(ABS(ROUND(100/H22*I22-100,1))&lt;999,ROUND(100/H22*I22-100,1),IF(ROUND(100/H22*I22-100,1)&gt;999,999,-999)))</f>
        <v>9</v>
      </c>
    </row>
    <row r="23" spans="1:11" ht="15.75" customHeight="1" x14ac:dyDescent="0.2">
      <c r="A23" s="755" t="s">
        <v>454</v>
      </c>
      <c r="B23" s="44">
        <v>1516522.2002935398</v>
      </c>
      <c r="C23" s="44">
        <v>1682828.342437115</v>
      </c>
      <c r="D23" s="27">
        <f>IF($A$1=4,IF(B23=0, "    ---- ", IF(ABS(ROUND(100/B23*C23-100,1))&lt;999,ROUND(100/B23*C23-100,1),IF(ROUND(100/B23*C23-100,1)&gt;999,999,-999))),"")</f>
        <v>11</v>
      </c>
      <c r="E23" s="44">
        <v>166012.83633999998</v>
      </c>
      <c r="F23" s="44">
        <v>99551.813800000004</v>
      </c>
      <c r="G23" s="166">
        <f>IF($A$1=4,IF(E23=0, "    ---- ", IF(ABS(ROUND(100/E23*F23-100,1))&lt;999,ROUND(100/E23*F23-100,1),IF(ROUND(100/E23*F23-100,1)&gt;999,999,-999))),"")</f>
        <v>-40</v>
      </c>
      <c r="H23" s="234">
        <f t="shared" ref="H23:H39" si="9">SUM(B23,E23)</f>
        <v>1682535.0366335397</v>
      </c>
      <c r="I23" s="44">
        <f t="shared" si="7"/>
        <v>1782380.1562371152</v>
      </c>
      <c r="J23" s="23">
        <f t="shared" si="8"/>
        <v>5.9</v>
      </c>
    </row>
    <row r="24" spans="1:11" ht="15.75" customHeight="1" x14ac:dyDescent="0.2">
      <c r="A24" s="755" t="s">
        <v>455</v>
      </c>
      <c r="B24" s="44">
        <v>15365.522023259389</v>
      </c>
      <c r="C24" s="44">
        <v>37654.218916302445</v>
      </c>
      <c r="D24" s="27">
        <f t="shared" ref="D24:D25" si="10">IF($A$1=4,IF(B24=0, "    ---- ", IF(ABS(ROUND(100/B24*C24-100,1))&lt;999,ROUND(100/B24*C24-100,1),IF(ROUND(100/B24*C24-100,1)&gt;999,999,-999))),"")</f>
        <v>145.1</v>
      </c>
      <c r="E24" s="44">
        <v>100.75112000000001</v>
      </c>
      <c r="F24" s="44">
        <v>179.40243000000001</v>
      </c>
      <c r="G24" s="166">
        <f t="shared" ref="G24:G25" si="11">IF($A$1=4,IF(E24=0, "    ---- ", IF(ABS(ROUND(100/E24*F24-100,1))&lt;999,ROUND(100/E24*F24-100,1),IF(ROUND(100/E24*F24-100,1)&gt;999,999,-999))),"")</f>
        <v>78.099999999999994</v>
      </c>
      <c r="H24" s="234">
        <f t="shared" si="9"/>
        <v>15466.27314325939</v>
      </c>
      <c r="I24" s="44">
        <f t="shared" si="7"/>
        <v>37833.621346302447</v>
      </c>
      <c r="J24" s="11">
        <f t="shared" si="8"/>
        <v>144.6</v>
      </c>
    </row>
    <row r="25" spans="1:11" ht="15.75" customHeight="1" x14ac:dyDescent="0.2">
      <c r="A25" s="755" t="s">
        <v>456</v>
      </c>
      <c r="B25" s="44">
        <v>25122.45</v>
      </c>
      <c r="C25" s="44">
        <v>40583</v>
      </c>
      <c r="D25" s="27">
        <f t="shared" si="10"/>
        <v>61.5</v>
      </c>
      <c r="E25" s="44">
        <v>97367.05214</v>
      </c>
      <c r="F25" s="44">
        <v>27360.13926</v>
      </c>
      <c r="G25" s="166">
        <f t="shared" si="11"/>
        <v>-71.900000000000006</v>
      </c>
      <c r="H25" s="234">
        <f t="shared" si="9"/>
        <v>122489.50214</v>
      </c>
      <c r="I25" s="44">
        <f t="shared" si="7"/>
        <v>67943.139259999996</v>
      </c>
      <c r="J25" s="27">
        <f t="shared" si="8"/>
        <v>-44.5</v>
      </c>
    </row>
    <row r="26" spans="1:11" ht="15.75" customHeight="1" x14ac:dyDescent="0.2">
      <c r="A26" s="755" t="s">
        <v>457</v>
      </c>
      <c r="B26" s="44">
        <v>0</v>
      </c>
      <c r="C26" s="44">
        <v>0</v>
      </c>
      <c r="D26" s="27"/>
      <c r="E26" s="44">
        <v>1008703.3358500001</v>
      </c>
      <c r="F26" s="44">
        <v>1194494.2099200001</v>
      </c>
      <c r="G26" s="166">
        <f t="shared" ref="G26" si="12">IF($A$1=4,IF(E26=0, "    ---- ", IF(ABS(ROUND(100/E26*F26-100,1))&lt;999,ROUND(100/E26*F26-100,1),IF(ROUND(100/E26*F26-100,1)&gt;999,999,-999))),"")</f>
        <v>18.399999999999999</v>
      </c>
      <c r="H26" s="234">
        <f t="shared" ref="H26" si="13">SUM(B26,E26)</f>
        <v>1008703.3358500001</v>
      </c>
      <c r="I26" s="44">
        <f t="shared" ref="I26" si="14">SUM(C26,F26)</f>
        <v>1194494.2099200001</v>
      </c>
      <c r="J26" s="27">
        <f t="shared" ref="J26" si="15">IF(H26=0, "    ---- ", IF(ABS(ROUND(100/H26*I26-100,1))&lt;999,ROUND(100/H26*I26-100,1),IF(ROUND(100/H26*I26-100,1)&gt;999,999,-999)))</f>
        <v>18.399999999999999</v>
      </c>
    </row>
    <row r="27" spans="1:11" ht="15.75" customHeight="1" x14ac:dyDescent="0.2">
      <c r="A27" s="753" t="s">
        <v>11</v>
      </c>
      <c r="B27" s="44">
        <v>0</v>
      </c>
      <c r="C27" s="44">
        <v>0</v>
      </c>
      <c r="D27" s="27"/>
      <c r="E27" s="44">
        <v>0</v>
      </c>
      <c r="F27" s="44">
        <v>0</v>
      </c>
      <c r="G27" s="166"/>
      <c r="H27" s="234">
        <f t="shared" si="9"/>
        <v>0</v>
      </c>
      <c r="I27" s="44">
        <f t="shared" si="7"/>
        <v>0</v>
      </c>
      <c r="J27" s="27"/>
    </row>
    <row r="28" spans="1:11" ht="15.75" customHeight="1" x14ac:dyDescent="0.2">
      <c r="A28" s="49" t="s">
        <v>279</v>
      </c>
      <c r="B28" s="44">
        <v>1783131.8579628549</v>
      </c>
      <c r="C28" s="44">
        <v>1879483.9829354847</v>
      </c>
      <c r="D28" s="23">
        <f t="shared" si="5"/>
        <v>5.4</v>
      </c>
      <c r="E28" s="187">
        <v>0</v>
      </c>
      <c r="F28" s="187">
        <v>0</v>
      </c>
      <c r="G28" s="166"/>
      <c r="H28" s="234">
        <f t="shared" si="9"/>
        <v>1783131.8579628549</v>
      </c>
      <c r="I28" s="44">
        <f t="shared" si="7"/>
        <v>1879483.9829354847</v>
      </c>
      <c r="J28" s="23">
        <f t="shared" si="8"/>
        <v>5.4</v>
      </c>
      <c r="K28" s="3"/>
    </row>
    <row r="29" spans="1:11" s="368" customFormat="1" ht="15.75" customHeight="1" x14ac:dyDescent="0.2">
      <c r="A29" s="39" t="s">
        <v>458</v>
      </c>
      <c r="B29" s="236">
        <v>47916142.416100003</v>
      </c>
      <c r="C29" s="236">
        <v>46977062.425480001</v>
      </c>
      <c r="D29" s="24">
        <f t="shared" si="5"/>
        <v>-2</v>
      </c>
      <c r="E29" s="307">
        <v>19108924.803149998</v>
      </c>
      <c r="F29" s="307">
        <v>22338327.633749999</v>
      </c>
      <c r="G29" s="171">
        <f t="shared" si="6"/>
        <v>16.899999999999999</v>
      </c>
      <c r="H29" s="307">
        <f t="shared" si="9"/>
        <v>67025067.219250001</v>
      </c>
      <c r="I29" s="236">
        <f t="shared" si="7"/>
        <v>69315390.05923</v>
      </c>
      <c r="J29" s="24">
        <f t="shared" si="8"/>
        <v>3.4</v>
      </c>
    </row>
    <row r="30" spans="1:11" s="3" customFormat="1" ht="15.75" customHeight="1" x14ac:dyDescent="0.2">
      <c r="A30" s="755" t="s">
        <v>454</v>
      </c>
      <c r="B30" s="44">
        <v>12922234.56551753</v>
      </c>
      <c r="C30" s="44">
        <v>17672386.15762499</v>
      </c>
      <c r="D30" s="27">
        <f t="shared" ref="D30:D32" si="16">IF($A$1=4,IF(B30=0, "    ---- ", IF(ABS(ROUND(100/B30*C30-100,1))&lt;999,ROUND(100/B30*C30-100,1),IF(ROUND(100/B30*C30-100,1)&gt;999,999,-999))),"")</f>
        <v>36.799999999999997</v>
      </c>
      <c r="E30" s="44">
        <v>4035801.8258700003</v>
      </c>
      <c r="F30" s="44">
        <v>4452800.0287556034</v>
      </c>
      <c r="G30" s="166">
        <f t="shared" ref="G30:G32" si="17">IF($A$1=4,IF(E30=0, "    ---- ", IF(ABS(ROUND(100/E30*F30-100,1))&lt;999,ROUND(100/E30*F30-100,1),IF(ROUND(100/E30*F30-100,1)&gt;999,999,-999))),"")</f>
        <v>10.3</v>
      </c>
      <c r="H30" s="234">
        <f t="shared" si="9"/>
        <v>16958036.39138753</v>
      </c>
      <c r="I30" s="44">
        <f t="shared" si="7"/>
        <v>22125186.186380595</v>
      </c>
      <c r="J30" s="23">
        <f t="shared" si="8"/>
        <v>30.5</v>
      </c>
    </row>
    <row r="31" spans="1:11" s="3" customFormat="1" ht="15.75" customHeight="1" x14ac:dyDescent="0.2">
      <c r="A31" s="755" t="s">
        <v>455</v>
      </c>
      <c r="B31" s="44">
        <v>33571963.877582468</v>
      </c>
      <c r="C31" s="44">
        <v>26156822.719855011</v>
      </c>
      <c r="D31" s="27">
        <f t="shared" si="16"/>
        <v>-22.1</v>
      </c>
      <c r="E31" s="44">
        <v>9333216.9242100008</v>
      </c>
      <c r="F31" s="44">
        <v>9823454.7747838721</v>
      </c>
      <c r="G31" s="166">
        <f t="shared" si="17"/>
        <v>5.3</v>
      </c>
      <c r="H31" s="234">
        <f t="shared" si="9"/>
        <v>42905180.801792473</v>
      </c>
      <c r="I31" s="44">
        <f t="shared" si="7"/>
        <v>35980277.494638883</v>
      </c>
      <c r="J31" s="23">
        <f t="shared" si="8"/>
        <v>-16.100000000000001</v>
      </c>
    </row>
    <row r="32" spans="1:11" ht="15.75" customHeight="1" x14ac:dyDescent="0.2">
      <c r="A32" s="755" t="s">
        <v>456</v>
      </c>
      <c r="B32" s="44">
        <v>1289603.3599999999</v>
      </c>
      <c r="C32" s="44">
        <v>3015311</v>
      </c>
      <c r="D32" s="27">
        <f t="shared" si="16"/>
        <v>133.80000000000001</v>
      </c>
      <c r="E32" s="44">
        <v>3966955.6092400001</v>
      </c>
      <c r="F32" s="44">
        <v>4663573.5241858698</v>
      </c>
      <c r="G32" s="166">
        <f t="shared" si="17"/>
        <v>17.600000000000001</v>
      </c>
      <c r="H32" s="234">
        <f t="shared" si="9"/>
        <v>5256558.9692400005</v>
      </c>
      <c r="I32" s="44">
        <f t="shared" si="7"/>
        <v>7678884.5241858698</v>
      </c>
      <c r="J32" s="24">
        <f t="shared" si="8"/>
        <v>46.1</v>
      </c>
    </row>
    <row r="33" spans="1:10" ht="15.75" customHeight="1" x14ac:dyDescent="0.2">
      <c r="A33" s="755" t="s">
        <v>457</v>
      </c>
      <c r="B33" s="44">
        <v>0</v>
      </c>
      <c r="C33" s="44">
        <v>0</v>
      </c>
      <c r="D33" s="27"/>
      <c r="E33" s="44">
        <v>1772950.44383</v>
      </c>
      <c r="F33" s="44">
        <v>3398499.3060246473</v>
      </c>
      <c r="G33" s="166">
        <f t="shared" ref="G33" si="18">IF($A$1=4,IF(E33=0, "    ---- ", IF(ABS(ROUND(100/E33*F33-100,1))&lt;999,ROUND(100/E33*F33-100,1),IF(ROUND(100/E33*F33-100,1)&gt;999,999,-999))),"")</f>
        <v>91.7</v>
      </c>
      <c r="H33" s="234">
        <f t="shared" ref="H33" si="19">SUM(B33,E33)</f>
        <v>1772950.44383</v>
      </c>
      <c r="I33" s="44">
        <f t="shared" ref="I33" si="20">SUM(C33,F33)</f>
        <v>3398499.3060246473</v>
      </c>
      <c r="J33" s="24">
        <f t="shared" ref="J33" si="21">IF(H33=0, "    ---- ", IF(ABS(ROUND(100/H33*I33-100,1))&lt;999,ROUND(100/H33*I33-100,1),IF(ROUND(100/H33*I33-100,1)&gt;999,999,-999)))</f>
        <v>91.7</v>
      </c>
    </row>
    <row r="34" spans="1:10" s="43" customFormat="1" ht="15.75" customHeight="1" x14ac:dyDescent="0.2">
      <c r="A34" s="39" t="s">
        <v>452</v>
      </c>
      <c r="B34" s="236">
        <v>28123.286410000001</v>
      </c>
      <c r="C34" s="236">
        <v>26556.532999999999</v>
      </c>
      <c r="D34" s="24">
        <f t="shared" si="5"/>
        <v>-5.6</v>
      </c>
      <c r="E34" s="307">
        <v>75875.299440000003</v>
      </c>
      <c r="F34" s="307">
        <v>70179.748269999996</v>
      </c>
      <c r="G34" s="171">
        <f t="shared" si="6"/>
        <v>-7.5</v>
      </c>
      <c r="H34" s="307">
        <f t="shared" si="9"/>
        <v>103998.58585</v>
      </c>
      <c r="I34" s="236">
        <f t="shared" si="7"/>
        <v>96736.281269999992</v>
      </c>
      <c r="J34" s="24">
        <f t="shared" si="8"/>
        <v>-7</v>
      </c>
    </row>
    <row r="35" spans="1:10" s="43" customFormat="1" ht="15.75" customHeight="1" x14ac:dyDescent="0.2">
      <c r="A35" s="39" t="s">
        <v>453</v>
      </c>
      <c r="B35" s="236">
        <v>-29295.694759999998</v>
      </c>
      <c r="C35" s="236">
        <v>-29190.046699999999</v>
      </c>
      <c r="D35" s="24">
        <f t="shared" si="5"/>
        <v>-0.4</v>
      </c>
      <c r="E35" s="307">
        <v>114569.91455</v>
      </c>
      <c r="F35" s="307">
        <v>132988.32624999998</v>
      </c>
      <c r="G35" s="171">
        <f t="shared" si="6"/>
        <v>16.100000000000001</v>
      </c>
      <c r="H35" s="307">
        <f t="shared" si="9"/>
        <v>85274.219790000003</v>
      </c>
      <c r="I35" s="236">
        <f t="shared" si="7"/>
        <v>103798.27954999998</v>
      </c>
      <c r="J35" s="24">
        <f t="shared" si="8"/>
        <v>21.7</v>
      </c>
    </row>
    <row r="36" spans="1:10" s="43" customFormat="1" ht="15.75" customHeight="1" x14ac:dyDescent="0.2">
      <c r="A36" s="12" t="s">
        <v>287</v>
      </c>
      <c r="B36" s="236">
        <v>15256.704</v>
      </c>
      <c r="C36" s="236">
        <v>12205.221</v>
      </c>
      <c r="D36" s="11">
        <f t="shared" si="5"/>
        <v>-20</v>
      </c>
      <c r="E36" s="318">
        <v>0</v>
      </c>
      <c r="F36" s="318">
        <v>0</v>
      </c>
      <c r="G36" s="171"/>
      <c r="H36" s="307">
        <f t="shared" si="9"/>
        <v>15256.704</v>
      </c>
      <c r="I36" s="236">
        <f t="shared" si="7"/>
        <v>12205.221</v>
      </c>
      <c r="J36" s="11">
        <f t="shared" si="8"/>
        <v>-20</v>
      </c>
    </row>
    <row r="37" spans="1:10" s="43" customFormat="1" ht="15.75" customHeight="1" x14ac:dyDescent="0.2">
      <c r="A37" s="756" t="s">
        <v>459</v>
      </c>
      <c r="B37" s="236">
        <v>3738156.3530000001</v>
      </c>
      <c r="C37" s="236">
        <v>3584900.3</v>
      </c>
      <c r="D37" s="24">
        <f t="shared" si="5"/>
        <v>-4.0999999999999996</v>
      </c>
      <c r="E37" s="323">
        <v>0</v>
      </c>
      <c r="F37" s="323">
        <v>0</v>
      </c>
      <c r="G37" s="171"/>
      <c r="H37" s="307">
        <f t="shared" si="9"/>
        <v>3738156.3530000001</v>
      </c>
      <c r="I37" s="236">
        <f t="shared" si="7"/>
        <v>3584900.3</v>
      </c>
      <c r="J37" s="24">
        <f t="shared" si="8"/>
        <v>-4.0999999999999996</v>
      </c>
    </row>
    <row r="38" spans="1:10" s="43" customFormat="1" ht="15.75" customHeight="1" x14ac:dyDescent="0.2">
      <c r="A38" s="756" t="s">
        <v>460</v>
      </c>
      <c r="B38" s="236">
        <v>611</v>
      </c>
      <c r="C38" s="236">
        <v>0</v>
      </c>
      <c r="D38" s="24">
        <f t="shared" si="5"/>
        <v>-100</v>
      </c>
      <c r="E38" s="318">
        <v>0</v>
      </c>
      <c r="F38" s="324">
        <v>0</v>
      </c>
      <c r="G38" s="171"/>
      <c r="H38" s="307">
        <f t="shared" si="9"/>
        <v>611</v>
      </c>
      <c r="I38" s="236">
        <f t="shared" si="7"/>
        <v>0</v>
      </c>
      <c r="J38" s="24">
        <f t="shared" si="8"/>
        <v>-100</v>
      </c>
    </row>
    <row r="39" spans="1:10" s="43" customFormat="1" ht="15.75" customHeight="1" x14ac:dyDescent="0.2">
      <c r="A39" s="757" t="s">
        <v>461</v>
      </c>
      <c r="B39" s="275">
        <v>0</v>
      </c>
      <c r="C39" s="275">
        <v>0</v>
      </c>
      <c r="D39" s="36"/>
      <c r="E39" s="325">
        <v>0</v>
      </c>
      <c r="F39" s="325">
        <v>0</v>
      </c>
      <c r="G39" s="169"/>
      <c r="H39" s="313">
        <f t="shared" si="9"/>
        <v>0</v>
      </c>
      <c r="I39" s="275">
        <f t="shared" si="7"/>
        <v>0</v>
      </c>
      <c r="J39" s="36"/>
    </row>
    <row r="40" spans="1:10" ht="15.75" customHeight="1" x14ac:dyDescent="0.2">
      <c r="A40" s="47"/>
    </row>
    <row r="41" spans="1:10" ht="15.75" customHeight="1" x14ac:dyDescent="0.2">
      <c r="A41" s="155"/>
    </row>
    <row r="42" spans="1:10" ht="15.75" customHeight="1" x14ac:dyDescent="0.25">
      <c r="A42" s="147" t="s">
        <v>276</v>
      </c>
      <c r="B42" s="970"/>
      <c r="C42" s="970"/>
      <c r="D42" s="970"/>
      <c r="E42" s="971"/>
      <c r="F42" s="971"/>
      <c r="G42" s="971"/>
      <c r="H42" s="971"/>
      <c r="I42" s="971"/>
      <c r="J42" s="971"/>
    </row>
    <row r="43" spans="1:10" ht="15.75" customHeight="1" x14ac:dyDescent="0.25">
      <c r="A43" s="163"/>
      <c r="B43" s="380"/>
      <c r="C43" s="380"/>
      <c r="D43" s="380"/>
      <c r="E43" s="297"/>
      <c r="F43" s="297"/>
      <c r="G43" s="297"/>
      <c r="H43" s="297"/>
      <c r="I43" s="297"/>
      <c r="J43" s="297"/>
    </row>
    <row r="44" spans="1:10" s="3" customFormat="1" ht="15.75" customHeight="1" x14ac:dyDescent="0.25">
      <c r="A44" s="247"/>
      <c r="B44" s="326" t="s">
        <v>0</v>
      </c>
      <c r="C44" s="327"/>
      <c r="D44" s="252"/>
      <c r="E44" s="42"/>
      <c r="F44" s="42"/>
      <c r="G44" s="40"/>
      <c r="H44" s="42"/>
      <c r="I44" s="42"/>
      <c r="J44" s="40"/>
    </row>
    <row r="45" spans="1:10" s="3" customFormat="1" ht="15.75" customHeight="1" x14ac:dyDescent="0.2">
      <c r="A45" s="140"/>
      <c r="B45" s="20" t="s">
        <v>492</v>
      </c>
      <c r="C45" s="20" t="s">
        <v>493</v>
      </c>
      <c r="D45" s="250" t="s">
        <v>3</v>
      </c>
      <c r="E45" s="42"/>
      <c r="F45" s="42"/>
      <c r="G45" s="40"/>
      <c r="H45" s="42"/>
      <c r="I45" s="42"/>
      <c r="J45" s="40"/>
    </row>
    <row r="46" spans="1:10" s="3" customFormat="1" ht="15.75" customHeight="1" x14ac:dyDescent="0.2">
      <c r="A46" s="947"/>
      <c r="B46" s="46"/>
      <c r="C46" s="251"/>
      <c r="D46" s="17" t="s">
        <v>4</v>
      </c>
      <c r="E46" s="40"/>
      <c r="F46" s="40"/>
      <c r="G46" s="40"/>
      <c r="H46" s="40"/>
      <c r="I46" s="40"/>
      <c r="J46" s="40"/>
    </row>
    <row r="47" spans="1:10" s="368" customFormat="1" ht="15.75" customHeight="1" x14ac:dyDescent="0.2">
      <c r="A47" s="14" t="s">
        <v>23</v>
      </c>
      <c r="B47" s="236">
        <v>4197749.6637307834</v>
      </c>
      <c r="C47" s="328">
        <v>4328043.2384185186</v>
      </c>
      <c r="D47" s="24">
        <f t="shared" ref="D47:D58" si="22">IF(B47=0, "    ---- ", IF(ABS(ROUND(100/B47*C47-100,1))&lt;999,ROUND(100/B47*C47-100,1),IF(ROUND(100/B47*C47-100,1)&gt;999,999,-999)))</f>
        <v>3.1</v>
      </c>
      <c r="E47" s="369"/>
      <c r="F47" s="370"/>
      <c r="G47" s="32"/>
      <c r="H47" s="371"/>
      <c r="I47" s="371"/>
      <c r="J47" s="32"/>
    </row>
    <row r="48" spans="1:10" s="3" customFormat="1" ht="15.75" customHeight="1" x14ac:dyDescent="0.2">
      <c r="A48" s="38" t="s">
        <v>462</v>
      </c>
      <c r="B48" s="44">
        <v>2338122.1711207828</v>
      </c>
      <c r="C48" s="44">
        <v>2399434.4798885188</v>
      </c>
      <c r="D48" s="24">
        <f t="shared" si="22"/>
        <v>2.6</v>
      </c>
      <c r="E48" s="35"/>
      <c r="F48" s="5"/>
      <c r="G48" s="34"/>
      <c r="H48" s="33"/>
      <c r="I48" s="33"/>
      <c r="J48" s="32"/>
    </row>
    <row r="49" spans="1:10" s="3" customFormat="1" ht="15.75" customHeight="1" x14ac:dyDescent="0.2">
      <c r="A49" s="38" t="s">
        <v>463</v>
      </c>
      <c r="B49" s="191">
        <v>1859627.4926099998</v>
      </c>
      <c r="C49" s="191">
        <v>1928608.7585299998</v>
      </c>
      <c r="D49" s="24">
        <f t="shared" si="22"/>
        <v>3.7</v>
      </c>
      <c r="E49" s="35"/>
      <c r="F49" s="5"/>
      <c r="G49" s="34"/>
      <c r="H49" s="37"/>
      <c r="I49" s="37"/>
      <c r="J49" s="32"/>
    </row>
    <row r="50" spans="1:10" s="3" customFormat="1" ht="15.75" customHeight="1" x14ac:dyDescent="0.2">
      <c r="A50" s="295" t="s">
        <v>6</v>
      </c>
      <c r="B50" s="44">
        <v>2252.8400799999999</v>
      </c>
      <c r="C50" s="44">
        <v>1896.17572</v>
      </c>
      <c r="D50" s="27">
        <f t="shared" ref="D50:D52" si="23">IF($A$1=4,IF(B50=0, "    ---- ", IF(ABS(ROUND(100/B50*C50-100,1))&lt;999,ROUND(100/B50*C50-100,1),IF(ROUND(100/B50*C50-100,1)&gt;999,999,-999))),"")</f>
        <v>-15.8</v>
      </c>
      <c r="E50" s="35"/>
      <c r="F50" s="5"/>
      <c r="G50" s="34"/>
      <c r="H50" s="33"/>
      <c r="I50" s="33"/>
      <c r="J50" s="32"/>
    </row>
    <row r="51" spans="1:10" s="3" customFormat="1" ht="15.75" customHeight="1" x14ac:dyDescent="0.2">
      <c r="A51" s="295" t="s">
        <v>7</v>
      </c>
      <c r="B51" s="44">
        <v>1578851.34357</v>
      </c>
      <c r="C51" s="44">
        <v>1663988.4178000002</v>
      </c>
      <c r="D51" s="27">
        <f t="shared" si="23"/>
        <v>5.4</v>
      </c>
      <c r="E51" s="35"/>
      <c r="F51" s="5"/>
      <c r="G51" s="34"/>
      <c r="H51" s="33"/>
      <c r="I51" s="33"/>
      <c r="J51" s="32"/>
    </row>
    <row r="52" spans="1:10" s="3" customFormat="1" ht="15.75" customHeight="1" x14ac:dyDescent="0.2">
      <c r="A52" s="295" t="s">
        <v>8</v>
      </c>
      <c r="B52" s="44">
        <v>278523.30895999999</v>
      </c>
      <c r="C52" s="44">
        <v>262724.16500999988</v>
      </c>
      <c r="D52" s="27">
        <f t="shared" si="23"/>
        <v>-5.7</v>
      </c>
      <c r="E52" s="35"/>
      <c r="F52" s="5"/>
      <c r="G52" s="34"/>
      <c r="H52" s="33"/>
      <c r="I52" s="33"/>
      <c r="J52" s="32"/>
    </row>
    <row r="53" spans="1:10" s="368" customFormat="1" ht="15.75" customHeight="1" x14ac:dyDescent="0.2">
      <c r="A53" s="39" t="s">
        <v>464</v>
      </c>
      <c r="B53" s="236">
        <v>112803.67199999999</v>
      </c>
      <c r="C53" s="236">
        <v>233339.94</v>
      </c>
      <c r="D53" s="24">
        <f t="shared" si="22"/>
        <v>106.9</v>
      </c>
      <c r="E53" s="369"/>
      <c r="F53" s="370"/>
      <c r="G53" s="32"/>
      <c r="H53" s="173"/>
      <c r="I53" s="173"/>
      <c r="J53" s="32"/>
    </row>
    <row r="54" spans="1:10" s="3" customFormat="1" ht="15.75" customHeight="1" x14ac:dyDescent="0.2">
      <c r="A54" s="38" t="s">
        <v>462</v>
      </c>
      <c r="B54" s="44">
        <v>112803.67199999999</v>
      </c>
      <c r="C54" s="44">
        <v>138779.45299999998</v>
      </c>
      <c r="D54" s="24">
        <f t="shared" si="22"/>
        <v>23</v>
      </c>
      <c r="E54" s="35"/>
      <c r="F54" s="5"/>
      <c r="G54" s="34"/>
      <c r="H54" s="33"/>
      <c r="I54" s="33"/>
      <c r="J54" s="32"/>
    </row>
    <row r="55" spans="1:10" s="3" customFormat="1" ht="15.75" customHeight="1" x14ac:dyDescent="0.2">
      <c r="A55" s="38" t="s">
        <v>463</v>
      </c>
      <c r="B55" s="44">
        <v>0</v>
      </c>
      <c r="C55" s="44">
        <v>94560.486999999994</v>
      </c>
      <c r="D55" s="24" t="str">
        <f t="shared" si="22"/>
        <v xml:space="preserve">    ---- </v>
      </c>
      <c r="E55" s="35"/>
      <c r="F55" s="5"/>
      <c r="G55" s="34"/>
      <c r="H55" s="33"/>
      <c r="I55" s="33"/>
      <c r="J55" s="32"/>
    </row>
    <row r="56" spans="1:10" s="368" customFormat="1" ht="15.75" customHeight="1" x14ac:dyDescent="0.2">
      <c r="A56" s="39" t="s">
        <v>465</v>
      </c>
      <c r="B56" s="236">
        <v>119459.16899999999</v>
      </c>
      <c r="C56" s="236">
        <v>185992.932</v>
      </c>
      <c r="D56" s="24">
        <f t="shared" si="22"/>
        <v>55.7</v>
      </c>
      <c r="E56" s="369"/>
      <c r="F56" s="370"/>
      <c r="G56" s="32"/>
      <c r="H56" s="173"/>
      <c r="I56" s="173"/>
      <c r="J56" s="32"/>
    </row>
    <row r="57" spans="1:10" s="3" customFormat="1" ht="15.75" customHeight="1" x14ac:dyDescent="0.2">
      <c r="A57" s="38" t="s">
        <v>462</v>
      </c>
      <c r="B57" s="44">
        <v>119459.16899999999</v>
      </c>
      <c r="C57" s="44">
        <v>119389.53</v>
      </c>
      <c r="D57" s="24">
        <f t="shared" si="22"/>
        <v>-0.1</v>
      </c>
      <c r="E57" s="35"/>
      <c r="F57" s="5"/>
      <c r="G57" s="34"/>
      <c r="H57" s="33"/>
      <c r="I57" s="33"/>
      <c r="J57" s="32"/>
    </row>
    <row r="58" spans="1:10" s="3" customFormat="1" ht="15.75" customHeight="1" x14ac:dyDescent="0.2">
      <c r="A58" s="38" t="s">
        <v>463</v>
      </c>
      <c r="B58" s="45">
        <v>0</v>
      </c>
      <c r="C58" s="45">
        <v>66603.402000000002</v>
      </c>
      <c r="D58" s="36" t="str">
        <f t="shared" si="22"/>
        <v xml:space="preserve">    ---- </v>
      </c>
      <c r="E58" s="35"/>
      <c r="F58" s="5"/>
      <c r="G58" s="34"/>
      <c r="H58" s="33"/>
      <c r="I58" s="33"/>
      <c r="J58" s="32"/>
    </row>
    <row r="59" spans="1:10" s="3" customFormat="1" ht="15.75" customHeight="1" x14ac:dyDescent="0.25">
      <c r="A59" s="164"/>
      <c r="B59" s="30"/>
      <c r="C59" s="30"/>
      <c r="D59" s="30"/>
      <c r="E59" s="31"/>
      <c r="F59" s="31"/>
      <c r="G59" s="31"/>
      <c r="H59" s="31"/>
      <c r="I59" s="31"/>
      <c r="J59" s="31"/>
    </row>
    <row r="60" spans="1:10" ht="15.75" customHeight="1" x14ac:dyDescent="0.2">
      <c r="A60" s="155"/>
    </row>
    <row r="61" spans="1:10" ht="15.75" customHeight="1" x14ac:dyDescent="0.25">
      <c r="A61" s="147" t="s">
        <v>277</v>
      </c>
      <c r="C61" s="26"/>
      <c r="D61" s="25"/>
      <c r="E61" s="26"/>
      <c r="F61" s="26"/>
      <c r="G61" s="25"/>
      <c r="H61" s="26"/>
      <c r="I61" s="26"/>
      <c r="J61" s="25"/>
    </row>
    <row r="62" spans="1:10" ht="20.100000000000001" customHeight="1" x14ac:dyDescent="0.25">
      <c r="A62" s="149"/>
      <c r="B62" s="970"/>
      <c r="C62" s="970"/>
      <c r="D62" s="970"/>
      <c r="E62" s="970"/>
      <c r="F62" s="970"/>
      <c r="G62" s="970"/>
      <c r="H62" s="970"/>
      <c r="I62" s="970"/>
      <c r="J62" s="970"/>
    </row>
    <row r="63" spans="1:10" ht="15.75" customHeight="1" x14ac:dyDescent="0.2">
      <c r="A63" s="144"/>
      <c r="B63" s="967" t="s">
        <v>0</v>
      </c>
      <c r="C63" s="968"/>
      <c r="D63" s="968"/>
      <c r="E63" s="967" t="s">
        <v>1</v>
      </c>
      <c r="F63" s="968"/>
      <c r="G63" s="969"/>
      <c r="H63" s="968" t="s">
        <v>2</v>
      </c>
      <c r="I63" s="968"/>
      <c r="J63" s="969"/>
    </row>
    <row r="64" spans="1:10" ht="15.75" customHeight="1" x14ac:dyDescent="0.2">
      <c r="A64" s="140"/>
      <c r="B64" s="20" t="s">
        <v>492</v>
      </c>
      <c r="C64" s="20" t="s">
        <v>493</v>
      </c>
      <c r="D64" s="19" t="s">
        <v>3</v>
      </c>
      <c r="E64" s="20" t="s">
        <v>492</v>
      </c>
      <c r="F64" s="20" t="s">
        <v>493</v>
      </c>
      <c r="G64" s="19" t="s">
        <v>3</v>
      </c>
      <c r="H64" s="20" t="s">
        <v>492</v>
      </c>
      <c r="I64" s="20" t="s">
        <v>493</v>
      </c>
      <c r="J64" s="19" t="s">
        <v>3</v>
      </c>
    </row>
    <row r="65" spans="1:10" ht="15.75" customHeight="1" x14ac:dyDescent="0.2">
      <c r="A65" s="947"/>
      <c r="B65" s="15"/>
      <c r="C65" s="15"/>
      <c r="D65" s="17" t="s">
        <v>4</v>
      </c>
      <c r="E65" s="16"/>
      <c r="F65" s="16"/>
      <c r="G65" s="15" t="s">
        <v>4</v>
      </c>
      <c r="H65" s="16"/>
      <c r="I65" s="16"/>
      <c r="J65" s="15" t="s">
        <v>4</v>
      </c>
    </row>
    <row r="66" spans="1:10" s="43" customFormat="1" ht="15.75" customHeight="1" x14ac:dyDescent="0.2">
      <c r="A66" s="14" t="s">
        <v>23</v>
      </c>
      <c r="B66" s="329">
        <v>8827978.527449999</v>
      </c>
      <c r="C66" s="329">
        <v>8808966.7867200002</v>
      </c>
      <c r="D66" s="24">
        <f t="shared" ref="D66:D111" si="24">IF(B66=0, "    ---- ", IF(ABS(ROUND(100/B66*C66-100,1))&lt;999,ROUND(100/B66*C66-100,1),IF(ROUND(100/B66*C66-100,1)&gt;999,999,-999)))</f>
        <v>-0.2</v>
      </c>
      <c r="E66" s="236">
        <v>28954658.446547724</v>
      </c>
      <c r="F66" s="236">
        <v>32289611.062169999</v>
      </c>
      <c r="G66" s="171">
        <f t="shared" ref="G66" si="25">IF(E66=0, "    ---- ", IF(ABS(ROUND(100/E66*F66-100,1))&lt;999,ROUND(100/E66*F66-100,1),IF(ROUND(100/E66*F66-100,1)&gt;999,999,-999)))</f>
        <v>11.5</v>
      </c>
      <c r="H66" s="329">
        <f t="shared" ref="H66:H86" si="26">SUM(B66,E66)</f>
        <v>37782636.973997727</v>
      </c>
      <c r="I66" s="329">
        <f t="shared" ref="I66:I86" si="27">SUM(C66,F66)</f>
        <v>41098577.848889999</v>
      </c>
      <c r="J66" s="24">
        <f t="shared" ref="J66:J111" si="28">IF(H66=0, "    ---- ", IF(ABS(ROUND(100/H66*I66-100,1))&lt;999,ROUND(100/H66*I66-100,1),IF(ROUND(100/H66*I66-100,1)&gt;999,999,-999)))</f>
        <v>8.8000000000000007</v>
      </c>
    </row>
    <row r="67" spans="1:10" ht="15.75" customHeight="1" x14ac:dyDescent="0.25">
      <c r="A67" s="21" t="s">
        <v>9</v>
      </c>
      <c r="B67" s="234">
        <v>7039212.4690300003</v>
      </c>
      <c r="C67" s="234">
        <v>6634618.941233987</v>
      </c>
      <c r="D67" s="241">
        <f t="shared" si="24"/>
        <v>-5.7</v>
      </c>
      <c r="E67" s="44">
        <v>0</v>
      </c>
      <c r="F67" s="44">
        <v>0</v>
      </c>
      <c r="G67" s="27"/>
      <c r="H67" s="237">
        <f t="shared" si="26"/>
        <v>7039212.4690300003</v>
      </c>
      <c r="I67" s="237">
        <f t="shared" si="27"/>
        <v>6634618.941233987</v>
      </c>
      <c r="J67" s="23">
        <f t="shared" si="28"/>
        <v>-5.7</v>
      </c>
    </row>
    <row r="68" spans="1:10" ht="15.75" customHeight="1" x14ac:dyDescent="0.25">
      <c r="A68" s="21" t="s">
        <v>10</v>
      </c>
      <c r="B68" s="234">
        <v>149078.27249</v>
      </c>
      <c r="C68" s="234">
        <v>146003.35967999999</v>
      </c>
      <c r="D68" s="241">
        <f t="shared" si="24"/>
        <v>-2.1</v>
      </c>
      <c r="E68" s="44">
        <v>28548246.69539772</v>
      </c>
      <c r="F68" s="44">
        <v>31851980.505620003</v>
      </c>
      <c r="G68" s="27">
        <f t="shared" ref="G68:G100" si="29">IF($A$1=4,IF(E68=0, "    ---- ", IF(ABS(ROUND(100/E68*F68-100,1))&lt;999,ROUND(100/E68*F68-100,1),IF(ROUND(100/E68*F68-100,1)&gt;999,999,-999))),"")</f>
        <v>11.6</v>
      </c>
      <c r="H68" s="237">
        <f t="shared" si="26"/>
        <v>28697324.967887718</v>
      </c>
      <c r="I68" s="237">
        <f t="shared" si="27"/>
        <v>31997983.865300003</v>
      </c>
      <c r="J68" s="23">
        <f t="shared" si="28"/>
        <v>11.5</v>
      </c>
    </row>
    <row r="69" spans="1:10" ht="15.75" customHeight="1" x14ac:dyDescent="0.2">
      <c r="A69" s="295" t="s">
        <v>466</v>
      </c>
      <c r="B69" s="44">
        <v>15709</v>
      </c>
      <c r="C69" s="44">
        <v>12362</v>
      </c>
      <c r="D69" s="27">
        <f>IF($A$1=4,IF(B69=0, "    ---- ", IF(ABS(ROUND(100/B69*C69-100,1))&lt;999,ROUND(100/B69*C69-100,1),IF(ROUND(100/B69*C69-100,1)&gt;999,999,-999))),"")</f>
        <v>-21.3</v>
      </c>
      <c r="E69" s="44">
        <v>3899.8900000000003</v>
      </c>
      <c r="F69" s="44">
        <v>3938.8940000000025</v>
      </c>
      <c r="G69" s="27">
        <f t="shared" si="29"/>
        <v>1</v>
      </c>
      <c r="H69" s="237">
        <f t="shared" si="26"/>
        <v>19608.89</v>
      </c>
      <c r="I69" s="237">
        <f t="shared" si="27"/>
        <v>16300.894000000002</v>
      </c>
      <c r="J69" s="23">
        <f t="shared" si="28"/>
        <v>-16.899999999999999</v>
      </c>
    </row>
    <row r="70" spans="1:10" ht="15.75" customHeight="1" x14ac:dyDescent="0.2">
      <c r="A70" s="295" t="s">
        <v>12</v>
      </c>
      <c r="B70" s="235">
        <v>0</v>
      </c>
      <c r="C70" s="235">
        <v>0</v>
      </c>
      <c r="D70" s="27"/>
      <c r="E70" s="44">
        <v>319.77999999999997</v>
      </c>
      <c r="F70" s="44">
        <v>10.2583379079623</v>
      </c>
      <c r="G70" s="27">
        <f t="shared" si="29"/>
        <v>-96.8</v>
      </c>
      <c r="H70" s="237">
        <f t="shared" si="26"/>
        <v>319.77999999999997</v>
      </c>
      <c r="I70" s="237">
        <f t="shared" si="27"/>
        <v>10.2583379079623</v>
      </c>
      <c r="J70" s="23">
        <f t="shared" si="28"/>
        <v>-96.8</v>
      </c>
    </row>
    <row r="71" spans="1:10" ht="15.75" customHeight="1" x14ac:dyDescent="0.2">
      <c r="A71" s="295" t="s">
        <v>13</v>
      </c>
      <c r="B71" s="235">
        <v>0</v>
      </c>
      <c r="C71" s="235">
        <v>0</v>
      </c>
      <c r="D71" s="27"/>
      <c r="E71" s="44">
        <v>3580.11</v>
      </c>
      <c r="F71" s="44">
        <v>3928.6356620920401</v>
      </c>
      <c r="G71" s="27">
        <f t="shared" si="29"/>
        <v>9.6999999999999993</v>
      </c>
      <c r="H71" s="237">
        <f t="shared" si="26"/>
        <v>3580.11</v>
      </c>
      <c r="I71" s="237">
        <f t="shared" si="27"/>
        <v>3928.6356620920401</v>
      </c>
      <c r="J71" s="23">
        <f t="shared" si="28"/>
        <v>9.6999999999999993</v>
      </c>
    </row>
    <row r="72" spans="1:10" ht="15.75" customHeight="1" x14ac:dyDescent="0.2">
      <c r="A72" s="295" t="s">
        <v>467</v>
      </c>
      <c r="B72" s="44">
        <v>133369.27249</v>
      </c>
      <c r="C72" s="44">
        <v>133641.35967999999</v>
      </c>
      <c r="D72" s="27">
        <f>IF($A$1=4,IF(B72=0, "    ---- ", IF(ABS(ROUND(100/B72*C72-100,1))&lt;999,ROUND(100/B72*C72-100,1),IF(ROUND(100/B72*C72-100,1)&gt;999,999,-999))),"")</f>
        <v>0.2</v>
      </c>
      <c r="E72" s="44">
        <v>28544346.805397719</v>
      </c>
      <c r="F72" s="44">
        <v>31848041.611620001</v>
      </c>
      <c r="G72" s="27">
        <f t="shared" si="29"/>
        <v>11.6</v>
      </c>
      <c r="H72" s="237">
        <f t="shared" si="26"/>
        <v>28677716.077887718</v>
      </c>
      <c r="I72" s="237">
        <f t="shared" si="27"/>
        <v>31981682.971300002</v>
      </c>
      <c r="J72" s="24">
        <f t="shared" si="28"/>
        <v>11.5</v>
      </c>
    </row>
    <row r="73" spans="1:10" ht="15.75" customHeight="1" x14ac:dyDescent="0.2">
      <c r="A73" s="295" t="s">
        <v>12</v>
      </c>
      <c r="B73" s="235">
        <v>0</v>
      </c>
      <c r="C73" s="235">
        <v>0</v>
      </c>
      <c r="D73" s="27"/>
      <c r="E73" s="44">
        <v>297829.19</v>
      </c>
      <c r="F73" s="44">
        <v>10865.243083850401</v>
      </c>
      <c r="G73" s="27">
        <f t="shared" si="29"/>
        <v>-96.4</v>
      </c>
      <c r="H73" s="237">
        <f t="shared" si="26"/>
        <v>297829.19</v>
      </c>
      <c r="I73" s="237">
        <f t="shared" si="27"/>
        <v>10865.243083850401</v>
      </c>
      <c r="J73" s="23">
        <f t="shared" si="28"/>
        <v>-96.4</v>
      </c>
    </row>
    <row r="74" spans="1:10" s="3" customFormat="1" ht="15.75" customHeight="1" x14ac:dyDescent="0.2">
      <c r="A74" s="295" t="s">
        <v>13</v>
      </c>
      <c r="B74" s="235">
        <v>0</v>
      </c>
      <c r="C74" s="235">
        <v>0</v>
      </c>
      <c r="D74" s="27"/>
      <c r="E74" s="44">
        <v>28246517.615397722</v>
      </c>
      <c r="F74" s="44">
        <v>31837176.368536152</v>
      </c>
      <c r="G74" s="27">
        <f t="shared" si="29"/>
        <v>12.7</v>
      </c>
      <c r="H74" s="237">
        <f t="shared" si="26"/>
        <v>28246517.615397722</v>
      </c>
      <c r="I74" s="237">
        <f t="shared" si="27"/>
        <v>31837176.368536152</v>
      </c>
      <c r="J74" s="23">
        <f t="shared" si="28"/>
        <v>12.7</v>
      </c>
    </row>
    <row r="75" spans="1:10" s="3" customFormat="1" ht="15.75" customHeight="1" x14ac:dyDescent="0.2">
      <c r="A75" s="21" t="s">
        <v>353</v>
      </c>
      <c r="B75" s="44">
        <v>322673.74612999998</v>
      </c>
      <c r="C75" s="44">
        <v>390399.33177000005</v>
      </c>
      <c r="D75" s="23">
        <f t="shared" si="24"/>
        <v>21</v>
      </c>
      <c r="E75" s="44">
        <v>406411.75115000003</v>
      </c>
      <c r="F75" s="44">
        <v>437630.55654999998</v>
      </c>
      <c r="G75" s="27">
        <f t="shared" si="29"/>
        <v>7.7</v>
      </c>
      <c r="H75" s="237">
        <f t="shared" si="26"/>
        <v>729085.49728000001</v>
      </c>
      <c r="I75" s="237">
        <f t="shared" si="27"/>
        <v>828029.88832000003</v>
      </c>
      <c r="J75" s="23">
        <f t="shared" si="28"/>
        <v>13.6</v>
      </c>
    </row>
    <row r="76" spans="1:10" s="3" customFormat="1" ht="15.75" customHeight="1" x14ac:dyDescent="0.2">
      <c r="A76" s="21" t="s">
        <v>352</v>
      </c>
      <c r="B76" s="44">
        <v>1317014.0397999999</v>
      </c>
      <c r="C76" s="44">
        <v>1637945.1540360139</v>
      </c>
      <c r="D76" s="23">
        <f t="shared" ref="D76" si="30">IF(B76=0, "    ---- ", IF(ABS(ROUND(100/B76*C76-100,1))&lt;999,ROUND(100/B76*C76-100,1),IF(ROUND(100/B76*C76-100,1)&gt;999,999,-999)))</f>
        <v>24.4</v>
      </c>
      <c r="E76" s="44">
        <v>0</v>
      </c>
      <c r="F76" s="44">
        <v>0</v>
      </c>
      <c r="G76" s="27"/>
      <c r="H76" s="237">
        <f t="shared" ref="H76" si="31">SUM(B76,E76)</f>
        <v>1317014.0397999999</v>
      </c>
      <c r="I76" s="237">
        <f t="shared" ref="I76" si="32">SUM(C76,F76)</f>
        <v>1637945.1540360139</v>
      </c>
      <c r="J76" s="23">
        <f t="shared" ref="J76" si="33">IF(H76=0, "    ---- ", IF(ABS(ROUND(100/H76*I76-100,1))&lt;999,ROUND(100/H76*I76-100,1),IF(ROUND(100/H76*I76-100,1)&gt;999,999,-999)))</f>
        <v>24.4</v>
      </c>
    </row>
    <row r="77" spans="1:10" ht="15.75" customHeight="1" x14ac:dyDescent="0.2">
      <c r="A77" s="21" t="s">
        <v>468</v>
      </c>
      <c r="B77" s="44">
        <v>7064435.9585199999</v>
      </c>
      <c r="C77" s="234">
        <v>6644058.5739139859</v>
      </c>
      <c r="D77" s="23">
        <f t="shared" si="24"/>
        <v>-6</v>
      </c>
      <c r="E77" s="44">
        <v>28535785.723200001</v>
      </c>
      <c r="F77" s="44">
        <v>31838433.432089999</v>
      </c>
      <c r="G77" s="27">
        <f t="shared" si="29"/>
        <v>11.6</v>
      </c>
      <c r="H77" s="237">
        <f t="shared" si="26"/>
        <v>35600221.681720003</v>
      </c>
      <c r="I77" s="237">
        <f t="shared" si="27"/>
        <v>38482492.006003983</v>
      </c>
      <c r="J77" s="23">
        <f t="shared" si="28"/>
        <v>8.1</v>
      </c>
    </row>
    <row r="78" spans="1:10" ht="15.75" customHeight="1" x14ac:dyDescent="0.2">
      <c r="A78" s="21" t="s">
        <v>9</v>
      </c>
      <c r="B78" s="44">
        <v>6919263.2070300002</v>
      </c>
      <c r="C78" s="234">
        <v>6502000.0872339867</v>
      </c>
      <c r="D78" s="23">
        <f t="shared" si="24"/>
        <v>-6</v>
      </c>
      <c r="E78" s="44">
        <v>0</v>
      </c>
      <c r="F78" s="44">
        <v>0</v>
      </c>
      <c r="G78" s="27"/>
      <c r="H78" s="237">
        <f t="shared" si="26"/>
        <v>6919263.2070300002</v>
      </c>
      <c r="I78" s="237">
        <f t="shared" si="27"/>
        <v>6502000.0872339867</v>
      </c>
      <c r="J78" s="23">
        <f t="shared" si="28"/>
        <v>-6</v>
      </c>
    </row>
    <row r="79" spans="1:10" ht="15.75" customHeight="1" x14ac:dyDescent="0.2">
      <c r="A79" s="21" t="s">
        <v>10</v>
      </c>
      <c r="B79" s="44">
        <v>145172.75149</v>
      </c>
      <c r="C79" s="145">
        <v>142058.48668</v>
      </c>
      <c r="D79" s="23">
        <f t="shared" si="24"/>
        <v>-2.1</v>
      </c>
      <c r="E79" s="44">
        <v>28535785.723200001</v>
      </c>
      <c r="F79" s="44">
        <v>31838433.432089999</v>
      </c>
      <c r="G79" s="27">
        <f t="shared" si="29"/>
        <v>11.6</v>
      </c>
      <c r="H79" s="237">
        <f t="shared" si="26"/>
        <v>28680958.474690001</v>
      </c>
      <c r="I79" s="237">
        <f t="shared" si="27"/>
        <v>31980491.91877</v>
      </c>
      <c r="J79" s="23">
        <f t="shared" si="28"/>
        <v>11.5</v>
      </c>
    </row>
    <row r="80" spans="1:10" ht="15.75" customHeight="1" x14ac:dyDescent="0.2">
      <c r="A80" s="295" t="s">
        <v>466</v>
      </c>
      <c r="B80" s="44"/>
      <c r="C80" s="44"/>
      <c r="D80" s="27"/>
      <c r="E80" s="44"/>
      <c r="F80" s="44"/>
      <c r="G80" s="27"/>
      <c r="H80" s="237"/>
      <c r="I80" s="237"/>
      <c r="J80" s="23"/>
    </row>
    <row r="81" spans="1:10" ht="15.75" customHeight="1" x14ac:dyDescent="0.2">
      <c r="A81" s="295" t="s">
        <v>12</v>
      </c>
      <c r="B81" s="235"/>
      <c r="C81" s="235"/>
      <c r="D81" s="27"/>
      <c r="E81" s="44"/>
      <c r="F81" s="44"/>
      <c r="G81" s="27"/>
      <c r="H81" s="237"/>
      <c r="I81" s="237"/>
      <c r="J81" s="23"/>
    </row>
    <row r="82" spans="1:10" ht="15.75" customHeight="1" x14ac:dyDescent="0.2">
      <c r="A82" s="295" t="s">
        <v>13</v>
      </c>
      <c r="B82" s="235"/>
      <c r="C82" s="235"/>
      <c r="D82" s="27"/>
      <c r="E82" s="44"/>
      <c r="F82" s="44"/>
      <c r="G82" s="27"/>
      <c r="H82" s="237"/>
      <c r="I82" s="237"/>
      <c r="J82" s="23"/>
    </row>
    <row r="83" spans="1:10" ht="15.75" customHeight="1" x14ac:dyDescent="0.2">
      <c r="A83" s="295" t="s">
        <v>467</v>
      </c>
      <c r="B83" s="44">
        <v>145172.75149</v>
      </c>
      <c r="C83" s="44">
        <v>142058.48668</v>
      </c>
      <c r="D83" s="27">
        <f t="shared" ref="D83" si="34">IF($A$1=4,IF(B83=0, "    ---- ", IF(ABS(ROUND(100/B83*C83-100,1))&lt;999,ROUND(100/B83*C83-100,1),IF(ROUND(100/B83*C83-100,1)&gt;999,999,-999))),"")</f>
        <v>-2.1</v>
      </c>
      <c r="E83" s="44">
        <v>28535785.723200001</v>
      </c>
      <c r="F83" s="44">
        <v>31838433.432089999</v>
      </c>
      <c r="G83" s="27">
        <f t="shared" si="29"/>
        <v>11.6</v>
      </c>
      <c r="H83" s="237">
        <f t="shared" si="26"/>
        <v>28680958.474690001</v>
      </c>
      <c r="I83" s="237">
        <f t="shared" si="27"/>
        <v>31980491.91877</v>
      </c>
      <c r="J83" s="24">
        <f t="shared" si="28"/>
        <v>11.5</v>
      </c>
    </row>
    <row r="84" spans="1:10" ht="15.75" customHeight="1" x14ac:dyDescent="0.2">
      <c r="A84" s="295" t="s">
        <v>12</v>
      </c>
      <c r="B84" s="235"/>
      <c r="C84" s="235"/>
      <c r="D84" s="27"/>
      <c r="E84" s="44">
        <v>297767.19407228002</v>
      </c>
      <c r="F84" s="44">
        <v>10865.243083850401</v>
      </c>
      <c r="G84" s="27">
        <f t="shared" si="29"/>
        <v>-96.4</v>
      </c>
      <c r="H84" s="237">
        <f t="shared" si="26"/>
        <v>297767.19407228002</v>
      </c>
      <c r="I84" s="237">
        <f t="shared" si="27"/>
        <v>10865.243083850401</v>
      </c>
      <c r="J84" s="23">
        <f t="shared" si="28"/>
        <v>-96.4</v>
      </c>
    </row>
    <row r="85" spans="1:10" ht="15.75" customHeight="1" x14ac:dyDescent="0.2">
      <c r="A85" s="295" t="s">
        <v>13</v>
      </c>
      <c r="B85" s="235"/>
      <c r="C85" s="235"/>
      <c r="D85" s="27"/>
      <c r="E85" s="44">
        <v>28238018.529127717</v>
      </c>
      <c r="F85" s="44">
        <v>31827568.18900615</v>
      </c>
      <c r="G85" s="27">
        <f t="shared" si="29"/>
        <v>12.7</v>
      </c>
      <c r="H85" s="237">
        <f t="shared" si="26"/>
        <v>28238018.529127717</v>
      </c>
      <c r="I85" s="237">
        <f t="shared" si="27"/>
        <v>31827568.18900615</v>
      </c>
      <c r="J85" s="23">
        <f t="shared" si="28"/>
        <v>12.7</v>
      </c>
    </row>
    <row r="86" spans="1:10" ht="15.75" customHeight="1" x14ac:dyDescent="0.2">
      <c r="A86" s="21" t="s">
        <v>469</v>
      </c>
      <c r="B86" s="234">
        <v>123854.783</v>
      </c>
      <c r="C86" s="234">
        <v>136563.72700000001</v>
      </c>
      <c r="D86" s="23">
        <f t="shared" si="24"/>
        <v>10.3</v>
      </c>
      <c r="E86" s="44">
        <v>12460.974269999999</v>
      </c>
      <c r="F86" s="44">
        <v>13547.57353</v>
      </c>
      <c r="G86" s="27">
        <f t="shared" si="29"/>
        <v>8.6999999999999993</v>
      </c>
      <c r="H86" s="237">
        <f t="shared" si="26"/>
        <v>136315.75727</v>
      </c>
      <c r="I86" s="237">
        <f t="shared" si="27"/>
        <v>150111.30053000001</v>
      </c>
      <c r="J86" s="23">
        <f t="shared" si="28"/>
        <v>10.1</v>
      </c>
    </row>
    <row r="87" spans="1:10" s="43" customFormat="1" ht="15.75" customHeight="1" x14ac:dyDescent="0.2">
      <c r="A87" s="13" t="s">
        <v>451</v>
      </c>
      <c r="B87" s="307">
        <v>386300595.53110218</v>
      </c>
      <c r="C87" s="307">
        <v>392024870.93138003</v>
      </c>
      <c r="D87" s="24">
        <f t="shared" si="24"/>
        <v>1.5</v>
      </c>
      <c r="E87" s="236">
        <v>246310125.87968564</v>
      </c>
      <c r="F87" s="236">
        <v>314589446.54096997</v>
      </c>
      <c r="G87" s="11">
        <f t="shared" si="29"/>
        <v>27.7</v>
      </c>
      <c r="H87" s="329">
        <f t="shared" ref="H87:H111" si="35">SUM(B87,E87)</f>
        <v>632610721.41078782</v>
      </c>
      <c r="I87" s="329">
        <f t="shared" ref="I87:I111" si="36">SUM(C87,F87)</f>
        <v>706614317.47235</v>
      </c>
      <c r="J87" s="24">
        <f t="shared" si="28"/>
        <v>11.7</v>
      </c>
    </row>
    <row r="88" spans="1:10" ht="15.75" customHeight="1" x14ac:dyDescent="0.2">
      <c r="A88" s="21" t="s">
        <v>9</v>
      </c>
      <c r="B88" s="234">
        <v>377313891.5395022</v>
      </c>
      <c r="C88" s="234">
        <v>382245306.46062005</v>
      </c>
      <c r="D88" s="23">
        <f t="shared" si="24"/>
        <v>1.3</v>
      </c>
      <c r="E88" s="44">
        <v>0</v>
      </c>
      <c r="F88" s="44">
        <v>0</v>
      </c>
      <c r="G88" s="27"/>
      <c r="H88" s="237">
        <f t="shared" si="35"/>
        <v>377313891.5395022</v>
      </c>
      <c r="I88" s="237">
        <f t="shared" si="36"/>
        <v>382245306.46062005</v>
      </c>
      <c r="J88" s="23">
        <f t="shared" si="28"/>
        <v>1.3</v>
      </c>
    </row>
    <row r="89" spans="1:10" ht="15.75" customHeight="1" x14ac:dyDescent="0.2">
      <c r="A89" s="21" t="s">
        <v>10</v>
      </c>
      <c r="B89" s="234">
        <v>2719861.9205399998</v>
      </c>
      <c r="C89" s="234">
        <v>2983522.41585</v>
      </c>
      <c r="D89" s="23">
        <f t="shared" si="24"/>
        <v>9.6999999999999993</v>
      </c>
      <c r="E89" s="44">
        <v>245299127.69542563</v>
      </c>
      <c r="F89" s="44">
        <v>313011680.88800001</v>
      </c>
      <c r="G89" s="27">
        <f t="shared" si="29"/>
        <v>27.6</v>
      </c>
      <c r="H89" s="237">
        <f t="shared" si="35"/>
        <v>248018989.61596563</v>
      </c>
      <c r="I89" s="237">
        <f t="shared" si="36"/>
        <v>315995203.30385</v>
      </c>
      <c r="J89" s="23">
        <f t="shared" si="28"/>
        <v>27.4</v>
      </c>
    </row>
    <row r="90" spans="1:10" ht="15.75" customHeight="1" x14ac:dyDescent="0.2">
      <c r="A90" s="295" t="s">
        <v>466</v>
      </c>
      <c r="B90" s="44">
        <v>0</v>
      </c>
      <c r="C90" s="44">
        <v>0</v>
      </c>
      <c r="D90" s="27"/>
      <c r="E90" s="44">
        <v>132527.61299999995</v>
      </c>
      <c r="F90" s="44">
        <v>122575.734</v>
      </c>
      <c r="G90" s="27">
        <f t="shared" si="29"/>
        <v>-7.5</v>
      </c>
      <c r="H90" s="237">
        <f t="shared" si="35"/>
        <v>132527.61299999995</v>
      </c>
      <c r="I90" s="237">
        <f t="shared" si="36"/>
        <v>122575.734</v>
      </c>
      <c r="J90" s="23">
        <f t="shared" si="28"/>
        <v>-7.5</v>
      </c>
    </row>
    <row r="91" spans="1:10" ht="15.75" customHeight="1" x14ac:dyDescent="0.2">
      <c r="A91" s="295" t="s">
        <v>12</v>
      </c>
      <c r="B91" s="235">
        <v>0</v>
      </c>
      <c r="C91" s="235">
        <v>0</v>
      </c>
      <c r="D91" s="27"/>
      <c r="E91" s="44">
        <v>112251.43877846126</v>
      </c>
      <c r="F91" s="44">
        <v>109590.83</v>
      </c>
      <c r="G91" s="27">
        <f t="shared" si="29"/>
        <v>-2.4</v>
      </c>
      <c r="H91" s="237">
        <f t="shared" si="35"/>
        <v>112251.43877846126</v>
      </c>
      <c r="I91" s="237">
        <f t="shared" si="36"/>
        <v>109590.83</v>
      </c>
      <c r="J91" s="23">
        <f t="shared" si="28"/>
        <v>-2.4</v>
      </c>
    </row>
    <row r="92" spans="1:10" ht="15.75" customHeight="1" x14ac:dyDescent="0.2">
      <c r="A92" s="295" t="s">
        <v>13</v>
      </c>
      <c r="B92" s="235">
        <v>0</v>
      </c>
      <c r="C92" s="235">
        <v>0</v>
      </c>
      <c r="D92" s="27"/>
      <c r="E92" s="44">
        <v>20276.174221538698</v>
      </c>
      <c r="F92" s="44">
        <v>12984.904</v>
      </c>
      <c r="G92" s="27">
        <f t="shared" si="29"/>
        <v>-36</v>
      </c>
      <c r="H92" s="237">
        <f t="shared" si="35"/>
        <v>20276.174221538698</v>
      </c>
      <c r="I92" s="237">
        <f t="shared" si="36"/>
        <v>12984.904</v>
      </c>
      <c r="J92" s="23">
        <f t="shared" si="28"/>
        <v>-36</v>
      </c>
    </row>
    <row r="93" spans="1:10" ht="15.75" customHeight="1" x14ac:dyDescent="0.2">
      <c r="A93" s="295" t="s">
        <v>467</v>
      </c>
      <c r="B93" s="44">
        <v>2719861.9205399998</v>
      </c>
      <c r="C93" s="44">
        <v>2983522.41585</v>
      </c>
      <c r="D93" s="27">
        <f t="shared" ref="D93" si="37">IF($A$1=4,IF(B93=0, "    ---- ", IF(ABS(ROUND(100/B93*C93-100,1))&lt;999,ROUND(100/B93*C93-100,1),IF(ROUND(100/B93*C93-100,1)&gt;999,999,-999))),"")</f>
        <v>9.6999999999999993</v>
      </c>
      <c r="E93" s="44">
        <v>245166600.08242565</v>
      </c>
      <c r="F93" s="44">
        <v>312889105.15400004</v>
      </c>
      <c r="G93" s="27">
        <f t="shared" si="29"/>
        <v>27.6</v>
      </c>
      <c r="H93" s="237">
        <f t="shared" si="35"/>
        <v>247886462.00296566</v>
      </c>
      <c r="I93" s="237">
        <f t="shared" si="36"/>
        <v>315872627.56985003</v>
      </c>
      <c r="J93" s="23">
        <f t="shared" si="28"/>
        <v>27.4</v>
      </c>
    </row>
    <row r="94" spans="1:10" ht="15.75" customHeight="1" x14ac:dyDescent="0.2">
      <c r="A94" s="295" t="s">
        <v>12</v>
      </c>
      <c r="B94" s="235">
        <v>0</v>
      </c>
      <c r="C94" s="235">
        <v>0</v>
      </c>
      <c r="D94" s="27"/>
      <c r="E94" s="44">
        <v>3117433.5457308502</v>
      </c>
      <c r="F94" s="44">
        <v>767903.82835549803</v>
      </c>
      <c r="G94" s="27">
        <f t="shared" si="29"/>
        <v>-75.400000000000006</v>
      </c>
      <c r="H94" s="237">
        <f t="shared" si="35"/>
        <v>3117433.5457308502</v>
      </c>
      <c r="I94" s="237">
        <f t="shared" si="36"/>
        <v>767903.82835549803</v>
      </c>
      <c r="J94" s="23">
        <f t="shared" si="28"/>
        <v>-75.400000000000006</v>
      </c>
    </row>
    <row r="95" spans="1:10" ht="15.75" customHeight="1" x14ac:dyDescent="0.2">
      <c r="A95" s="295" t="s">
        <v>13</v>
      </c>
      <c r="B95" s="235">
        <v>0</v>
      </c>
      <c r="C95" s="235">
        <v>0</v>
      </c>
      <c r="D95" s="27"/>
      <c r="E95" s="44">
        <v>242049166.53669479</v>
      </c>
      <c r="F95" s="44">
        <v>312121201.32564455</v>
      </c>
      <c r="G95" s="27">
        <f t="shared" si="29"/>
        <v>28.9</v>
      </c>
      <c r="H95" s="237">
        <f t="shared" si="35"/>
        <v>242049166.53669479</v>
      </c>
      <c r="I95" s="237">
        <f t="shared" si="36"/>
        <v>312121201.32564455</v>
      </c>
      <c r="J95" s="23">
        <f t="shared" si="28"/>
        <v>28.9</v>
      </c>
    </row>
    <row r="96" spans="1:10" ht="15.75" customHeight="1" x14ac:dyDescent="0.2">
      <c r="A96" s="21" t="s">
        <v>353</v>
      </c>
      <c r="B96" s="234">
        <v>839685.03784</v>
      </c>
      <c r="C96" s="234">
        <v>1401970.99077</v>
      </c>
      <c r="D96" s="23">
        <f t="shared" si="24"/>
        <v>67</v>
      </c>
      <c r="E96" s="44">
        <v>1010998.18426</v>
      </c>
      <c r="F96" s="44">
        <v>1577765.6529700002</v>
      </c>
      <c r="G96" s="27">
        <f t="shared" si="29"/>
        <v>56.1</v>
      </c>
      <c r="H96" s="237">
        <f t="shared" si="35"/>
        <v>1850683.2220999999</v>
      </c>
      <c r="I96" s="237">
        <f t="shared" si="36"/>
        <v>2979736.6437400002</v>
      </c>
      <c r="J96" s="23">
        <f t="shared" si="28"/>
        <v>61</v>
      </c>
    </row>
    <row r="97" spans="1:10" ht="15.75" customHeight="1" x14ac:dyDescent="0.2">
      <c r="A97" s="21" t="s">
        <v>352</v>
      </c>
      <c r="B97" s="234">
        <v>5427157.0332200006</v>
      </c>
      <c r="C97" s="234">
        <v>5394071.0641399994</v>
      </c>
      <c r="D97" s="23">
        <f t="shared" ref="D97" si="38">IF(B97=0, "    ---- ", IF(ABS(ROUND(100/B97*C97-100,1))&lt;999,ROUND(100/B97*C97-100,1),IF(ROUND(100/B97*C97-100,1)&gt;999,999,-999)))</f>
        <v>-0.6</v>
      </c>
      <c r="E97" s="44">
        <v>0</v>
      </c>
      <c r="F97" s="44">
        <v>0</v>
      </c>
      <c r="G97" s="27"/>
      <c r="H97" s="237">
        <f t="shared" ref="H97" si="39">SUM(B97,E97)</f>
        <v>5427157.0332200006</v>
      </c>
      <c r="I97" s="237">
        <f t="shared" ref="I97" si="40">SUM(C97,F97)</f>
        <v>5394071.0641399994</v>
      </c>
      <c r="J97" s="23">
        <f t="shared" ref="J97" si="41">IF(H97=0, "    ---- ", IF(ABS(ROUND(100/H97*I97-100,1))&lt;999,ROUND(100/H97*I97-100,1),IF(ROUND(100/H97*I97-100,1)&gt;999,999,-999)))</f>
        <v>-0.6</v>
      </c>
    </row>
    <row r="98" spans="1:10" ht="15.75" customHeight="1" x14ac:dyDescent="0.2">
      <c r="A98" s="21" t="s">
        <v>468</v>
      </c>
      <c r="B98" s="234">
        <v>375120175.86004221</v>
      </c>
      <c r="C98" s="234">
        <v>380634676.61555159</v>
      </c>
      <c r="D98" s="23">
        <f t="shared" si="24"/>
        <v>1.5</v>
      </c>
      <c r="E98" s="44">
        <v>244618794.42116565</v>
      </c>
      <c r="F98" s="44">
        <v>312130230.06105</v>
      </c>
      <c r="G98" s="27">
        <f t="shared" si="29"/>
        <v>27.6</v>
      </c>
      <c r="H98" s="237">
        <f t="shared" si="35"/>
        <v>619738970.2812078</v>
      </c>
      <c r="I98" s="237">
        <f t="shared" si="36"/>
        <v>692764906.67660165</v>
      </c>
      <c r="J98" s="23">
        <f t="shared" si="28"/>
        <v>11.8</v>
      </c>
    </row>
    <row r="99" spans="1:10" ht="15.75" customHeight="1" x14ac:dyDescent="0.2">
      <c r="A99" s="21" t="s">
        <v>9</v>
      </c>
      <c r="B99" s="234">
        <v>372400313.93950224</v>
      </c>
      <c r="C99" s="234">
        <v>377651153.87570161</v>
      </c>
      <c r="D99" s="23">
        <f t="shared" si="24"/>
        <v>1.4</v>
      </c>
      <c r="E99" s="44">
        <v>0</v>
      </c>
      <c r="F99" s="44">
        <v>0</v>
      </c>
      <c r="G99" s="27"/>
      <c r="H99" s="237">
        <f t="shared" si="35"/>
        <v>372400313.93950224</v>
      </c>
      <c r="I99" s="237">
        <f t="shared" si="36"/>
        <v>377651153.87570161</v>
      </c>
      <c r="J99" s="23">
        <f t="shared" si="28"/>
        <v>1.4</v>
      </c>
    </row>
    <row r="100" spans="1:10" ht="15.75" customHeight="1" x14ac:dyDescent="0.2">
      <c r="A100" s="21" t="s">
        <v>10</v>
      </c>
      <c r="B100" s="234">
        <v>2719861.9205399998</v>
      </c>
      <c r="C100" s="234">
        <v>2983522.73985</v>
      </c>
      <c r="D100" s="23">
        <f t="shared" si="24"/>
        <v>9.6999999999999993</v>
      </c>
      <c r="E100" s="44">
        <v>244618794.42116565</v>
      </c>
      <c r="F100" s="44">
        <v>312130230.06105</v>
      </c>
      <c r="G100" s="27">
        <f t="shared" si="29"/>
        <v>27.6</v>
      </c>
      <c r="H100" s="237">
        <f t="shared" si="35"/>
        <v>247338656.34170565</v>
      </c>
      <c r="I100" s="237">
        <f t="shared" si="36"/>
        <v>315113752.80089998</v>
      </c>
      <c r="J100" s="23">
        <f t="shared" si="28"/>
        <v>27.4</v>
      </c>
    </row>
    <row r="101" spans="1:10" ht="15.75" customHeight="1" x14ac:dyDescent="0.2">
      <c r="A101" s="295" t="s">
        <v>466</v>
      </c>
      <c r="B101" s="44"/>
      <c r="C101" s="44"/>
      <c r="D101" s="27"/>
      <c r="E101" s="44"/>
      <c r="F101" s="44"/>
      <c r="G101" s="27"/>
      <c r="H101" s="237"/>
      <c r="I101" s="237"/>
      <c r="J101" s="23"/>
    </row>
    <row r="102" spans="1:10" ht="15.75" customHeight="1" x14ac:dyDescent="0.2">
      <c r="A102" s="295" t="s">
        <v>12</v>
      </c>
      <c r="B102" s="235"/>
      <c r="C102" s="235"/>
      <c r="D102" s="27"/>
      <c r="E102" s="44"/>
      <c r="F102" s="44"/>
      <c r="G102" s="27"/>
      <c r="H102" s="237"/>
      <c r="I102" s="237"/>
      <c r="J102" s="23"/>
    </row>
    <row r="103" spans="1:10" ht="15.75" customHeight="1" x14ac:dyDescent="0.2">
      <c r="A103" s="295" t="s">
        <v>13</v>
      </c>
      <c r="B103" s="235"/>
      <c r="C103" s="235"/>
      <c r="D103" s="27"/>
      <c r="E103" s="44"/>
      <c r="F103" s="44"/>
      <c r="G103" s="27"/>
      <c r="H103" s="237"/>
      <c r="I103" s="237"/>
      <c r="J103" s="23"/>
    </row>
    <row r="104" spans="1:10" ht="15.75" customHeight="1" x14ac:dyDescent="0.2">
      <c r="A104" s="295" t="s">
        <v>467</v>
      </c>
      <c r="B104" s="44">
        <v>2719861.9205399998</v>
      </c>
      <c r="C104" s="44">
        <v>2983522.73985</v>
      </c>
      <c r="D104" s="27">
        <f t="shared" ref="D104" si="42">IF($A$1=4,IF(B104=0, "    ---- ", IF(ABS(ROUND(100/B104*C104-100,1))&lt;999,ROUND(100/B104*C104-100,1),IF(ROUND(100/B104*C104-100,1)&gt;999,999,-999))),"")</f>
        <v>9.6999999999999993</v>
      </c>
      <c r="E104" s="44">
        <v>244618794.42116565</v>
      </c>
      <c r="F104" s="44">
        <v>312130230.06105</v>
      </c>
      <c r="G104" s="27">
        <f t="shared" ref="G104:G125" si="43">IF($A$1=4,IF(E104=0, "    ---- ", IF(ABS(ROUND(100/E104*F104-100,1))&lt;999,ROUND(100/E104*F104-100,1),IF(ROUND(100/E104*F104-100,1)&gt;999,999,-999))),"")</f>
        <v>27.6</v>
      </c>
      <c r="H104" s="237">
        <f t="shared" si="35"/>
        <v>247338656.34170565</v>
      </c>
      <c r="I104" s="237">
        <f t="shared" si="36"/>
        <v>315113752.80089998</v>
      </c>
      <c r="J104" s="23">
        <f t="shared" si="28"/>
        <v>27.4</v>
      </c>
    </row>
    <row r="105" spans="1:10" ht="15.75" customHeight="1" x14ac:dyDescent="0.2">
      <c r="A105" s="295" t="s">
        <v>12</v>
      </c>
      <c r="B105" s="235"/>
      <c r="C105" s="235"/>
      <c r="D105" s="27"/>
      <c r="E105" s="44">
        <v>2633146.5457308502</v>
      </c>
      <c r="F105" s="44">
        <v>108023.828355498</v>
      </c>
      <c r="G105" s="27">
        <f t="shared" si="43"/>
        <v>-95.9</v>
      </c>
      <c r="H105" s="237">
        <f t="shared" si="35"/>
        <v>2633146.5457308502</v>
      </c>
      <c r="I105" s="237">
        <f t="shared" si="36"/>
        <v>108023.828355498</v>
      </c>
      <c r="J105" s="23">
        <f t="shared" si="28"/>
        <v>-95.9</v>
      </c>
    </row>
    <row r="106" spans="1:10" ht="15.75" customHeight="1" x14ac:dyDescent="0.2">
      <c r="A106" s="295" t="s">
        <v>13</v>
      </c>
      <c r="B106" s="235"/>
      <c r="C106" s="235"/>
      <c r="D106" s="27"/>
      <c r="E106" s="44">
        <v>241985647.87543479</v>
      </c>
      <c r="F106" s="44">
        <v>312022206.23269451</v>
      </c>
      <c r="G106" s="27">
        <f t="shared" si="43"/>
        <v>28.9</v>
      </c>
      <c r="H106" s="237">
        <f t="shared" si="35"/>
        <v>241985647.87543479</v>
      </c>
      <c r="I106" s="237">
        <f t="shared" si="36"/>
        <v>312022206.23269451</v>
      </c>
      <c r="J106" s="23">
        <f t="shared" si="28"/>
        <v>28.9</v>
      </c>
    </row>
    <row r="107" spans="1:10" ht="15.75" customHeight="1" x14ac:dyDescent="0.2">
      <c r="A107" s="21" t="s">
        <v>469</v>
      </c>
      <c r="B107" s="234">
        <v>4913577.5999999996</v>
      </c>
      <c r="C107" s="234">
        <v>4594151.9029999999</v>
      </c>
      <c r="D107" s="23">
        <f t="shared" si="24"/>
        <v>-6.5</v>
      </c>
      <c r="E107" s="44">
        <v>680333.12026</v>
      </c>
      <c r="F107" s="44">
        <v>881450.8269499999</v>
      </c>
      <c r="G107" s="27">
        <f t="shared" si="43"/>
        <v>29.6</v>
      </c>
      <c r="H107" s="237">
        <f t="shared" si="35"/>
        <v>5593910.7202599999</v>
      </c>
      <c r="I107" s="237">
        <f t="shared" si="36"/>
        <v>5475602.7299499996</v>
      </c>
      <c r="J107" s="23">
        <f t="shared" si="28"/>
        <v>-2.1</v>
      </c>
    </row>
    <row r="108" spans="1:10" ht="15.75" customHeight="1" x14ac:dyDescent="0.2">
      <c r="A108" s="21" t="s">
        <v>470</v>
      </c>
      <c r="B108" s="234">
        <v>311130944.60987401</v>
      </c>
      <c r="C108" s="234">
        <v>317653628.50031203</v>
      </c>
      <c r="D108" s="23">
        <f t="shared" si="24"/>
        <v>2.1</v>
      </c>
      <c r="E108" s="44">
        <v>15073862.995999999</v>
      </c>
      <c r="F108" s="44">
        <v>17108952.919</v>
      </c>
      <c r="G108" s="27">
        <f t="shared" si="43"/>
        <v>13.5</v>
      </c>
      <c r="H108" s="237">
        <f t="shared" si="35"/>
        <v>326204807.605874</v>
      </c>
      <c r="I108" s="237">
        <f t="shared" si="36"/>
        <v>334762581.419312</v>
      </c>
      <c r="J108" s="23">
        <f t="shared" si="28"/>
        <v>2.6</v>
      </c>
    </row>
    <row r="109" spans="1:10" ht="15.75" customHeight="1" x14ac:dyDescent="0.2">
      <c r="A109" s="21" t="s">
        <v>471</v>
      </c>
      <c r="B109" s="234">
        <v>885473.43558715901</v>
      </c>
      <c r="C109" s="234">
        <v>954147.97942770203</v>
      </c>
      <c r="D109" s="23">
        <f t="shared" si="24"/>
        <v>7.8</v>
      </c>
      <c r="E109" s="44">
        <v>80505371.361966997</v>
      </c>
      <c r="F109" s="44">
        <v>107434893.4410159</v>
      </c>
      <c r="G109" s="27">
        <f t="shared" si="43"/>
        <v>33.5</v>
      </c>
      <c r="H109" s="237">
        <f t="shared" si="35"/>
        <v>81390844.79755415</v>
      </c>
      <c r="I109" s="237">
        <f t="shared" si="36"/>
        <v>108389041.42044359</v>
      </c>
      <c r="J109" s="23">
        <f t="shared" si="28"/>
        <v>33.200000000000003</v>
      </c>
    </row>
    <row r="110" spans="1:10" ht="15.75" customHeight="1" x14ac:dyDescent="0.2">
      <c r="A110" s="21" t="s">
        <v>472</v>
      </c>
      <c r="B110" s="234">
        <v>131093.94711000001</v>
      </c>
      <c r="C110" s="234">
        <v>299042.01279000001</v>
      </c>
      <c r="D110" s="23">
        <f t="shared" si="24"/>
        <v>128.1</v>
      </c>
      <c r="E110" s="44">
        <v>0</v>
      </c>
      <c r="F110" s="44">
        <v>0</v>
      </c>
      <c r="G110" s="27"/>
      <c r="H110" s="237">
        <f t="shared" si="35"/>
        <v>131093.94711000001</v>
      </c>
      <c r="I110" s="237">
        <f t="shared" si="36"/>
        <v>299042.01279000001</v>
      </c>
      <c r="J110" s="23">
        <f t="shared" si="28"/>
        <v>128.1</v>
      </c>
    </row>
    <row r="111" spans="1:10" s="43" customFormat="1" ht="15.75" customHeight="1" x14ac:dyDescent="0.2">
      <c r="A111" s="13" t="s">
        <v>452</v>
      </c>
      <c r="B111" s="307">
        <v>539848.83570000005</v>
      </c>
      <c r="C111" s="307">
        <v>476617.47998</v>
      </c>
      <c r="D111" s="24">
        <f t="shared" si="24"/>
        <v>-11.7</v>
      </c>
      <c r="E111" s="236">
        <v>12496971.152389999</v>
      </c>
      <c r="F111" s="236">
        <v>13236727.65402</v>
      </c>
      <c r="G111" s="11">
        <f t="shared" si="43"/>
        <v>5.9</v>
      </c>
      <c r="H111" s="329">
        <f t="shared" si="35"/>
        <v>13036819.988089999</v>
      </c>
      <c r="I111" s="329">
        <f t="shared" si="36"/>
        <v>13713345.134</v>
      </c>
      <c r="J111" s="24">
        <f t="shared" si="28"/>
        <v>5.2</v>
      </c>
    </row>
    <row r="112" spans="1:10" ht="15.75" customHeight="1" x14ac:dyDescent="0.2">
      <c r="A112" s="21" t="s">
        <v>9</v>
      </c>
      <c r="B112" s="234">
        <v>477110.70183999999</v>
      </c>
      <c r="C112" s="234">
        <v>361428.31690999999</v>
      </c>
      <c r="D112" s="23">
        <f t="shared" ref="D112:D125" si="44">IF(B112=0, "    ---- ", IF(ABS(ROUND(100/B112*C112-100,1))&lt;999,ROUND(100/B112*C112-100,1),IF(ROUND(100/B112*C112-100,1)&gt;999,999,-999)))</f>
        <v>-24.2</v>
      </c>
      <c r="E112" s="44">
        <v>2884.6590000000001</v>
      </c>
      <c r="F112" s="44">
        <v>5989.8890000000001</v>
      </c>
      <c r="G112" s="27">
        <f t="shared" si="43"/>
        <v>107.6</v>
      </c>
      <c r="H112" s="237">
        <f t="shared" ref="H112:H125" si="45">SUM(B112,E112)</f>
        <v>479995.36083999998</v>
      </c>
      <c r="I112" s="237">
        <f t="shared" ref="I112:I125" si="46">SUM(C112,F112)</f>
        <v>367418.20591000002</v>
      </c>
      <c r="J112" s="23">
        <f t="shared" ref="J112:J125" si="47">IF(H112=0, "    ---- ", IF(ABS(ROUND(100/H112*I112-100,1))&lt;999,ROUND(100/H112*I112-100,1),IF(ROUND(100/H112*I112-100,1)&gt;999,999,-999)))</f>
        <v>-23.5</v>
      </c>
    </row>
    <row r="113" spans="1:10" ht="15.75" customHeight="1" x14ac:dyDescent="0.2">
      <c r="A113" s="21" t="s">
        <v>10</v>
      </c>
      <c r="B113" s="234">
        <v>2316.4471899999999</v>
      </c>
      <c r="C113" s="234">
        <v>1762.58835</v>
      </c>
      <c r="D113" s="23">
        <f t="shared" si="44"/>
        <v>-23.9</v>
      </c>
      <c r="E113" s="44">
        <v>12454872.058390001</v>
      </c>
      <c r="F113" s="44">
        <v>13199260.645659998</v>
      </c>
      <c r="G113" s="27">
        <f t="shared" si="43"/>
        <v>6</v>
      </c>
      <c r="H113" s="237">
        <f t="shared" si="45"/>
        <v>12457188.505580001</v>
      </c>
      <c r="I113" s="237">
        <f t="shared" si="46"/>
        <v>13201023.234009998</v>
      </c>
      <c r="J113" s="24">
        <f t="shared" si="47"/>
        <v>6</v>
      </c>
    </row>
    <row r="114" spans="1:10" ht="15.75" customHeight="1" x14ac:dyDescent="0.2">
      <c r="A114" s="21" t="s">
        <v>26</v>
      </c>
      <c r="B114" s="234">
        <v>60421.686669999996</v>
      </c>
      <c r="C114" s="234">
        <v>113426.57472</v>
      </c>
      <c r="D114" s="23">
        <f t="shared" si="44"/>
        <v>87.7</v>
      </c>
      <c r="E114" s="44">
        <v>39214.434999999998</v>
      </c>
      <c r="F114" s="44">
        <v>31477.119360000001</v>
      </c>
      <c r="G114" s="27">
        <f t="shared" si="43"/>
        <v>-19.7</v>
      </c>
      <c r="H114" s="237">
        <f t="shared" si="45"/>
        <v>99636.121669999993</v>
      </c>
      <c r="I114" s="237">
        <f t="shared" si="46"/>
        <v>144903.69408000002</v>
      </c>
      <c r="J114" s="24">
        <f t="shared" si="47"/>
        <v>45.4</v>
      </c>
    </row>
    <row r="115" spans="1:10" ht="15.75" customHeight="1" x14ac:dyDescent="0.2">
      <c r="A115" s="295" t="s">
        <v>15</v>
      </c>
      <c r="B115" s="44">
        <v>2970.64</v>
      </c>
      <c r="C115" s="44">
        <v>41</v>
      </c>
      <c r="D115" s="23">
        <f t="shared" si="44"/>
        <v>-98.6</v>
      </c>
      <c r="E115" s="44">
        <v>515452</v>
      </c>
      <c r="F115" s="44">
        <v>0</v>
      </c>
      <c r="G115" s="27">
        <f t="shared" si="43"/>
        <v>-100</v>
      </c>
      <c r="H115" s="237">
        <f t="shared" si="45"/>
        <v>518422.64</v>
      </c>
      <c r="I115" s="237">
        <f t="shared" si="46"/>
        <v>41</v>
      </c>
      <c r="J115" s="23">
        <f t="shared" si="47"/>
        <v>-100</v>
      </c>
    </row>
    <row r="116" spans="1:10" ht="15.75" customHeight="1" x14ac:dyDescent="0.2">
      <c r="A116" s="21" t="s">
        <v>473</v>
      </c>
      <c r="B116" s="234">
        <v>216654.71171999999</v>
      </c>
      <c r="C116" s="234">
        <v>132031.47513000001</v>
      </c>
      <c r="D116" s="23">
        <f t="shared" si="44"/>
        <v>-39.1</v>
      </c>
      <c r="E116" s="44">
        <v>2884.6590000000001</v>
      </c>
      <c r="F116" s="44">
        <v>5989.8890000000001</v>
      </c>
      <c r="G116" s="27">
        <f t="shared" si="43"/>
        <v>107.6</v>
      </c>
      <c r="H116" s="237">
        <f t="shared" si="45"/>
        <v>219539.37072000001</v>
      </c>
      <c r="I116" s="237">
        <f t="shared" si="46"/>
        <v>138021.36413</v>
      </c>
      <c r="J116" s="23">
        <f t="shared" si="47"/>
        <v>-37.1</v>
      </c>
    </row>
    <row r="117" spans="1:10" ht="15.75" customHeight="1" x14ac:dyDescent="0.2">
      <c r="A117" s="21" t="s">
        <v>474</v>
      </c>
      <c r="B117" s="234">
        <v>0</v>
      </c>
      <c r="C117" s="234">
        <v>0</v>
      </c>
      <c r="D117" s="23"/>
      <c r="E117" s="44">
        <v>2211030.2941999999</v>
      </c>
      <c r="F117" s="44">
        <v>3134117.36913</v>
      </c>
      <c r="G117" s="27">
        <f t="shared" si="43"/>
        <v>41.7</v>
      </c>
      <c r="H117" s="237">
        <f t="shared" si="45"/>
        <v>2211030.2941999999</v>
      </c>
      <c r="I117" s="237">
        <f t="shared" si="46"/>
        <v>3134117.36913</v>
      </c>
      <c r="J117" s="23">
        <f t="shared" si="47"/>
        <v>41.7</v>
      </c>
    </row>
    <row r="118" spans="1:10" ht="15.75" customHeight="1" x14ac:dyDescent="0.2">
      <c r="A118" s="21" t="s">
        <v>472</v>
      </c>
      <c r="B118" s="234">
        <v>0</v>
      </c>
      <c r="C118" s="234">
        <v>0</v>
      </c>
      <c r="D118" s="23"/>
      <c r="E118" s="44">
        <v>0</v>
      </c>
      <c r="F118" s="44">
        <v>0</v>
      </c>
      <c r="G118" s="27"/>
      <c r="H118" s="237">
        <f t="shared" si="45"/>
        <v>0</v>
      </c>
      <c r="I118" s="237">
        <f t="shared" si="46"/>
        <v>0</v>
      </c>
      <c r="J118" s="23"/>
    </row>
    <row r="119" spans="1:10" s="43" customFormat="1" ht="15.75" customHeight="1" x14ac:dyDescent="0.2">
      <c r="A119" s="13" t="s">
        <v>453</v>
      </c>
      <c r="B119" s="329">
        <v>600803.36812</v>
      </c>
      <c r="C119" s="329">
        <v>491675.87259000004</v>
      </c>
      <c r="D119" s="24">
        <f t="shared" si="44"/>
        <v>-18.2</v>
      </c>
      <c r="E119" s="236">
        <v>12756287.872939998</v>
      </c>
      <c r="F119" s="236">
        <v>13560237.3026</v>
      </c>
      <c r="G119" s="11">
        <f t="shared" si="43"/>
        <v>6.3</v>
      </c>
      <c r="H119" s="329">
        <f t="shared" si="45"/>
        <v>13357091.241059998</v>
      </c>
      <c r="I119" s="329">
        <f t="shared" si="46"/>
        <v>14051913.17519</v>
      </c>
      <c r="J119" s="24">
        <f t="shared" si="47"/>
        <v>5.2</v>
      </c>
    </row>
    <row r="120" spans="1:10" ht="15.75" customHeight="1" x14ac:dyDescent="0.2">
      <c r="A120" s="21" t="s">
        <v>9</v>
      </c>
      <c r="B120" s="237">
        <v>452538.97175999999</v>
      </c>
      <c r="C120" s="237">
        <v>282051.72159999999</v>
      </c>
      <c r="D120" s="23">
        <f t="shared" si="44"/>
        <v>-37.700000000000003</v>
      </c>
      <c r="E120" s="44">
        <v>0</v>
      </c>
      <c r="F120" s="44">
        <v>0</v>
      </c>
      <c r="G120" s="27"/>
      <c r="H120" s="237">
        <f t="shared" si="45"/>
        <v>452538.97175999999</v>
      </c>
      <c r="I120" s="237">
        <f t="shared" si="46"/>
        <v>282051.72159999999</v>
      </c>
      <c r="J120" s="23">
        <f t="shared" si="47"/>
        <v>-37.700000000000003</v>
      </c>
    </row>
    <row r="121" spans="1:10" ht="15.75" customHeight="1" x14ac:dyDescent="0.2">
      <c r="A121" s="21" t="s">
        <v>10</v>
      </c>
      <c r="B121" s="237">
        <v>35445.1512</v>
      </c>
      <c r="C121" s="237">
        <v>39151.085039999998</v>
      </c>
      <c r="D121" s="23">
        <f t="shared" si="44"/>
        <v>10.5</v>
      </c>
      <c r="E121" s="44">
        <v>12756287.872939998</v>
      </c>
      <c r="F121" s="44">
        <v>13560237.3026</v>
      </c>
      <c r="G121" s="27">
        <f t="shared" si="43"/>
        <v>6.3</v>
      </c>
      <c r="H121" s="237">
        <f t="shared" si="45"/>
        <v>12791733.024139998</v>
      </c>
      <c r="I121" s="237">
        <f t="shared" si="46"/>
        <v>13599388.387639999</v>
      </c>
      <c r="J121" s="23">
        <f t="shared" si="47"/>
        <v>6.3</v>
      </c>
    </row>
    <row r="122" spans="1:10" ht="15.75" customHeight="1" x14ac:dyDescent="0.2">
      <c r="A122" s="21" t="s">
        <v>26</v>
      </c>
      <c r="B122" s="237">
        <v>112819.24516000001</v>
      </c>
      <c r="C122" s="237">
        <v>170473.06595000002</v>
      </c>
      <c r="D122" s="23">
        <f t="shared" si="44"/>
        <v>51.1</v>
      </c>
      <c r="E122" s="44">
        <v>0</v>
      </c>
      <c r="F122" s="44">
        <v>0</v>
      </c>
      <c r="G122" s="27"/>
      <c r="H122" s="237">
        <f t="shared" si="45"/>
        <v>112819.24516000001</v>
      </c>
      <c r="I122" s="237">
        <f t="shared" si="46"/>
        <v>170473.06595000002</v>
      </c>
      <c r="J122" s="23">
        <f t="shared" si="47"/>
        <v>51.1</v>
      </c>
    </row>
    <row r="123" spans="1:10" ht="15.75" customHeight="1" x14ac:dyDescent="0.2">
      <c r="A123" s="295" t="s">
        <v>14</v>
      </c>
      <c r="B123" s="44">
        <v>0</v>
      </c>
      <c r="C123" s="44">
        <v>0</v>
      </c>
      <c r="D123" s="27"/>
      <c r="E123" s="44">
        <v>0</v>
      </c>
      <c r="F123" s="44">
        <v>0</v>
      </c>
      <c r="G123" s="27"/>
      <c r="H123" s="237">
        <f t="shared" si="45"/>
        <v>0</v>
      </c>
      <c r="I123" s="237">
        <f t="shared" si="46"/>
        <v>0</v>
      </c>
      <c r="J123" s="23"/>
    </row>
    <row r="124" spans="1:10" ht="15.75" customHeight="1" x14ac:dyDescent="0.2">
      <c r="A124" s="21" t="s">
        <v>470</v>
      </c>
      <c r="B124" s="237">
        <v>153957.92129999999</v>
      </c>
      <c r="C124" s="237">
        <v>79218.65260999999</v>
      </c>
      <c r="D124" s="23">
        <f t="shared" si="44"/>
        <v>-48.5</v>
      </c>
      <c r="E124" s="44">
        <v>28487.64</v>
      </c>
      <c r="F124" s="44">
        <v>29595.572</v>
      </c>
      <c r="G124" s="27">
        <f t="shared" si="43"/>
        <v>3.9</v>
      </c>
      <c r="H124" s="237">
        <f t="shared" si="45"/>
        <v>182445.5613</v>
      </c>
      <c r="I124" s="237">
        <f t="shared" si="46"/>
        <v>108814.22460999999</v>
      </c>
      <c r="J124" s="23">
        <f t="shared" si="47"/>
        <v>-40.4</v>
      </c>
    </row>
    <row r="125" spans="1:10" ht="15.75" customHeight="1" x14ac:dyDescent="0.2">
      <c r="A125" s="21" t="s">
        <v>471</v>
      </c>
      <c r="B125" s="237">
        <v>3556.2622900000001</v>
      </c>
      <c r="C125" s="237">
        <v>3599.6610599999999</v>
      </c>
      <c r="D125" s="23">
        <f t="shared" si="44"/>
        <v>1.2</v>
      </c>
      <c r="E125" s="44">
        <v>2133012.1412</v>
      </c>
      <c r="F125" s="44">
        <v>3112447.3871499998</v>
      </c>
      <c r="G125" s="27">
        <f t="shared" si="43"/>
        <v>45.9</v>
      </c>
      <c r="H125" s="237">
        <f t="shared" si="45"/>
        <v>2136568.4034899999</v>
      </c>
      <c r="I125" s="237">
        <f t="shared" si="46"/>
        <v>3116047.0482099997</v>
      </c>
      <c r="J125" s="23">
        <f t="shared" si="47"/>
        <v>45.8</v>
      </c>
    </row>
    <row r="126" spans="1:10" ht="15.75" customHeight="1" x14ac:dyDescent="0.2">
      <c r="A126" s="10" t="s">
        <v>472</v>
      </c>
      <c r="B126" s="238"/>
      <c r="C126" s="239"/>
      <c r="D126" s="22"/>
      <c r="E126" s="45"/>
      <c r="F126" s="45"/>
      <c r="G126" s="27"/>
      <c r="H126" s="238"/>
      <c r="I126" s="239"/>
      <c r="J126" s="22"/>
    </row>
    <row r="127" spans="1:10" ht="15.75" customHeight="1" x14ac:dyDescent="0.2">
      <c r="A127" s="155"/>
    </row>
    <row r="128" spans="1:10" ht="15.75" customHeight="1" x14ac:dyDescent="0.2">
      <c r="A128" s="149"/>
    </row>
    <row r="129" spans="1:10" ht="15.75" customHeight="1" x14ac:dyDescent="0.25">
      <c r="A129" s="165" t="s">
        <v>27</v>
      </c>
    </row>
    <row r="130" spans="1:10" ht="15.75" customHeight="1" x14ac:dyDescent="0.25">
      <c r="A130" s="149"/>
      <c r="B130" s="970"/>
      <c r="C130" s="970"/>
      <c r="D130" s="970"/>
      <c r="E130" s="970"/>
      <c r="F130" s="970"/>
      <c r="G130" s="970"/>
      <c r="H130" s="970"/>
      <c r="I130" s="970"/>
      <c r="J130" s="970"/>
    </row>
    <row r="131" spans="1:10" s="3" customFormat="1" ht="20.100000000000001" customHeight="1" x14ac:dyDescent="0.2">
      <c r="A131" s="144"/>
      <c r="B131" s="967" t="s">
        <v>0</v>
      </c>
      <c r="C131" s="968"/>
      <c r="D131" s="969"/>
      <c r="E131" s="968" t="s">
        <v>1</v>
      </c>
      <c r="F131" s="968"/>
      <c r="G131" s="968"/>
      <c r="H131" s="967" t="s">
        <v>2</v>
      </c>
      <c r="I131" s="968"/>
      <c r="J131" s="969"/>
    </row>
    <row r="132" spans="1:10" s="3" customFormat="1" ht="15.75" customHeight="1" x14ac:dyDescent="0.2">
      <c r="A132" s="140"/>
      <c r="B132" s="20" t="s">
        <v>492</v>
      </c>
      <c r="C132" s="20" t="s">
        <v>493</v>
      </c>
      <c r="D132" s="19" t="s">
        <v>3</v>
      </c>
      <c r="E132" s="20" t="s">
        <v>492</v>
      </c>
      <c r="F132" s="20" t="s">
        <v>493</v>
      </c>
      <c r="G132" s="19" t="s">
        <v>3</v>
      </c>
      <c r="H132" s="20" t="s">
        <v>492</v>
      </c>
      <c r="I132" s="20" t="s">
        <v>493</v>
      </c>
      <c r="J132" s="19" t="s">
        <v>3</v>
      </c>
    </row>
    <row r="133" spans="1:10" s="3" customFormat="1" ht="15.75" customHeight="1" x14ac:dyDescent="0.2">
      <c r="A133" s="947"/>
      <c r="B133" s="15"/>
      <c r="C133" s="15"/>
      <c r="D133" s="17" t="s">
        <v>4</v>
      </c>
      <c r="E133" s="16"/>
      <c r="F133" s="16"/>
      <c r="G133" s="15" t="s">
        <v>4</v>
      </c>
      <c r="H133" s="16"/>
      <c r="I133" s="16"/>
      <c r="J133" s="15" t="s">
        <v>4</v>
      </c>
    </row>
    <row r="134" spans="1:10" s="368" customFormat="1" ht="15.75" customHeight="1" x14ac:dyDescent="0.2">
      <c r="A134" s="14" t="s">
        <v>475</v>
      </c>
      <c r="B134" s="236">
        <v>43607514.193259999</v>
      </c>
      <c r="C134" s="236">
        <v>45460871.025120005</v>
      </c>
      <c r="D134" s="11">
        <f t="shared" ref="D134:D137" si="48">IF(B134=0, "    ---- ", IF(ABS(ROUND(100/B134*C134-100,1))&lt;999,ROUND(100/B134*C134-100,1),IF(ROUND(100/B134*C134-100,1)&gt;999,999,-999)))</f>
        <v>4.3</v>
      </c>
      <c r="E134" s="236">
        <v>148957.79199999999</v>
      </c>
      <c r="F134" s="236">
        <v>152808.77100000001</v>
      </c>
      <c r="G134" s="11">
        <f t="shared" ref="G134:G136" si="49">IF(E134=0, "    ---- ", IF(ABS(ROUND(100/E134*F134-100,1))&lt;999,ROUND(100/E134*F134-100,1),IF(ROUND(100/E134*F134-100,1)&gt;999,999,-999)))</f>
        <v>2.6</v>
      </c>
      <c r="H134" s="236">
        <f t="shared" ref="H134:I137" si="50">SUM(B134,E134)</f>
        <v>43756471.985260002</v>
      </c>
      <c r="I134" s="236">
        <f t="shared" si="50"/>
        <v>45613679.796120003</v>
      </c>
      <c r="J134" s="11">
        <f t="shared" ref="J134:J137" si="51">IF(H134=0, "    ---- ", IF(ABS(ROUND(100/H134*I134-100,1))&lt;999,ROUND(100/H134*I134-100,1),IF(ROUND(100/H134*I134-100,1)&gt;999,999,-999)))</f>
        <v>4.2</v>
      </c>
    </row>
    <row r="135" spans="1:10" s="368" customFormat="1" ht="15.75" customHeight="1" x14ac:dyDescent="0.2">
      <c r="A135" s="13" t="s">
        <v>476</v>
      </c>
      <c r="B135" s="236">
        <v>549293662.85705996</v>
      </c>
      <c r="C135" s="236">
        <v>586695944.14879</v>
      </c>
      <c r="D135" s="11">
        <f t="shared" si="48"/>
        <v>6.8</v>
      </c>
      <c r="E135" s="236">
        <v>2418695.24015</v>
      </c>
      <c r="F135" s="236">
        <v>2703759.0266499999</v>
      </c>
      <c r="G135" s="11">
        <f t="shared" si="49"/>
        <v>11.8</v>
      </c>
      <c r="H135" s="236">
        <f t="shared" si="50"/>
        <v>551712358.09720993</v>
      </c>
      <c r="I135" s="236">
        <f t="shared" si="50"/>
        <v>589399703.17543995</v>
      </c>
      <c r="J135" s="11">
        <f t="shared" si="51"/>
        <v>6.8</v>
      </c>
    </row>
    <row r="136" spans="1:10" s="368" customFormat="1" ht="15.75" customHeight="1" x14ac:dyDescent="0.2">
      <c r="A136" s="13" t="s">
        <v>477</v>
      </c>
      <c r="B136" s="236">
        <v>318088.91600000003</v>
      </c>
      <c r="C136" s="236">
        <v>86016.298999999999</v>
      </c>
      <c r="D136" s="11">
        <f t="shared" si="48"/>
        <v>-73</v>
      </c>
      <c r="E136" s="236">
        <v>-10.804</v>
      </c>
      <c r="F136" s="236">
        <v>31148.103999999999</v>
      </c>
      <c r="G136" s="11">
        <f t="shared" si="49"/>
        <v>-999</v>
      </c>
      <c r="H136" s="236">
        <f t="shared" si="50"/>
        <v>318078.11200000002</v>
      </c>
      <c r="I136" s="236">
        <f t="shared" si="50"/>
        <v>117164.40299999999</v>
      </c>
      <c r="J136" s="11">
        <f t="shared" si="51"/>
        <v>-63.2</v>
      </c>
    </row>
    <row r="137" spans="1:10" s="368" customFormat="1" ht="15.75" customHeight="1" x14ac:dyDescent="0.2">
      <c r="A137" s="41" t="s">
        <v>478</v>
      </c>
      <c r="B137" s="275">
        <v>496739.50099999999</v>
      </c>
      <c r="C137" s="275">
        <v>291578.90500000003</v>
      </c>
      <c r="D137" s="9">
        <f t="shared" si="48"/>
        <v>-41.3</v>
      </c>
      <c r="E137" s="275">
        <v>0</v>
      </c>
      <c r="F137" s="275">
        <v>0</v>
      </c>
      <c r="G137" s="9"/>
      <c r="H137" s="275">
        <f t="shared" si="50"/>
        <v>496739.50099999999</v>
      </c>
      <c r="I137" s="275">
        <f t="shared" si="50"/>
        <v>291578.90500000003</v>
      </c>
      <c r="J137" s="9">
        <f t="shared" si="51"/>
        <v>-41.3</v>
      </c>
    </row>
    <row r="138" spans="1:10" s="3" customFormat="1" ht="15.75" customHeight="1" x14ac:dyDescent="0.2">
      <c r="A138" s="8"/>
      <c r="E138" s="7"/>
      <c r="F138" s="7"/>
      <c r="G138" s="6"/>
      <c r="H138" s="7"/>
      <c r="I138" s="7"/>
      <c r="J138" s="6"/>
    </row>
    <row r="139" spans="1:10" ht="15.75" customHeight="1" x14ac:dyDescent="0.2"/>
    <row r="140" spans="1:10" ht="15.75" customHeight="1" x14ac:dyDescent="0.2"/>
    <row r="141" spans="1:10" ht="15.75" customHeight="1" x14ac:dyDescent="0.2"/>
    <row r="142" spans="1:10" ht="15.75" customHeight="1" x14ac:dyDescent="0.2"/>
    <row r="143" spans="1:10" ht="15.75" customHeight="1" x14ac:dyDescent="0.2"/>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sheetData>
  <mergeCells count="27">
    <mergeCell ref="B18:D18"/>
    <mergeCell ref="E18:G18"/>
    <mergeCell ref="H18:J18"/>
    <mergeCell ref="B2:D2"/>
    <mergeCell ref="E2:G2"/>
    <mergeCell ref="H2:J2"/>
    <mergeCell ref="B4:D4"/>
    <mergeCell ref="E4:G4"/>
    <mergeCell ref="H4:J4"/>
    <mergeCell ref="B63:D63"/>
    <mergeCell ref="E63:G63"/>
    <mergeCell ref="H63:J63"/>
    <mergeCell ref="B19:D19"/>
    <mergeCell ref="E19:G19"/>
    <mergeCell ref="H19:J19"/>
    <mergeCell ref="B62:D62"/>
    <mergeCell ref="E62:G62"/>
    <mergeCell ref="H62:J62"/>
    <mergeCell ref="B42:D42"/>
    <mergeCell ref="E42:G42"/>
    <mergeCell ref="H42:J42"/>
    <mergeCell ref="B131:D131"/>
    <mergeCell ref="E131:G131"/>
    <mergeCell ref="H131:J131"/>
    <mergeCell ref="B130:D130"/>
    <mergeCell ref="E130:G130"/>
    <mergeCell ref="H130:J130"/>
  </mergeCells>
  <conditionalFormatting sqref="H101:I106">
    <cfRule type="expression" dxfId="1476" priority="46">
      <formula>kvartal&lt;4</formula>
    </cfRule>
  </conditionalFormatting>
  <conditionalFormatting sqref="H69:I74">
    <cfRule type="expression" dxfId="1475" priority="54">
      <formula>kvartal&lt;4</formula>
    </cfRule>
  </conditionalFormatting>
  <conditionalFormatting sqref="H80:I85">
    <cfRule type="expression" dxfId="1474" priority="51">
      <formula>kvartal&lt;4</formula>
    </cfRule>
  </conditionalFormatting>
  <conditionalFormatting sqref="H90:I95">
    <cfRule type="expression" dxfId="1473" priority="47">
      <formula>kvartal&lt;4</formula>
    </cfRule>
  </conditionalFormatting>
  <conditionalFormatting sqref="H115:I115">
    <cfRule type="expression" dxfId="1472" priority="45">
      <formula>kvartal&lt;4</formula>
    </cfRule>
  </conditionalFormatting>
  <conditionalFormatting sqref="H123:I123">
    <cfRule type="expression" dxfId="1471" priority="44">
      <formula>kvartal&lt;4</formula>
    </cfRule>
  </conditionalFormatting>
  <conditionalFormatting sqref="A50:A52">
    <cfRule type="expression" dxfId="1470" priority="40">
      <formula>kvartal &lt; 4</formula>
    </cfRule>
  </conditionalFormatting>
  <conditionalFormatting sqref="A69:A74">
    <cfRule type="expression" dxfId="1469" priority="38">
      <formula>kvartal &lt; 4</formula>
    </cfRule>
  </conditionalFormatting>
  <conditionalFormatting sqref="A80:A85">
    <cfRule type="expression" dxfId="1468" priority="37">
      <formula>kvartal &lt; 4</formula>
    </cfRule>
  </conditionalFormatting>
  <conditionalFormatting sqref="A90:A95">
    <cfRule type="expression" dxfId="1467" priority="34">
      <formula>kvartal &lt; 4</formula>
    </cfRule>
  </conditionalFormatting>
  <conditionalFormatting sqref="A101:A106">
    <cfRule type="expression" dxfId="1466" priority="33">
      <formula>kvartal &lt; 4</formula>
    </cfRule>
  </conditionalFormatting>
  <conditionalFormatting sqref="A115">
    <cfRule type="expression" dxfId="1465" priority="32">
      <formula>kvartal &lt; 4</formula>
    </cfRule>
  </conditionalFormatting>
  <conditionalFormatting sqref="A123">
    <cfRule type="expression" dxfId="1464" priority="31">
      <formula>kvartal &lt; 4</formula>
    </cfRule>
  </conditionalFormatting>
  <conditionalFormatting sqref="B50:C52">
    <cfRule type="expression" dxfId="1463" priority="24">
      <formula>kvartal&lt;4</formula>
    </cfRule>
  </conditionalFormatting>
  <conditionalFormatting sqref="B69:C69">
    <cfRule type="expression" dxfId="1462" priority="22">
      <formula>kvartal&lt;4</formula>
    </cfRule>
  </conditionalFormatting>
  <conditionalFormatting sqref="B72:C72">
    <cfRule type="expression" dxfId="1461" priority="21">
      <formula>kvartal&lt;4</formula>
    </cfRule>
  </conditionalFormatting>
  <conditionalFormatting sqref="B80:C80">
    <cfRule type="expression" dxfId="1460" priority="20">
      <formula>kvartal&lt;4</formula>
    </cfRule>
  </conditionalFormatting>
  <conditionalFormatting sqref="B83:C83">
    <cfRule type="expression" dxfId="1459" priority="19">
      <formula>kvartal&lt;4</formula>
    </cfRule>
  </conditionalFormatting>
  <conditionalFormatting sqref="B90:C90">
    <cfRule type="expression" dxfId="1458" priority="14">
      <formula>kvartal&lt;4</formula>
    </cfRule>
  </conditionalFormatting>
  <conditionalFormatting sqref="B93:C93">
    <cfRule type="expression" dxfId="1457" priority="13">
      <formula>kvartal&lt;4</formula>
    </cfRule>
  </conditionalFormatting>
  <conditionalFormatting sqref="B101:C101">
    <cfRule type="expression" dxfId="1456" priority="12">
      <formula>kvartal&lt;4</formula>
    </cfRule>
  </conditionalFormatting>
  <conditionalFormatting sqref="B104:C104">
    <cfRule type="expression" dxfId="1455" priority="11">
      <formula>kvartal&lt;4</formula>
    </cfRule>
  </conditionalFormatting>
  <conditionalFormatting sqref="B115:C115">
    <cfRule type="expression" dxfId="1454" priority="10">
      <formula>kvartal&lt;4</formula>
    </cfRule>
  </conditionalFormatting>
  <conditionalFormatting sqref="B123:C123">
    <cfRule type="expression" dxfId="1453" priority="9">
      <formula>kvartal&lt;4</formula>
    </cfRule>
  </conditionalFormatting>
  <conditionalFormatting sqref="E69:F74">
    <cfRule type="expression" dxfId="1452" priority="8">
      <formula>kvartal&lt;4</formula>
    </cfRule>
  </conditionalFormatting>
  <conditionalFormatting sqref="E80:F85">
    <cfRule type="expression" dxfId="1451" priority="7">
      <formula>kvartal&lt;4</formula>
    </cfRule>
  </conditionalFormatting>
  <conditionalFormatting sqref="E90:F95">
    <cfRule type="expression" dxfId="1450" priority="4">
      <formula>kvartal&lt;4</formula>
    </cfRule>
  </conditionalFormatting>
  <conditionalFormatting sqref="E101:F106">
    <cfRule type="expression" dxfId="1449" priority="3">
      <formula>kvartal&lt;4</formula>
    </cfRule>
  </conditionalFormatting>
  <conditionalFormatting sqref="E115:F115">
    <cfRule type="expression" dxfId="1448" priority="2">
      <formula>kvartal&lt;4</formula>
    </cfRule>
  </conditionalFormatting>
  <conditionalFormatting sqref="E123:F123">
    <cfRule type="expression" dxfId="1447" priority="1">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N144"/>
  <sheetViews>
    <sheetView showGridLines="0" zoomScaleNormal="100" workbookViewId="0">
      <selection activeCell="B1" sqref="B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139</v>
      </c>
      <c r="B1" s="945"/>
      <c r="C1" s="248" t="s">
        <v>86</v>
      </c>
      <c r="D1" s="26"/>
      <c r="E1" s="26"/>
      <c r="F1" s="26"/>
      <c r="G1" s="26"/>
      <c r="H1" s="26"/>
      <c r="I1" s="26"/>
      <c r="J1" s="26"/>
      <c r="K1" s="26"/>
      <c r="L1" s="26"/>
      <c r="M1" s="26"/>
    </row>
    <row r="2" spans="1:14" ht="15.75" x14ac:dyDescent="0.25">
      <c r="A2" s="165" t="s">
        <v>28</v>
      </c>
      <c r="B2" s="972"/>
      <c r="C2" s="972"/>
      <c r="D2" s="972"/>
      <c r="E2" s="357"/>
      <c r="F2" s="972"/>
      <c r="G2" s="972"/>
      <c r="H2" s="972"/>
      <c r="I2" s="357"/>
      <c r="J2" s="972"/>
      <c r="K2" s="972"/>
      <c r="L2" s="972"/>
      <c r="M2" s="357"/>
    </row>
    <row r="3" spans="1:14" ht="15.75" x14ac:dyDescent="0.25">
      <c r="A3" s="163"/>
      <c r="B3" s="357"/>
      <c r="C3" s="357"/>
      <c r="D3" s="357"/>
      <c r="E3" s="357"/>
      <c r="F3" s="357"/>
      <c r="G3" s="357"/>
      <c r="H3" s="357"/>
      <c r="I3" s="357"/>
      <c r="J3" s="357"/>
      <c r="K3" s="357"/>
      <c r="L3" s="357"/>
      <c r="M3" s="357"/>
    </row>
    <row r="4" spans="1:14" x14ac:dyDescent="0.2">
      <c r="A4" s="144"/>
      <c r="B4" s="973" t="s">
        <v>0</v>
      </c>
      <c r="C4" s="974"/>
      <c r="D4" s="974"/>
      <c r="E4" s="356"/>
      <c r="F4" s="973" t="s">
        <v>1</v>
      </c>
      <c r="G4" s="974"/>
      <c r="H4" s="974"/>
      <c r="I4" s="359"/>
      <c r="J4" s="973" t="s">
        <v>2</v>
      </c>
      <c r="K4" s="974"/>
      <c r="L4" s="974"/>
      <c r="M4" s="359"/>
    </row>
    <row r="5" spans="1:14" x14ac:dyDescent="0.2">
      <c r="A5" s="158"/>
      <c r="B5" s="152" t="s">
        <v>492</v>
      </c>
      <c r="C5" s="152" t="s">
        <v>493</v>
      </c>
      <c r="D5" s="245" t="s">
        <v>3</v>
      </c>
      <c r="E5" s="304" t="s">
        <v>29</v>
      </c>
      <c r="F5" s="152" t="s">
        <v>492</v>
      </c>
      <c r="G5" s="152" t="s">
        <v>493</v>
      </c>
      <c r="H5" s="245" t="s">
        <v>3</v>
      </c>
      <c r="I5" s="162" t="s">
        <v>29</v>
      </c>
      <c r="J5" s="152" t="s">
        <v>492</v>
      </c>
      <c r="K5" s="152" t="s">
        <v>493</v>
      </c>
      <c r="L5" s="245" t="s">
        <v>3</v>
      </c>
      <c r="M5" s="162" t="s">
        <v>29</v>
      </c>
    </row>
    <row r="6" spans="1:14" x14ac:dyDescent="0.2">
      <c r="A6" s="946"/>
      <c r="B6" s="156"/>
      <c r="C6" s="156"/>
      <c r="D6" s="246" t="s">
        <v>4</v>
      </c>
      <c r="E6" s="156" t="s">
        <v>30</v>
      </c>
      <c r="F6" s="161"/>
      <c r="G6" s="161"/>
      <c r="H6" s="245" t="s">
        <v>4</v>
      </c>
      <c r="I6" s="156" t="s">
        <v>30</v>
      </c>
      <c r="J6" s="161"/>
      <c r="K6" s="161"/>
      <c r="L6" s="245" t="s">
        <v>4</v>
      </c>
      <c r="M6" s="156" t="s">
        <v>30</v>
      </c>
    </row>
    <row r="7" spans="1:14" ht="15.75" x14ac:dyDescent="0.2">
      <c r="A7" s="14" t="s">
        <v>23</v>
      </c>
      <c r="B7" s="305">
        <v>283172.55099999998</v>
      </c>
      <c r="C7" s="306">
        <v>281940.875</v>
      </c>
      <c r="D7" s="349">
        <f>IF(B7=0, "    ---- ", IF(ABS(ROUND(100/B7*C7-100,1))&lt;999,ROUND(100/B7*C7-100,1),IF(ROUND(100/B7*C7-100,1)&gt;999,999,-999)))</f>
        <v>-0.4</v>
      </c>
      <c r="E7" s="11">
        <f>IFERROR(100/'Skjema total MA'!C7*C7,0)</f>
        <v>5.9959043372584624</v>
      </c>
      <c r="F7" s="305">
        <v>353361.70699999999</v>
      </c>
      <c r="G7" s="306">
        <v>306440.17599999998</v>
      </c>
      <c r="H7" s="349">
        <f>IF(F7=0, "    ---- ", IF(ABS(ROUND(100/F7*G7-100,1))&lt;999,ROUND(100/F7*G7-100,1),IF(ROUND(100/F7*G7-100,1)&gt;999,999,-999)))</f>
        <v>-13.3</v>
      </c>
      <c r="I7" s="160">
        <f>IFERROR(100/'Skjema total MA'!F7*G7,0)</f>
        <v>2.9332251201031472</v>
      </c>
      <c r="J7" s="307">
        <f t="shared" ref="J7:K12" si="0">SUM(B7,F7)</f>
        <v>636534.25799999991</v>
      </c>
      <c r="K7" s="308">
        <f t="shared" si="0"/>
        <v>588381.05099999998</v>
      </c>
      <c r="L7" s="372">
        <f>IF(J7=0, "    ---- ", IF(ABS(ROUND(100/J7*K7-100,1))&lt;999,ROUND(100/J7*K7-100,1),IF(ROUND(100/J7*K7-100,1)&gt;999,999,-999)))</f>
        <v>-7.6</v>
      </c>
      <c r="M7" s="11">
        <f>IFERROR(100/'Skjema total MA'!I7*K7,0)</f>
        <v>3.883848416898084</v>
      </c>
    </row>
    <row r="8" spans="1:14" ht="15.75" x14ac:dyDescent="0.2">
      <c r="A8" s="21" t="s">
        <v>25</v>
      </c>
      <c r="B8" s="280">
        <v>136157.71</v>
      </c>
      <c r="C8" s="281">
        <v>134764.45000000001</v>
      </c>
      <c r="D8" s="166">
        <f t="shared" ref="D8:D10" si="1">IF(B8=0, "    ---- ", IF(ABS(ROUND(100/B8*C8-100,1))&lt;999,ROUND(100/B8*C8-100,1),IF(ROUND(100/B8*C8-100,1)&gt;999,999,-999)))</f>
        <v>-1</v>
      </c>
      <c r="E8" s="27">
        <f>IFERROR(100/'Skjema total MA'!C8*C8,0)</f>
        <v>4.7978349910608262</v>
      </c>
      <c r="F8" s="284"/>
      <c r="G8" s="285"/>
      <c r="H8" s="166"/>
      <c r="I8" s="175"/>
      <c r="J8" s="234">
        <f t="shared" si="0"/>
        <v>136157.71</v>
      </c>
      <c r="K8" s="286">
        <f t="shared" si="0"/>
        <v>134764.45000000001</v>
      </c>
      <c r="L8" s="166">
        <f t="shared" ref="L8:L9" si="2">IF(J8=0, "    ---- ", IF(ABS(ROUND(100/J8*K8-100,1))&lt;999,ROUND(100/J8*K8-100,1),IF(ROUND(100/J8*K8-100,1)&gt;999,999,-999)))</f>
        <v>-1</v>
      </c>
      <c r="M8" s="27">
        <f>IFERROR(100/'Skjema total MA'!I8*K8,0)</f>
        <v>4.7978349910608262</v>
      </c>
    </row>
    <row r="9" spans="1:14" ht="15.75" x14ac:dyDescent="0.2">
      <c r="A9" s="21" t="s">
        <v>24</v>
      </c>
      <c r="B9" s="280">
        <v>73497.850000000006</v>
      </c>
      <c r="C9" s="281">
        <v>68803.691000000006</v>
      </c>
      <c r="D9" s="166">
        <f t="shared" si="1"/>
        <v>-6.4</v>
      </c>
      <c r="E9" s="27">
        <f>IFERROR(100/'Skjema total MA'!C9*C9,0)</f>
        <v>6.9872532200966964</v>
      </c>
      <c r="F9" s="284"/>
      <c r="G9" s="285"/>
      <c r="H9" s="166"/>
      <c r="I9" s="175"/>
      <c r="J9" s="234">
        <f t="shared" si="0"/>
        <v>73497.850000000006</v>
      </c>
      <c r="K9" s="286">
        <f t="shared" si="0"/>
        <v>68803.691000000006</v>
      </c>
      <c r="L9" s="166">
        <f t="shared" si="2"/>
        <v>-6.4</v>
      </c>
      <c r="M9" s="27">
        <f>IFERROR(100/'Skjema total MA'!I9*K9,0)</f>
        <v>6.9872532200966964</v>
      </c>
    </row>
    <row r="10" spans="1:14" ht="15.75" x14ac:dyDescent="0.2">
      <c r="A10" s="13" t="s">
        <v>451</v>
      </c>
      <c r="B10" s="309">
        <v>337497.73599999998</v>
      </c>
      <c r="C10" s="310">
        <v>311542.712</v>
      </c>
      <c r="D10" s="171">
        <f t="shared" si="1"/>
        <v>-7.7</v>
      </c>
      <c r="E10" s="11">
        <f>IFERROR(100/'Skjema total MA'!C10*C10,0)</f>
        <v>1.473652318115042</v>
      </c>
      <c r="F10" s="309">
        <v>2385228.6770000001</v>
      </c>
      <c r="G10" s="310">
        <v>2674486</v>
      </c>
      <c r="H10" s="171">
        <f t="shared" ref="H10:H12" si="3">IF(F10=0, "    ---- ", IF(ABS(ROUND(100/F10*G10-100,1))&lt;999,ROUND(100/F10*G10-100,1),IF(ROUND(100/F10*G10-100,1)&gt;999,999,-999)))</f>
        <v>12.1</v>
      </c>
      <c r="I10" s="160">
        <f>IFERROR(100/'Skjema total MA'!F10*G10,0)</f>
        <v>5.0483315512576921</v>
      </c>
      <c r="J10" s="307">
        <f t="shared" si="0"/>
        <v>2722726.4130000002</v>
      </c>
      <c r="K10" s="308">
        <f t="shared" si="0"/>
        <v>2986028.7119999998</v>
      </c>
      <c r="L10" s="373">
        <f t="shared" ref="L10:L12" si="4">IF(J10=0, "    ---- ", IF(ABS(ROUND(100/J10*K10-100,1))&lt;999,ROUND(100/J10*K10-100,1),IF(ROUND(100/J10*K10-100,1)&gt;999,999,-999)))</f>
        <v>9.6999999999999993</v>
      </c>
      <c r="M10" s="11">
        <f>IFERROR(100/'Skjema total MA'!I10*K10,0)</f>
        <v>4.0287237469769526</v>
      </c>
    </row>
    <row r="11" spans="1:14" s="43" customFormat="1" ht="15.75" x14ac:dyDescent="0.2">
      <c r="A11" s="13" t="s">
        <v>452</v>
      </c>
      <c r="B11" s="309"/>
      <c r="C11" s="310"/>
      <c r="D11" s="171"/>
      <c r="E11" s="11"/>
      <c r="F11" s="309">
        <v>17787.649000000001</v>
      </c>
      <c r="G11" s="310">
        <v>31750.382000000001</v>
      </c>
      <c r="H11" s="171">
        <f t="shared" si="3"/>
        <v>78.5</v>
      </c>
      <c r="I11" s="160">
        <f>IFERROR(100/'Skjema total MA'!F11*G11,0)</f>
        <v>7.6933258281251122</v>
      </c>
      <c r="J11" s="307">
        <f t="shared" si="0"/>
        <v>17787.649000000001</v>
      </c>
      <c r="K11" s="308">
        <f t="shared" si="0"/>
        <v>31750.382000000001</v>
      </c>
      <c r="L11" s="373">
        <f t="shared" si="4"/>
        <v>78.5</v>
      </c>
      <c r="M11" s="11">
        <f>IFERROR(100/'Skjema total MA'!I11*K11,0)</f>
        <v>6.6436827728486252</v>
      </c>
      <c r="N11" s="143"/>
    </row>
    <row r="12" spans="1:14" s="43" customFormat="1" ht="15.75" x14ac:dyDescent="0.2">
      <c r="A12" s="41" t="s">
        <v>453</v>
      </c>
      <c r="B12" s="311"/>
      <c r="C12" s="312"/>
      <c r="D12" s="169"/>
      <c r="E12" s="36"/>
      <c r="F12" s="311">
        <v>37700.523000000001</v>
      </c>
      <c r="G12" s="312">
        <v>29270.710999999999</v>
      </c>
      <c r="H12" s="169">
        <f t="shared" si="3"/>
        <v>-22.4</v>
      </c>
      <c r="I12" s="169">
        <f>IFERROR(100/'Skjema total MA'!F12*G12,0)</f>
        <v>9.0222565197964233</v>
      </c>
      <c r="J12" s="313">
        <f t="shared" si="0"/>
        <v>37700.523000000001</v>
      </c>
      <c r="K12" s="314">
        <f t="shared" si="0"/>
        <v>29270.710999999999</v>
      </c>
      <c r="L12" s="374">
        <f t="shared" si="4"/>
        <v>-22.4</v>
      </c>
      <c r="M12" s="36">
        <f>IFERROR(100/'Skjema total MA'!I12*K12,0)</f>
        <v>8.5454736881192801</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975"/>
      <c r="C18" s="975"/>
      <c r="D18" s="975"/>
      <c r="E18" s="357"/>
      <c r="F18" s="975"/>
      <c r="G18" s="975"/>
      <c r="H18" s="975"/>
      <c r="I18" s="357"/>
      <c r="J18" s="975"/>
      <c r="K18" s="975"/>
      <c r="L18" s="975"/>
      <c r="M18" s="357"/>
    </row>
    <row r="19" spans="1:14" x14ac:dyDescent="0.2">
      <c r="A19" s="144"/>
      <c r="B19" s="973" t="s">
        <v>0</v>
      </c>
      <c r="C19" s="974"/>
      <c r="D19" s="974"/>
      <c r="E19" s="356"/>
      <c r="F19" s="973" t="s">
        <v>1</v>
      </c>
      <c r="G19" s="974"/>
      <c r="H19" s="974"/>
      <c r="I19" s="359"/>
      <c r="J19" s="973" t="s">
        <v>2</v>
      </c>
      <c r="K19" s="974"/>
      <c r="L19" s="974"/>
      <c r="M19" s="359"/>
    </row>
    <row r="20" spans="1:14" x14ac:dyDescent="0.2">
      <c r="A20" s="140" t="s">
        <v>5</v>
      </c>
      <c r="B20" s="152" t="s">
        <v>492</v>
      </c>
      <c r="C20" s="152" t="s">
        <v>493</v>
      </c>
      <c r="D20" s="162" t="s">
        <v>3</v>
      </c>
      <c r="E20" s="304" t="s">
        <v>29</v>
      </c>
      <c r="F20" s="152" t="s">
        <v>492</v>
      </c>
      <c r="G20" s="152" t="s">
        <v>493</v>
      </c>
      <c r="H20" s="162" t="s">
        <v>3</v>
      </c>
      <c r="I20" s="162" t="s">
        <v>29</v>
      </c>
      <c r="J20" s="152" t="s">
        <v>492</v>
      </c>
      <c r="K20" s="152" t="s">
        <v>493</v>
      </c>
      <c r="L20" s="162" t="s">
        <v>3</v>
      </c>
      <c r="M20" s="162" t="s">
        <v>29</v>
      </c>
    </row>
    <row r="21" spans="1:14" x14ac:dyDescent="0.2">
      <c r="A21" s="947"/>
      <c r="B21" s="156"/>
      <c r="C21" s="156"/>
      <c r="D21" s="246" t="s">
        <v>4</v>
      </c>
      <c r="E21" s="364" t="s">
        <v>30</v>
      </c>
      <c r="F21" s="161"/>
      <c r="G21" s="161"/>
      <c r="H21" s="245" t="s">
        <v>4</v>
      </c>
      <c r="I21" s="156" t="s">
        <v>30</v>
      </c>
      <c r="J21" s="161"/>
      <c r="K21" s="161"/>
      <c r="L21" s="245" t="s">
        <v>4</v>
      </c>
      <c r="M21" s="156" t="s">
        <v>30</v>
      </c>
    </row>
    <row r="22" spans="1:14" ht="15.75" x14ac:dyDescent="0.2">
      <c r="A22" s="14" t="s">
        <v>23</v>
      </c>
      <c r="B22" s="309">
        <v>16160.558000000001</v>
      </c>
      <c r="C22" s="309">
        <v>14907.879000000001</v>
      </c>
      <c r="D22" s="349">
        <f t="shared" ref="D22:D29" si="5">IF(B22=0, "    ---- ", IF(ABS(ROUND(100/B22*C22-100,1))&lt;999,ROUND(100/B22*C22-100,1),IF(ROUND(100/B22*C22-100,1)&gt;999,999,-999)))</f>
        <v>-7.8</v>
      </c>
      <c r="E22" s="11">
        <f>IFERROR(100/'Skjema total MA'!C22*C22,0)</f>
        <v>0.83345122189113985</v>
      </c>
      <c r="F22" s="317">
        <v>73891.532000000007</v>
      </c>
      <c r="G22" s="317">
        <v>74305.157000000007</v>
      </c>
      <c r="H22" s="349">
        <f t="shared" ref="H22:H35" si="6">IF(F22=0, "    ---- ", IF(ABS(ROUND(100/F22*G22-100,1))&lt;999,ROUND(100/F22*G22-100,1),IF(ROUND(100/F22*G22-100,1)&gt;999,999,-999)))</f>
        <v>0.6</v>
      </c>
      <c r="I22" s="160">
        <f>IFERROR(100/'Skjema total MA'!F22*G22,0)</f>
        <v>5.622424982899088</v>
      </c>
      <c r="J22" s="315">
        <f t="shared" ref="J22:K35" si="7">SUM(B22,F22)</f>
        <v>90052.090000000011</v>
      </c>
      <c r="K22" s="315">
        <f t="shared" si="7"/>
        <v>89213.036000000007</v>
      </c>
      <c r="L22" s="372">
        <f t="shared" ref="L22:L35" si="8">IF(J22=0, "    ---- ", IF(ABS(ROUND(100/J22*K22-100,1))&lt;999,ROUND(100/J22*K22-100,1),IF(ROUND(100/J22*K22-100,1)&gt;999,999,-999)))</f>
        <v>-0.9</v>
      </c>
      <c r="M22" s="24">
        <f>IFERROR(100/'Skjema total MA'!I22*K22,0)</f>
        <v>2.8683299639031037</v>
      </c>
    </row>
    <row r="23" spans="1:14" ht="15.75" x14ac:dyDescent="0.2">
      <c r="A23" s="753" t="s">
        <v>454</v>
      </c>
      <c r="B23" s="280"/>
      <c r="C23" s="280"/>
      <c r="D23" s="166"/>
      <c r="E23" s="11"/>
      <c r="F23" s="289">
        <v>5788.4170000000004</v>
      </c>
      <c r="G23" s="289">
        <v>5168.0680000000002</v>
      </c>
      <c r="H23" s="171">
        <f t="shared" si="6"/>
        <v>-10.7</v>
      </c>
      <c r="I23" s="240">
        <f>IFERROR(100/'Skjema total MA'!F23*G23,0)</f>
        <v>5.191334846377254</v>
      </c>
      <c r="J23" s="289">
        <f t="shared" ref="J23:J26" si="9">SUM(B23,F23)</f>
        <v>5788.4170000000004</v>
      </c>
      <c r="K23" s="289">
        <f t="shared" ref="K23:K26" si="10">SUM(C23,G23)</f>
        <v>5168.0680000000002</v>
      </c>
      <c r="L23" s="171">
        <f t="shared" si="8"/>
        <v>-10.7</v>
      </c>
      <c r="M23" s="23">
        <f>IFERROR(100/'Skjema total MA'!I23*K23,0)</f>
        <v>0.2899531832148875</v>
      </c>
    </row>
    <row r="24" spans="1:14" ht="15.75" x14ac:dyDescent="0.2">
      <c r="A24" s="753" t="s">
        <v>455</v>
      </c>
      <c r="B24" s="280"/>
      <c r="C24" s="280"/>
      <c r="D24" s="166"/>
      <c r="E24" s="11"/>
      <c r="F24" s="289"/>
      <c r="G24" s="289"/>
      <c r="H24" s="166"/>
      <c r="I24" s="240"/>
      <c r="J24" s="289"/>
      <c r="K24" s="289"/>
      <c r="L24" s="166"/>
      <c r="M24" s="23"/>
    </row>
    <row r="25" spans="1:14" ht="15.75" x14ac:dyDescent="0.2">
      <c r="A25" s="753" t="s">
        <v>456</v>
      </c>
      <c r="B25" s="280"/>
      <c r="C25" s="280"/>
      <c r="D25" s="166"/>
      <c r="E25" s="11"/>
      <c r="F25" s="289">
        <v>1715.1759999999999</v>
      </c>
      <c r="G25" s="289">
        <v>1500.662</v>
      </c>
      <c r="H25" s="171">
        <f t="shared" si="6"/>
        <v>-12.5</v>
      </c>
      <c r="I25" s="240">
        <f>IFERROR(100/'Skjema total MA'!F25*G25,0)</f>
        <v>5.4848478135999077</v>
      </c>
      <c r="J25" s="289">
        <f t="shared" si="9"/>
        <v>1715.1759999999999</v>
      </c>
      <c r="K25" s="289">
        <f t="shared" si="10"/>
        <v>1500.662</v>
      </c>
      <c r="L25" s="171">
        <f t="shared" ref="L25:L26" si="11">IF(J25=0, "    ---- ", IF(ABS(ROUND(100/J25*K25-100,1))&lt;999,ROUND(100/J25*K25-100,1),IF(ROUND(100/J25*K25-100,1)&gt;999,999,-999)))</f>
        <v>-12.5</v>
      </c>
      <c r="M25" s="23">
        <f>IFERROR(100/'Skjema total MA'!I25*K25,0)</f>
        <v>2.2087027716770238</v>
      </c>
    </row>
    <row r="26" spans="1:14" ht="15.75" x14ac:dyDescent="0.2">
      <c r="A26" s="753" t="s">
        <v>457</v>
      </c>
      <c r="B26" s="280"/>
      <c r="C26" s="280"/>
      <c r="D26" s="166"/>
      <c r="E26" s="11"/>
      <c r="F26" s="289">
        <v>66387.938999999998</v>
      </c>
      <c r="G26" s="289">
        <v>67636.426999999996</v>
      </c>
      <c r="H26" s="171">
        <f t="shared" si="6"/>
        <v>1.9</v>
      </c>
      <c r="I26" s="240">
        <f>IFERROR(100/'Skjema total MA'!F26*G26,0)</f>
        <v>5.662348669277339</v>
      </c>
      <c r="J26" s="289">
        <f t="shared" si="9"/>
        <v>66387.938999999998</v>
      </c>
      <c r="K26" s="289">
        <f t="shared" si="10"/>
        <v>67636.426999999996</v>
      </c>
      <c r="L26" s="171">
        <f t="shared" si="11"/>
        <v>1.9</v>
      </c>
      <c r="M26" s="23">
        <f>IFERROR(100/'Skjema total MA'!I26*K26,0)</f>
        <v>5.662348669277339</v>
      </c>
    </row>
    <row r="27" spans="1:14" x14ac:dyDescent="0.2">
      <c r="A27" s="753" t="s">
        <v>11</v>
      </c>
      <c r="B27" s="280"/>
      <c r="C27" s="280"/>
      <c r="D27" s="166"/>
      <c r="E27" s="11"/>
      <c r="F27" s="289"/>
      <c r="G27" s="289"/>
      <c r="H27" s="166"/>
      <c r="I27" s="240"/>
      <c r="J27" s="289"/>
      <c r="K27" s="289"/>
      <c r="L27" s="166"/>
      <c r="M27" s="23"/>
    </row>
    <row r="28" spans="1:14" ht="15.75" x14ac:dyDescent="0.2">
      <c r="A28" s="49" t="s">
        <v>279</v>
      </c>
      <c r="B28" s="44">
        <v>16160.558000000001</v>
      </c>
      <c r="C28" s="286">
        <v>14907.879000000001</v>
      </c>
      <c r="D28" s="166">
        <f t="shared" si="5"/>
        <v>-7.8</v>
      </c>
      <c r="E28" s="11">
        <f>IFERROR(100/'Skjema total MA'!C28*C28,0)</f>
        <v>0.79318999977408844</v>
      </c>
      <c r="F28" s="234"/>
      <c r="G28" s="286"/>
      <c r="H28" s="166"/>
      <c r="I28" s="175"/>
      <c r="J28" s="44">
        <f t="shared" si="7"/>
        <v>16160.558000000001</v>
      </c>
      <c r="K28" s="44">
        <f t="shared" si="7"/>
        <v>14907.879000000001</v>
      </c>
      <c r="L28" s="254">
        <f t="shared" si="8"/>
        <v>-7.8</v>
      </c>
      <c r="M28" s="23">
        <f>IFERROR(100/'Skjema total MA'!I28*K28,0)</f>
        <v>0.79318999977408844</v>
      </c>
    </row>
    <row r="29" spans="1:14" s="3" customFormat="1" ht="15.75" x14ac:dyDescent="0.2">
      <c r="A29" s="13" t="s">
        <v>451</v>
      </c>
      <c r="B29" s="236">
        <v>125116.613</v>
      </c>
      <c r="C29" s="236">
        <v>105841.602</v>
      </c>
      <c r="D29" s="171">
        <f t="shared" si="5"/>
        <v>-15.4</v>
      </c>
      <c r="E29" s="11">
        <f>IFERROR(100/'Skjema total MA'!C29*C29,0)</f>
        <v>0.22530485418899313</v>
      </c>
      <c r="F29" s="307">
        <v>2007402.023</v>
      </c>
      <c r="G29" s="307">
        <v>2171678.7080000001</v>
      </c>
      <c r="H29" s="171">
        <f t="shared" si="6"/>
        <v>8.1999999999999993</v>
      </c>
      <c r="I29" s="160">
        <f>IFERROR(100/'Skjema total MA'!F29*G29,0)</f>
        <v>9.7217604809363873</v>
      </c>
      <c r="J29" s="236">
        <f t="shared" si="7"/>
        <v>2132518.6359999999</v>
      </c>
      <c r="K29" s="236">
        <f t="shared" si="7"/>
        <v>2277520.31</v>
      </c>
      <c r="L29" s="373">
        <f t="shared" si="8"/>
        <v>6.8</v>
      </c>
      <c r="M29" s="24">
        <f>IFERROR(100/'Skjema total MA'!I29*K29,0)</f>
        <v>3.2857354016963027</v>
      </c>
      <c r="N29" s="148"/>
    </row>
    <row r="30" spans="1:14" s="3" customFormat="1" ht="15.75" x14ac:dyDescent="0.2">
      <c r="A30" s="753" t="s">
        <v>454</v>
      </c>
      <c r="B30" s="280"/>
      <c r="C30" s="280"/>
      <c r="D30" s="166"/>
      <c r="E30" s="11"/>
      <c r="F30" s="289">
        <v>602600.65800000005</v>
      </c>
      <c r="G30" s="289">
        <v>630334.12899999996</v>
      </c>
      <c r="H30" s="171">
        <f t="shared" si="6"/>
        <v>4.5999999999999996</v>
      </c>
      <c r="I30" s="240">
        <f>IFERROR(100/'Skjema total MA'!F30*G30,0)</f>
        <v>14.155904710056237</v>
      </c>
      <c r="J30" s="289">
        <f t="shared" ref="J30:J33" si="12">SUM(B30,F30)</f>
        <v>602600.65800000005</v>
      </c>
      <c r="K30" s="289">
        <f t="shared" ref="K30:K33" si="13">SUM(C30,G30)</f>
        <v>630334.12899999996</v>
      </c>
      <c r="L30" s="171">
        <f t="shared" si="8"/>
        <v>4.5999999999999996</v>
      </c>
      <c r="M30" s="23">
        <f>IFERROR(100/'Skjema total MA'!I30*K30,0)</f>
        <v>2.8489438402466831</v>
      </c>
      <c r="N30" s="148"/>
    </row>
    <row r="31" spans="1:14" s="3" customFormat="1" ht="15.75" x14ac:dyDescent="0.2">
      <c r="A31" s="753" t="s">
        <v>455</v>
      </c>
      <c r="B31" s="280"/>
      <c r="C31" s="280"/>
      <c r="D31" s="166"/>
      <c r="E31" s="11"/>
      <c r="F31" s="289">
        <v>1222550.909</v>
      </c>
      <c r="G31" s="289">
        <v>1253132.6470000001</v>
      </c>
      <c r="H31" s="171">
        <f t="shared" si="6"/>
        <v>2.5</v>
      </c>
      <c r="I31" s="240">
        <f>IFERROR(100/'Skjema total MA'!F31*G31,0)</f>
        <v>12.756537040478925</v>
      </c>
      <c r="J31" s="289">
        <f t="shared" si="12"/>
        <v>1222550.909</v>
      </c>
      <c r="K31" s="289">
        <f t="shared" si="13"/>
        <v>1253132.6470000001</v>
      </c>
      <c r="L31" s="171">
        <f t="shared" si="8"/>
        <v>2.5</v>
      </c>
      <c r="M31" s="23">
        <f>IFERROR(100/'Skjema total MA'!I31*K31,0)</f>
        <v>3.4828320798435164</v>
      </c>
      <c r="N31" s="148"/>
    </row>
    <row r="32" spans="1:14" ht="15.75" x14ac:dyDescent="0.2">
      <c r="A32" s="753" t="s">
        <v>456</v>
      </c>
      <c r="B32" s="280"/>
      <c r="C32" s="280"/>
      <c r="D32" s="166"/>
      <c r="E32" s="11"/>
      <c r="F32" s="289">
        <v>71651.483999999997</v>
      </c>
      <c r="G32" s="289">
        <v>83864.794999999998</v>
      </c>
      <c r="H32" s="171">
        <f t="shared" si="6"/>
        <v>17</v>
      </c>
      <c r="I32" s="240">
        <f>IFERROR(100/'Skjema total MA'!F32*G32,0)</f>
        <v>1.7982946889347144</v>
      </c>
      <c r="J32" s="289">
        <f t="shared" si="12"/>
        <v>71651.483999999997</v>
      </c>
      <c r="K32" s="289">
        <f t="shared" si="13"/>
        <v>83864.794999999998</v>
      </c>
      <c r="L32" s="171">
        <f t="shared" si="8"/>
        <v>17</v>
      </c>
      <c r="M32" s="23">
        <f>IFERROR(100/'Skjema total MA'!I32*K32,0)</f>
        <v>1.0921481464639098</v>
      </c>
    </row>
    <row r="33" spans="1:14" ht="15.75" x14ac:dyDescent="0.2">
      <c r="A33" s="753" t="s">
        <v>457</v>
      </c>
      <c r="B33" s="280"/>
      <c r="C33" s="280"/>
      <c r="D33" s="166"/>
      <c r="E33" s="11"/>
      <c r="F33" s="289">
        <v>110598.97199999999</v>
      </c>
      <c r="G33" s="289">
        <v>204347.13699999999</v>
      </c>
      <c r="H33" s="171">
        <f t="shared" si="6"/>
        <v>84.8</v>
      </c>
      <c r="I33" s="240">
        <f>IFERROR(100/'Skjema total MA'!F34*G33,0)</f>
        <v>291.17678822930895</v>
      </c>
      <c r="J33" s="289">
        <f t="shared" si="12"/>
        <v>110598.97199999999</v>
      </c>
      <c r="K33" s="289">
        <f t="shared" si="13"/>
        <v>204347.13699999999</v>
      </c>
      <c r="L33" s="171">
        <f t="shared" si="8"/>
        <v>84.8</v>
      </c>
      <c r="M33" s="23">
        <f>IFERROR(100/'Skjema total MA'!I34*K33,0)</f>
        <v>211.24146423372227</v>
      </c>
    </row>
    <row r="34" spans="1:14" ht="15.75" x14ac:dyDescent="0.2">
      <c r="A34" s="13" t="s">
        <v>452</v>
      </c>
      <c r="B34" s="236"/>
      <c r="C34" s="308"/>
      <c r="D34" s="171"/>
      <c r="E34" s="11"/>
      <c r="F34" s="307">
        <v>10064.012000000001</v>
      </c>
      <c r="G34" s="308">
        <v>7512.335</v>
      </c>
      <c r="H34" s="171">
        <f t="shared" si="6"/>
        <v>-25.4</v>
      </c>
      <c r="I34" s="160">
        <f>IFERROR(100/'Skjema total MA'!F34*G34,0)</f>
        <v>10.704419986087819</v>
      </c>
      <c r="J34" s="236">
        <f t="shared" si="7"/>
        <v>10064.012000000001</v>
      </c>
      <c r="K34" s="236">
        <f t="shared" si="7"/>
        <v>7512.335</v>
      </c>
      <c r="L34" s="373">
        <f t="shared" si="8"/>
        <v>-25.4</v>
      </c>
      <c r="M34" s="24">
        <f>IFERROR(100/'Skjema total MA'!I34*K34,0)</f>
        <v>7.7657884935977348</v>
      </c>
    </row>
    <row r="35" spans="1:14" ht="15.75" x14ac:dyDescent="0.2">
      <c r="A35" s="13" t="s">
        <v>453</v>
      </c>
      <c r="B35" s="236"/>
      <c r="C35" s="308"/>
      <c r="D35" s="171"/>
      <c r="E35" s="11"/>
      <c r="F35" s="307">
        <v>15413.978999999999</v>
      </c>
      <c r="G35" s="308">
        <v>10098.200999999999</v>
      </c>
      <c r="H35" s="171">
        <f t="shared" si="6"/>
        <v>-34.5</v>
      </c>
      <c r="I35" s="160">
        <f>IFERROR(100/'Skjema total MA'!F35*G35,0)</f>
        <v>7.5932988140754194</v>
      </c>
      <c r="J35" s="236">
        <f t="shared" si="7"/>
        <v>15413.978999999999</v>
      </c>
      <c r="K35" s="236">
        <f t="shared" si="7"/>
        <v>10098.200999999999</v>
      </c>
      <c r="L35" s="373">
        <f t="shared" si="8"/>
        <v>-34.5</v>
      </c>
      <c r="M35" s="24">
        <f>IFERROR(100/'Skjema total MA'!I35*K35,0)</f>
        <v>9.7286785906077196</v>
      </c>
    </row>
    <row r="36" spans="1:14" ht="15.75" x14ac:dyDescent="0.2">
      <c r="A36" s="12" t="s">
        <v>287</v>
      </c>
      <c r="B36" s="236"/>
      <c r="C36" s="308"/>
      <c r="D36" s="171"/>
      <c r="E36" s="11"/>
      <c r="F36" s="318"/>
      <c r="G36" s="319"/>
      <c r="H36" s="171"/>
      <c r="I36" s="375"/>
      <c r="J36" s="236"/>
      <c r="K36" s="236"/>
      <c r="L36" s="373"/>
      <c r="M36" s="24"/>
    </row>
    <row r="37" spans="1:14" ht="15.75" x14ac:dyDescent="0.2">
      <c r="A37" s="12" t="s">
        <v>459</v>
      </c>
      <c r="B37" s="236"/>
      <c r="C37" s="308"/>
      <c r="D37" s="171"/>
      <c r="E37" s="11"/>
      <c r="F37" s="318"/>
      <c r="G37" s="320"/>
      <c r="H37" s="171"/>
      <c r="I37" s="375"/>
      <c r="J37" s="236"/>
      <c r="K37" s="236"/>
      <c r="L37" s="373"/>
      <c r="M37" s="24"/>
    </row>
    <row r="38" spans="1:14" ht="15.75" x14ac:dyDescent="0.2">
      <c r="A38" s="12" t="s">
        <v>460</v>
      </c>
      <c r="B38" s="236"/>
      <c r="C38" s="308"/>
      <c r="D38" s="171"/>
      <c r="E38" s="24"/>
      <c r="F38" s="318"/>
      <c r="G38" s="319"/>
      <c r="H38" s="171"/>
      <c r="I38" s="375"/>
      <c r="J38" s="236"/>
      <c r="K38" s="236"/>
      <c r="L38" s="373"/>
      <c r="M38" s="24"/>
    </row>
    <row r="39" spans="1:14" ht="15.75" x14ac:dyDescent="0.2">
      <c r="A39" s="18" t="s">
        <v>461</v>
      </c>
      <c r="B39" s="275"/>
      <c r="C39" s="314"/>
      <c r="D39" s="169"/>
      <c r="E39" s="36"/>
      <c r="F39" s="321"/>
      <c r="G39" s="322"/>
      <c r="H39" s="169"/>
      <c r="I39" s="169"/>
      <c r="J39" s="236"/>
      <c r="K39" s="236"/>
      <c r="L39" s="374"/>
      <c r="M39" s="36"/>
    </row>
    <row r="40" spans="1:14" ht="15.75" x14ac:dyDescent="0.25">
      <c r="A40" s="47"/>
      <c r="B40" s="253"/>
      <c r="C40" s="253"/>
      <c r="D40" s="976"/>
      <c r="E40" s="976"/>
      <c r="F40" s="976"/>
      <c r="G40" s="976"/>
      <c r="H40" s="976"/>
      <c r="I40" s="976"/>
      <c r="J40" s="976"/>
      <c r="K40" s="976"/>
      <c r="L40" s="976"/>
      <c r="M40" s="358"/>
    </row>
    <row r="41" spans="1:14" x14ac:dyDescent="0.2">
      <c r="A41" s="155"/>
    </row>
    <row r="42" spans="1:14" ht="15.75" x14ac:dyDescent="0.25">
      <c r="A42" s="147" t="s">
        <v>276</v>
      </c>
      <c r="B42" s="972"/>
      <c r="C42" s="972"/>
      <c r="D42" s="972"/>
      <c r="E42" s="357"/>
      <c r="F42" s="977"/>
      <c r="G42" s="977"/>
      <c r="H42" s="977"/>
      <c r="I42" s="358"/>
      <c r="J42" s="977"/>
      <c r="K42" s="977"/>
      <c r="L42" s="977"/>
      <c r="M42" s="358"/>
    </row>
    <row r="43" spans="1:14" ht="15.75" x14ac:dyDescent="0.25">
      <c r="A43" s="163"/>
      <c r="B43" s="354"/>
      <c r="C43" s="354"/>
      <c r="D43" s="354"/>
      <c r="E43" s="354"/>
      <c r="F43" s="358"/>
      <c r="G43" s="358"/>
      <c r="H43" s="358"/>
      <c r="I43" s="358"/>
      <c r="J43" s="358"/>
      <c r="K43" s="358"/>
      <c r="L43" s="358"/>
      <c r="M43" s="358"/>
    </row>
    <row r="44" spans="1:14" ht="15.75" x14ac:dyDescent="0.25">
      <c r="A44" s="247"/>
      <c r="B44" s="973" t="s">
        <v>0</v>
      </c>
      <c r="C44" s="974"/>
      <c r="D44" s="974"/>
      <c r="E44" s="243"/>
      <c r="F44" s="358"/>
      <c r="G44" s="358"/>
      <c r="H44" s="358"/>
      <c r="I44" s="358"/>
      <c r="J44" s="358"/>
      <c r="K44" s="358"/>
      <c r="L44" s="358"/>
      <c r="M44" s="358"/>
    </row>
    <row r="45" spans="1:14" s="3" customFormat="1" x14ac:dyDescent="0.2">
      <c r="A45" s="140"/>
      <c r="B45" s="152" t="s">
        <v>492</v>
      </c>
      <c r="C45" s="152" t="s">
        <v>493</v>
      </c>
      <c r="D45" s="162" t="s">
        <v>3</v>
      </c>
      <c r="E45" s="162" t="s">
        <v>29</v>
      </c>
      <c r="F45" s="174"/>
      <c r="G45" s="174"/>
      <c r="H45" s="173"/>
      <c r="I45" s="173"/>
      <c r="J45" s="174"/>
      <c r="K45" s="174"/>
      <c r="L45" s="173"/>
      <c r="M45" s="173"/>
      <c r="N45" s="148"/>
    </row>
    <row r="46" spans="1:14" s="3" customFormat="1" x14ac:dyDescent="0.2">
      <c r="A46" s="947"/>
      <c r="B46" s="244"/>
      <c r="C46" s="244"/>
      <c r="D46" s="245" t="s">
        <v>4</v>
      </c>
      <c r="E46" s="156" t="s">
        <v>30</v>
      </c>
      <c r="F46" s="173"/>
      <c r="G46" s="173"/>
      <c r="H46" s="173"/>
      <c r="I46" s="173"/>
      <c r="J46" s="173"/>
      <c r="K46" s="173"/>
      <c r="L46" s="173"/>
      <c r="M46" s="173"/>
      <c r="N46" s="148"/>
    </row>
    <row r="47" spans="1:14" s="3" customFormat="1" ht="15.75" x14ac:dyDescent="0.2">
      <c r="A47" s="14" t="s">
        <v>23</v>
      </c>
      <c r="B47" s="309">
        <v>7651.06</v>
      </c>
      <c r="C47" s="310">
        <v>7727.1229999999996</v>
      </c>
      <c r="D47" s="372">
        <f t="shared" ref="D47:D48" si="14">IF(B47=0, "    ---- ", IF(ABS(ROUND(100/B47*C47-100,1))&lt;999,ROUND(100/B47*C47-100,1),IF(ROUND(100/B47*C47-100,1)&gt;999,999,-999)))</f>
        <v>1</v>
      </c>
      <c r="E47" s="11">
        <f>IFERROR(100/'Skjema total MA'!C47*C47,0)</f>
        <v>0.17853617846071973</v>
      </c>
      <c r="F47" s="145"/>
      <c r="G47" s="33"/>
      <c r="H47" s="159"/>
      <c r="I47" s="159"/>
      <c r="J47" s="37"/>
      <c r="K47" s="37"/>
      <c r="L47" s="159"/>
      <c r="M47" s="159"/>
      <c r="N47" s="148"/>
    </row>
    <row r="48" spans="1:14" s="3" customFormat="1" ht="15.75" x14ac:dyDescent="0.2">
      <c r="A48" s="38" t="s">
        <v>462</v>
      </c>
      <c r="B48" s="280">
        <v>7651.06</v>
      </c>
      <c r="C48" s="281">
        <v>7727.1229999999996</v>
      </c>
      <c r="D48" s="254">
        <f t="shared" si="14"/>
        <v>1</v>
      </c>
      <c r="E48" s="27">
        <f>IFERROR(100/'Skjema total MA'!C48*C48,0)</f>
        <v>0.32203934155180652</v>
      </c>
      <c r="F48" s="145"/>
      <c r="G48" s="33"/>
      <c r="H48" s="145"/>
      <c r="I48" s="145"/>
      <c r="J48" s="33"/>
      <c r="K48" s="33"/>
      <c r="L48" s="159"/>
      <c r="M48" s="159"/>
      <c r="N48" s="148"/>
    </row>
    <row r="49" spans="1:14" s="3" customFormat="1" ht="15.75" x14ac:dyDescent="0.2">
      <c r="A49" s="38" t="s">
        <v>463</v>
      </c>
      <c r="B49" s="44"/>
      <c r="C49" s="286"/>
      <c r="D49" s="254"/>
      <c r="E49" s="27"/>
      <c r="F49" s="145"/>
      <c r="G49" s="33"/>
      <c r="H49" s="145"/>
      <c r="I49" s="145"/>
      <c r="J49" s="37"/>
      <c r="K49" s="37"/>
      <c r="L49" s="159"/>
      <c r="M49" s="159"/>
      <c r="N49" s="148"/>
    </row>
    <row r="50" spans="1:14" s="3" customFormat="1" x14ac:dyDescent="0.2">
      <c r="A50" s="295" t="s">
        <v>6</v>
      </c>
      <c r="B50" s="289"/>
      <c r="C50" s="290"/>
      <c r="D50" s="254"/>
      <c r="E50" s="23"/>
      <c r="F50" s="145"/>
      <c r="G50" s="33"/>
      <c r="H50" s="145"/>
      <c r="I50" s="145"/>
      <c r="J50" s="33"/>
      <c r="K50" s="33"/>
      <c r="L50" s="159"/>
      <c r="M50" s="159"/>
      <c r="N50" s="148"/>
    </row>
    <row r="51" spans="1:14" s="3" customFormat="1" x14ac:dyDescent="0.2">
      <c r="A51" s="295" t="s">
        <v>7</v>
      </c>
      <c r="B51" s="289"/>
      <c r="C51" s="290"/>
      <c r="D51" s="254"/>
      <c r="E51" s="23"/>
      <c r="F51" s="145"/>
      <c r="G51" s="33"/>
      <c r="H51" s="145"/>
      <c r="I51" s="145"/>
      <c r="J51" s="33"/>
      <c r="K51" s="33"/>
      <c r="L51" s="159"/>
      <c r="M51" s="159"/>
      <c r="N51" s="148"/>
    </row>
    <row r="52" spans="1:14" s="3" customFormat="1" x14ac:dyDescent="0.2">
      <c r="A52" s="295" t="s">
        <v>8</v>
      </c>
      <c r="B52" s="289"/>
      <c r="C52" s="290"/>
      <c r="D52" s="254"/>
      <c r="E52" s="23"/>
      <c r="F52" s="145"/>
      <c r="G52" s="33"/>
      <c r="H52" s="145"/>
      <c r="I52" s="145"/>
      <c r="J52" s="33"/>
      <c r="K52" s="33"/>
      <c r="L52" s="159"/>
      <c r="M52" s="159"/>
      <c r="N52" s="148"/>
    </row>
    <row r="53" spans="1:14" s="3" customFormat="1" ht="15.75" x14ac:dyDescent="0.2">
      <c r="A53" s="39" t="s">
        <v>464</v>
      </c>
      <c r="B53" s="309"/>
      <c r="C53" s="310"/>
      <c r="D53" s="373"/>
      <c r="E53" s="11"/>
      <c r="F53" s="145"/>
      <c r="G53" s="33"/>
      <c r="H53" s="145"/>
      <c r="I53" s="145"/>
      <c r="J53" s="33"/>
      <c r="K53" s="33"/>
      <c r="L53" s="159"/>
      <c r="M53" s="159"/>
      <c r="N53" s="148"/>
    </row>
    <row r="54" spans="1:14" s="3" customFormat="1" ht="15.75" x14ac:dyDescent="0.2">
      <c r="A54" s="38" t="s">
        <v>462</v>
      </c>
      <c r="B54" s="280"/>
      <c r="C54" s="281"/>
      <c r="D54" s="254"/>
      <c r="E54" s="27"/>
      <c r="F54" s="145"/>
      <c r="G54" s="33"/>
      <c r="H54" s="145"/>
      <c r="I54" s="145"/>
      <c r="J54" s="33"/>
      <c r="K54" s="33"/>
      <c r="L54" s="159"/>
      <c r="M54" s="159"/>
      <c r="N54" s="148"/>
    </row>
    <row r="55" spans="1:14" s="3" customFormat="1" ht="15.75" x14ac:dyDescent="0.2">
      <c r="A55" s="38" t="s">
        <v>463</v>
      </c>
      <c r="B55" s="280"/>
      <c r="C55" s="281"/>
      <c r="D55" s="254"/>
      <c r="E55" s="27"/>
      <c r="F55" s="145"/>
      <c r="G55" s="33"/>
      <c r="H55" s="145"/>
      <c r="I55" s="145"/>
      <c r="J55" s="33"/>
      <c r="K55" s="33"/>
      <c r="L55" s="159"/>
      <c r="M55" s="159"/>
      <c r="N55" s="148"/>
    </row>
    <row r="56" spans="1:14" s="3" customFormat="1" ht="15.75" x14ac:dyDescent="0.2">
      <c r="A56" s="39" t="s">
        <v>465</v>
      </c>
      <c r="B56" s="309"/>
      <c r="C56" s="310"/>
      <c r="D56" s="373"/>
      <c r="E56" s="11"/>
      <c r="F56" s="145"/>
      <c r="G56" s="33"/>
      <c r="H56" s="145"/>
      <c r="I56" s="145"/>
      <c r="J56" s="33"/>
      <c r="K56" s="33"/>
      <c r="L56" s="159"/>
      <c r="M56" s="159"/>
      <c r="N56" s="148"/>
    </row>
    <row r="57" spans="1:14" s="3" customFormat="1" ht="15.75" x14ac:dyDescent="0.2">
      <c r="A57" s="38" t="s">
        <v>462</v>
      </c>
      <c r="B57" s="280"/>
      <c r="C57" s="281"/>
      <c r="D57" s="254"/>
      <c r="E57" s="27"/>
      <c r="F57" s="145"/>
      <c r="G57" s="33"/>
      <c r="H57" s="145"/>
      <c r="I57" s="145"/>
      <c r="J57" s="33"/>
      <c r="K57" s="33"/>
      <c r="L57" s="159"/>
      <c r="M57" s="159"/>
      <c r="N57" s="148"/>
    </row>
    <row r="58" spans="1:14" s="3" customFormat="1" ht="15.75" x14ac:dyDescent="0.2">
      <c r="A58" s="46" t="s">
        <v>463</v>
      </c>
      <c r="B58" s="282"/>
      <c r="C58" s="283"/>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975"/>
      <c r="C62" s="975"/>
      <c r="D62" s="975"/>
      <c r="E62" s="357"/>
      <c r="F62" s="975"/>
      <c r="G62" s="975"/>
      <c r="H62" s="975"/>
      <c r="I62" s="357"/>
      <c r="J62" s="975"/>
      <c r="K62" s="975"/>
      <c r="L62" s="975"/>
      <c r="M62" s="357"/>
    </row>
    <row r="63" spans="1:14" x14ac:dyDescent="0.2">
      <c r="A63" s="144"/>
      <c r="B63" s="973" t="s">
        <v>0</v>
      </c>
      <c r="C63" s="974"/>
      <c r="D63" s="978"/>
      <c r="E63" s="355"/>
      <c r="F63" s="974" t="s">
        <v>1</v>
      </c>
      <c r="G63" s="974"/>
      <c r="H63" s="974"/>
      <c r="I63" s="359"/>
      <c r="J63" s="973" t="s">
        <v>2</v>
      </c>
      <c r="K63" s="974"/>
      <c r="L63" s="974"/>
      <c r="M63" s="359"/>
    </row>
    <row r="64" spans="1:14" x14ac:dyDescent="0.2">
      <c r="A64" s="140"/>
      <c r="B64" s="152" t="s">
        <v>492</v>
      </c>
      <c r="C64" s="152" t="s">
        <v>493</v>
      </c>
      <c r="D64" s="245" t="s">
        <v>3</v>
      </c>
      <c r="E64" s="304" t="s">
        <v>29</v>
      </c>
      <c r="F64" s="152" t="s">
        <v>492</v>
      </c>
      <c r="G64" s="152" t="s">
        <v>493</v>
      </c>
      <c r="H64" s="245" t="s">
        <v>3</v>
      </c>
      <c r="I64" s="304" t="s">
        <v>29</v>
      </c>
      <c r="J64" s="152" t="s">
        <v>492</v>
      </c>
      <c r="K64" s="152" t="s">
        <v>493</v>
      </c>
      <c r="L64" s="245" t="s">
        <v>3</v>
      </c>
      <c r="M64" s="162" t="s">
        <v>29</v>
      </c>
    </row>
    <row r="65" spans="1:14" x14ac:dyDescent="0.2">
      <c r="A65" s="947"/>
      <c r="B65" s="156"/>
      <c r="C65" s="156"/>
      <c r="D65" s="246" t="s">
        <v>4</v>
      </c>
      <c r="E65" s="156" t="s">
        <v>30</v>
      </c>
      <c r="F65" s="161"/>
      <c r="G65" s="161"/>
      <c r="H65" s="245" t="s">
        <v>4</v>
      </c>
      <c r="I65" s="156" t="s">
        <v>30</v>
      </c>
      <c r="J65" s="161"/>
      <c r="K65" s="206"/>
      <c r="L65" s="156" t="s">
        <v>4</v>
      </c>
      <c r="M65" s="156" t="s">
        <v>30</v>
      </c>
    </row>
    <row r="66" spans="1:14" ht="15.75" x14ac:dyDescent="0.2">
      <c r="A66" s="14" t="s">
        <v>23</v>
      </c>
      <c r="B66" s="352">
        <v>108899.624</v>
      </c>
      <c r="C66" s="352">
        <v>116867.069</v>
      </c>
      <c r="D66" s="349">
        <f t="shared" ref="D66:D124" si="15">IF(B66=0, "    ---- ", IF(ABS(ROUND(100/B66*C66-100,1))&lt;999,ROUND(100/B66*C66-100,1),IF(ROUND(100/B66*C66-100,1)&gt;999,999,-999)))</f>
        <v>7.3</v>
      </c>
      <c r="E66" s="11">
        <f>IFERROR(100/'Skjema total MA'!C66*C66,0)</f>
        <v>1.3266830472806812</v>
      </c>
      <c r="F66" s="351">
        <v>1430863.943</v>
      </c>
      <c r="G66" s="351">
        <v>1615809.59</v>
      </c>
      <c r="H66" s="349">
        <f t="shared" ref="H66:H125" si="16">IF(F66=0, "    ---- ", IF(ABS(ROUND(100/F66*G66-100,1))&lt;999,ROUND(100/F66*G66-100,1),IF(ROUND(100/F66*G66-100,1)&gt;999,999,-999)))</f>
        <v>12.9</v>
      </c>
      <c r="I66" s="11">
        <f>IFERROR(100/'Skjema total MA'!F66*G66,0)</f>
        <v>5.0041159891611615</v>
      </c>
      <c r="J66" s="308">
        <f t="shared" ref="J66:K79" si="17">SUM(B66,F66)</f>
        <v>1539763.567</v>
      </c>
      <c r="K66" s="315">
        <f t="shared" si="17"/>
        <v>1732676.659</v>
      </c>
      <c r="L66" s="373">
        <f t="shared" ref="L66:L125" si="18">IF(J66=0, "    ---- ", IF(ABS(ROUND(100/J66*K66-100,1))&lt;999,ROUND(100/J66*K66-100,1),IF(ROUND(100/J66*K66-100,1)&gt;999,999,-999)))</f>
        <v>12.5</v>
      </c>
      <c r="M66" s="11">
        <f>IFERROR(100/'Skjema total MA'!I66*K66,0)</f>
        <v>4.2159041740340824</v>
      </c>
    </row>
    <row r="67" spans="1:14" x14ac:dyDescent="0.2">
      <c r="A67" s="21" t="s">
        <v>9</v>
      </c>
      <c r="B67" s="44">
        <v>108899.624</v>
      </c>
      <c r="C67" s="145">
        <v>116867.069</v>
      </c>
      <c r="D67" s="166">
        <f t="shared" si="15"/>
        <v>7.3</v>
      </c>
      <c r="E67" s="27">
        <f>IFERROR(100/'Skjema total MA'!C67*C67,0)</f>
        <v>1.7614737189151011</v>
      </c>
      <c r="F67" s="234"/>
      <c r="G67" s="145"/>
      <c r="H67" s="166"/>
      <c r="I67" s="27"/>
      <c r="J67" s="286">
        <f t="shared" si="17"/>
        <v>108899.624</v>
      </c>
      <c r="K67" s="44">
        <f t="shared" si="17"/>
        <v>116867.069</v>
      </c>
      <c r="L67" s="254">
        <f t="shared" si="18"/>
        <v>7.3</v>
      </c>
      <c r="M67" s="27">
        <f>IFERROR(100/'Skjema total MA'!I67*K67,0)</f>
        <v>1.7614737189151011</v>
      </c>
    </row>
    <row r="68" spans="1:14" x14ac:dyDescent="0.2">
      <c r="A68" s="21" t="s">
        <v>10</v>
      </c>
      <c r="B68" s="291"/>
      <c r="C68" s="292"/>
      <c r="D68" s="166"/>
      <c r="E68" s="27"/>
      <c r="F68" s="291">
        <v>1430863.943</v>
      </c>
      <c r="G68" s="292">
        <v>1615809.59</v>
      </c>
      <c r="H68" s="166">
        <f t="shared" si="16"/>
        <v>12.9</v>
      </c>
      <c r="I68" s="27">
        <f>IFERROR(100/'Skjema total MA'!F68*G68,0)</f>
        <v>5.0728700832744282</v>
      </c>
      <c r="J68" s="286">
        <f t="shared" si="17"/>
        <v>1430863.943</v>
      </c>
      <c r="K68" s="44">
        <f t="shared" si="17"/>
        <v>1615809.59</v>
      </c>
      <c r="L68" s="254">
        <f t="shared" si="18"/>
        <v>12.9</v>
      </c>
      <c r="M68" s="27">
        <f>IFERROR(100/'Skjema total MA'!I68*K68,0)</f>
        <v>5.0497231225628996</v>
      </c>
    </row>
    <row r="69" spans="1:14" ht="15.75" x14ac:dyDescent="0.2">
      <c r="A69" s="295" t="s">
        <v>466</v>
      </c>
      <c r="B69" s="280"/>
      <c r="C69" s="280"/>
      <c r="D69" s="166"/>
      <c r="E69" s="365"/>
      <c r="F69" s="280"/>
      <c r="G69" s="280"/>
      <c r="H69" s="166"/>
      <c r="I69" s="365"/>
      <c r="J69" s="289"/>
      <c r="K69" s="289"/>
      <c r="L69" s="166"/>
      <c r="M69" s="23"/>
    </row>
    <row r="70" spans="1:14" x14ac:dyDescent="0.2">
      <c r="A70" s="295" t="s">
        <v>12</v>
      </c>
      <c r="B70" s="293"/>
      <c r="C70" s="294"/>
      <c r="D70" s="166"/>
      <c r="E70" s="365"/>
      <c r="F70" s="280"/>
      <c r="G70" s="280"/>
      <c r="H70" s="166"/>
      <c r="I70" s="365"/>
      <c r="J70" s="289"/>
      <c r="K70" s="289"/>
      <c r="L70" s="166"/>
      <c r="M70" s="23"/>
    </row>
    <row r="71" spans="1:14" x14ac:dyDescent="0.2">
      <c r="A71" s="295" t="s">
        <v>13</v>
      </c>
      <c r="B71" s="235"/>
      <c r="C71" s="288"/>
      <c r="D71" s="166"/>
      <c r="E71" s="365"/>
      <c r="F71" s="280"/>
      <c r="G71" s="280"/>
      <c r="H71" s="166"/>
      <c r="I71" s="365"/>
      <c r="J71" s="289"/>
      <c r="K71" s="289"/>
      <c r="L71" s="166"/>
      <c r="M71" s="23"/>
    </row>
    <row r="72" spans="1:14" ht="15.75" x14ac:dyDescent="0.2">
      <c r="A72" s="295" t="s">
        <v>467</v>
      </c>
      <c r="B72" s="280"/>
      <c r="C72" s="280"/>
      <c r="D72" s="166"/>
      <c r="E72" s="365"/>
      <c r="F72" s="280">
        <v>1430863.943</v>
      </c>
      <c r="G72" s="280">
        <v>1615809.59</v>
      </c>
      <c r="H72" s="166">
        <f t="shared" ref="H72" si="19">IF(F72=0, "    ---- ", IF(ABS(ROUND(100/F72*G72-100,1))&lt;999,ROUND(100/F72*G72-100,1),IF(ROUND(100/F72*G72-100,1)&gt;999,999,-999)))</f>
        <v>12.9</v>
      </c>
      <c r="I72" s="365">
        <f>IFERROR(100/'Skjema total MA'!F72*G72,0)</f>
        <v>5.073497484411913</v>
      </c>
      <c r="J72" s="286">
        <f t="shared" ref="J72" si="20">SUM(B72,F72)</f>
        <v>1430863.943</v>
      </c>
      <c r="K72" s="286">
        <f t="shared" ref="K72" si="21">SUM(C72,G72)</f>
        <v>1615809.59</v>
      </c>
      <c r="L72" s="166">
        <f t="shared" ref="L72" si="22">IF(J72=0, "    ---- ", IF(ABS(ROUND(100/J72*K72-100,1))&lt;999,ROUND(100/J72*K72-100,1),IF(ROUND(100/J72*K72-100,1)&gt;999,999,-999)))</f>
        <v>12.9</v>
      </c>
      <c r="M72" s="23">
        <f>IFERROR(100/'Skjema total MA'!I72*K72,0)</f>
        <v>5.0522969396263768</v>
      </c>
    </row>
    <row r="73" spans="1:14" x14ac:dyDescent="0.2">
      <c r="A73" s="295" t="s">
        <v>12</v>
      </c>
      <c r="B73" s="235"/>
      <c r="C73" s="288"/>
      <c r="D73" s="166"/>
      <c r="E73" s="365"/>
      <c r="F73" s="280"/>
      <c r="G73" s="280"/>
      <c r="H73" s="166"/>
      <c r="I73" s="365"/>
      <c r="J73" s="289"/>
      <c r="K73" s="289"/>
      <c r="L73" s="166"/>
      <c r="M73" s="23"/>
    </row>
    <row r="74" spans="1:14" s="3" customFormat="1" x14ac:dyDescent="0.2">
      <c r="A74" s="295" t="s">
        <v>13</v>
      </c>
      <c r="B74" s="235"/>
      <c r="C74" s="288"/>
      <c r="D74" s="166"/>
      <c r="E74" s="365"/>
      <c r="F74" s="280">
        <v>1430863.943</v>
      </c>
      <c r="G74" s="280">
        <v>1615809.59</v>
      </c>
      <c r="H74" s="166">
        <f t="shared" ref="H74" si="23">IF(F74=0, "    ---- ", IF(ABS(ROUND(100/F74*G74-100,1))&lt;999,ROUND(100/F74*G74-100,1),IF(ROUND(100/F74*G74-100,1)&gt;999,999,-999)))</f>
        <v>12.9</v>
      </c>
      <c r="I74" s="365">
        <f>IFERROR(100/'Skjema total MA'!F74*G74,0)</f>
        <v>5.0752289439740093</v>
      </c>
      <c r="J74" s="286">
        <f t="shared" ref="J74" si="24">SUM(B74,F74)</f>
        <v>1430863.943</v>
      </c>
      <c r="K74" s="286">
        <f t="shared" ref="K74" si="25">SUM(C74,G74)</f>
        <v>1615809.59</v>
      </c>
      <c r="L74" s="166">
        <f t="shared" ref="L74" si="26">IF(J74=0, "    ---- ", IF(ABS(ROUND(100/J74*K74-100,1))&lt;999,ROUND(100/J74*K74-100,1),IF(ROUND(100/J74*K74-100,1)&gt;999,999,-999)))</f>
        <v>12.9</v>
      </c>
      <c r="M74" s="23">
        <f>IFERROR(100/'Skjema total MA'!I74*K74,0)</f>
        <v>5.0752289439740093</v>
      </c>
      <c r="N74" s="148"/>
    </row>
    <row r="75" spans="1:14" s="3" customFormat="1" x14ac:dyDescent="0.2">
      <c r="A75" s="21" t="s">
        <v>353</v>
      </c>
      <c r="B75" s="234"/>
      <c r="C75" s="145"/>
      <c r="D75" s="166"/>
      <c r="E75" s="27"/>
      <c r="F75" s="234"/>
      <c r="G75" s="145"/>
      <c r="H75" s="166"/>
      <c r="I75" s="27"/>
      <c r="J75" s="286"/>
      <c r="K75" s="44"/>
      <c r="L75" s="254"/>
      <c r="M75" s="27"/>
      <c r="N75" s="148"/>
    </row>
    <row r="76" spans="1:14" s="3" customFormat="1" x14ac:dyDescent="0.2">
      <c r="A76" s="21" t="s">
        <v>352</v>
      </c>
      <c r="B76" s="234"/>
      <c r="C76" s="145"/>
      <c r="D76" s="166"/>
      <c r="E76" s="27"/>
      <c r="F76" s="234"/>
      <c r="G76" s="145"/>
      <c r="H76" s="166"/>
      <c r="I76" s="27"/>
      <c r="J76" s="286"/>
      <c r="K76" s="44"/>
      <c r="L76" s="254"/>
      <c r="M76" s="27"/>
      <c r="N76" s="148"/>
    </row>
    <row r="77" spans="1:14" ht="15.75" x14ac:dyDescent="0.2">
      <c r="A77" s="21" t="s">
        <v>468</v>
      </c>
      <c r="B77" s="234">
        <v>108899.624</v>
      </c>
      <c r="C77" s="234">
        <v>116867.069</v>
      </c>
      <c r="D77" s="166">
        <f t="shared" si="15"/>
        <v>7.3</v>
      </c>
      <c r="E77" s="27">
        <f>IFERROR(100/'Skjema total MA'!C77*C77,0)</f>
        <v>1.7589710822063707</v>
      </c>
      <c r="F77" s="234">
        <v>1430863.943</v>
      </c>
      <c r="G77" s="145">
        <v>1615809.59</v>
      </c>
      <c r="H77" s="166">
        <f t="shared" si="16"/>
        <v>12.9</v>
      </c>
      <c r="I77" s="27">
        <f>IFERROR(100/'Skjema total MA'!F77*G77,0)</f>
        <v>5.0750285608318384</v>
      </c>
      <c r="J77" s="286">
        <f t="shared" si="17"/>
        <v>1539763.567</v>
      </c>
      <c r="K77" s="44">
        <f t="shared" si="17"/>
        <v>1732676.659</v>
      </c>
      <c r="L77" s="254">
        <f t="shared" si="18"/>
        <v>12.5</v>
      </c>
      <c r="M77" s="27">
        <f>IFERROR(100/'Skjema total MA'!I77*K77,0)</f>
        <v>4.5025063832396048</v>
      </c>
    </row>
    <row r="78" spans="1:14" x14ac:dyDescent="0.2">
      <c r="A78" s="21" t="s">
        <v>9</v>
      </c>
      <c r="B78" s="234">
        <v>108899.624</v>
      </c>
      <c r="C78" s="145">
        <v>116867.069</v>
      </c>
      <c r="D78" s="166">
        <f t="shared" si="15"/>
        <v>7.3</v>
      </c>
      <c r="E78" s="27">
        <f>IFERROR(100/'Skjema total MA'!C78*C78,0)</f>
        <v>1.7974018368510414</v>
      </c>
      <c r="F78" s="234"/>
      <c r="G78" s="145"/>
      <c r="H78" s="166"/>
      <c r="I78" s="27"/>
      <c r="J78" s="286">
        <f t="shared" si="17"/>
        <v>108899.624</v>
      </c>
      <c r="K78" s="44">
        <f t="shared" si="17"/>
        <v>116867.069</v>
      </c>
      <c r="L78" s="254">
        <f t="shared" si="18"/>
        <v>7.3</v>
      </c>
      <c r="M78" s="27">
        <f>IFERROR(100/'Skjema total MA'!I78*K78,0)</f>
        <v>1.7974018368510414</v>
      </c>
    </row>
    <row r="79" spans="1:14" x14ac:dyDescent="0.2">
      <c r="A79" s="21" t="s">
        <v>10</v>
      </c>
      <c r="B79" s="291"/>
      <c r="C79" s="292"/>
      <c r="D79" s="166"/>
      <c r="E79" s="27"/>
      <c r="F79" s="291">
        <v>1430863.943</v>
      </c>
      <c r="G79" s="292">
        <v>1615809.59</v>
      </c>
      <c r="H79" s="166">
        <f t="shared" si="16"/>
        <v>12.9</v>
      </c>
      <c r="I79" s="27">
        <f>IFERROR(100/'Skjema total MA'!F79*G79,0)</f>
        <v>5.0750285608318384</v>
      </c>
      <c r="J79" s="286">
        <f t="shared" si="17"/>
        <v>1430863.943</v>
      </c>
      <c r="K79" s="44">
        <f t="shared" si="17"/>
        <v>1615809.59</v>
      </c>
      <c r="L79" s="254">
        <f t="shared" si="18"/>
        <v>12.9</v>
      </c>
      <c r="M79" s="27">
        <f>IFERROR(100/'Skjema total MA'!I79*K79,0)</f>
        <v>5.0524851028062159</v>
      </c>
    </row>
    <row r="80" spans="1:14" ht="15.75" x14ac:dyDescent="0.2">
      <c r="A80" s="295" t="s">
        <v>466</v>
      </c>
      <c r="B80" s="280"/>
      <c r="C80" s="280"/>
      <c r="D80" s="166"/>
      <c r="E80" s="365"/>
      <c r="F80" s="280"/>
      <c r="G80" s="280"/>
      <c r="H80" s="166"/>
      <c r="I80" s="365"/>
      <c r="J80" s="289"/>
      <c r="K80" s="289"/>
      <c r="L80" s="166"/>
      <c r="M80" s="23"/>
    </row>
    <row r="81" spans="1:13" x14ac:dyDescent="0.2">
      <c r="A81" s="295" t="s">
        <v>12</v>
      </c>
      <c r="B81" s="235"/>
      <c r="C81" s="288"/>
      <c r="D81" s="166"/>
      <c r="E81" s="365"/>
      <c r="F81" s="280"/>
      <c r="G81" s="280"/>
      <c r="H81" s="166"/>
      <c r="I81" s="365"/>
      <c r="J81" s="289"/>
      <c r="K81" s="289"/>
      <c r="L81" s="166"/>
      <c r="M81" s="23"/>
    </row>
    <row r="82" spans="1:13" x14ac:dyDescent="0.2">
      <c r="A82" s="295" t="s">
        <v>13</v>
      </c>
      <c r="B82" s="235"/>
      <c r="C82" s="288"/>
      <c r="D82" s="166"/>
      <c r="E82" s="365"/>
      <c r="F82" s="280"/>
      <c r="G82" s="280"/>
      <c r="H82" s="166"/>
      <c r="I82" s="365"/>
      <c r="J82" s="289"/>
      <c r="K82" s="289"/>
      <c r="L82" s="166"/>
      <c r="M82" s="23"/>
    </row>
    <row r="83" spans="1:13" ht="15.75" x14ac:dyDescent="0.2">
      <c r="A83" s="295" t="s">
        <v>467</v>
      </c>
      <c r="B83" s="280"/>
      <c r="C83" s="280"/>
      <c r="D83" s="166"/>
      <c r="E83" s="365"/>
      <c r="F83" s="280">
        <v>1430863.943</v>
      </c>
      <c r="G83" s="280">
        <v>1615809.59</v>
      </c>
      <c r="H83" s="166">
        <f t="shared" ref="H83" si="27">IF(F83=0, "    ---- ", IF(ABS(ROUND(100/F83*G83-100,1))&lt;999,ROUND(100/F83*G83-100,1),IF(ROUND(100/F83*G83-100,1)&gt;999,999,-999)))</f>
        <v>12.9</v>
      </c>
      <c r="I83" s="365">
        <f>IFERROR(100/'Skjema total MA'!F83*G83,0)</f>
        <v>5.0750285608318384</v>
      </c>
      <c r="J83" s="286">
        <f t="shared" ref="J83" si="28">SUM(B83,F83)</f>
        <v>1430863.943</v>
      </c>
      <c r="K83" s="286">
        <f t="shared" ref="K83" si="29">SUM(C83,G83)</f>
        <v>1615809.59</v>
      </c>
      <c r="L83" s="166">
        <f t="shared" ref="L83" si="30">IF(J83=0, "    ---- ", IF(ABS(ROUND(100/J83*K83-100,1))&lt;999,ROUND(100/J83*K83-100,1),IF(ROUND(100/J83*K83-100,1)&gt;999,999,-999)))</f>
        <v>12.9</v>
      </c>
      <c r="M83" s="23">
        <f>IFERROR(100/'Skjema total MA'!I83*K83,0)</f>
        <v>5.0524851028062159</v>
      </c>
    </row>
    <row r="84" spans="1:13" x14ac:dyDescent="0.2">
      <c r="A84" s="295" t="s">
        <v>12</v>
      </c>
      <c r="B84" s="235"/>
      <c r="C84" s="288"/>
      <c r="D84" s="166"/>
      <c r="E84" s="365"/>
      <c r="F84" s="280"/>
      <c r="G84" s="280"/>
      <c r="H84" s="166"/>
      <c r="I84" s="365"/>
      <c r="J84" s="289"/>
      <c r="K84" s="289"/>
      <c r="L84" s="166"/>
      <c r="M84" s="23"/>
    </row>
    <row r="85" spans="1:13" x14ac:dyDescent="0.2">
      <c r="A85" s="295" t="s">
        <v>13</v>
      </c>
      <c r="B85" s="235"/>
      <c r="C85" s="288"/>
      <c r="D85" s="166"/>
      <c r="E85" s="365"/>
      <c r="F85" s="280">
        <v>1430863.943</v>
      </c>
      <c r="G85" s="280">
        <v>1615809.59</v>
      </c>
      <c r="H85" s="166">
        <f t="shared" ref="H85" si="31">IF(F85=0, "    ---- ", IF(ABS(ROUND(100/F85*G85-100,1))&lt;999,ROUND(100/F85*G85-100,1),IF(ROUND(100/F85*G85-100,1)&gt;999,999,-999)))</f>
        <v>12.9</v>
      </c>
      <c r="I85" s="365">
        <f>IFERROR(100/'Skjema total MA'!F85*G85,0)</f>
        <v>5.0767610657672915</v>
      </c>
      <c r="J85" s="286">
        <f t="shared" ref="J85" si="32">SUM(B85,F85)</f>
        <v>1430863.943</v>
      </c>
      <c r="K85" s="286">
        <f t="shared" ref="K85" si="33">SUM(C85,G85)</f>
        <v>1615809.59</v>
      </c>
      <c r="L85" s="166">
        <f t="shared" ref="L85" si="34">IF(J85=0, "    ---- ", IF(ABS(ROUND(100/J85*K85-100,1))&lt;999,ROUND(100/J85*K85-100,1),IF(ROUND(100/J85*K85-100,1)&gt;999,999,-999)))</f>
        <v>12.9</v>
      </c>
      <c r="M85" s="23">
        <f>IFERROR(100/'Skjema total MA'!I85*K85,0)</f>
        <v>5.0767610657672915</v>
      </c>
    </row>
    <row r="86" spans="1:13" ht="15.75" x14ac:dyDescent="0.2">
      <c r="A86" s="21" t="s">
        <v>469</v>
      </c>
      <c r="B86" s="234"/>
      <c r="C86" s="145"/>
      <c r="D86" s="166"/>
      <c r="E86" s="27"/>
      <c r="F86" s="234"/>
      <c r="G86" s="145"/>
      <c r="H86" s="166"/>
      <c r="I86" s="27"/>
      <c r="J86" s="286"/>
      <c r="K86" s="44"/>
      <c r="L86" s="254"/>
      <c r="M86" s="27"/>
    </row>
    <row r="87" spans="1:13" ht="15.75" x14ac:dyDescent="0.2">
      <c r="A87" s="13" t="s">
        <v>451</v>
      </c>
      <c r="B87" s="352">
        <v>682180.38</v>
      </c>
      <c r="C87" s="352">
        <v>761742.97400000005</v>
      </c>
      <c r="D87" s="171">
        <f t="shared" si="15"/>
        <v>11.7</v>
      </c>
      <c r="E87" s="11">
        <f>IFERROR(100/'Skjema total MA'!C87*C87,0)</f>
        <v>0.19430985901232156</v>
      </c>
      <c r="F87" s="351">
        <v>12464415.055</v>
      </c>
      <c r="G87" s="351">
        <v>15886699.802999999</v>
      </c>
      <c r="H87" s="171">
        <f t="shared" si="16"/>
        <v>27.5</v>
      </c>
      <c r="I87" s="11">
        <f>IFERROR(100/'Skjema total MA'!F87*G87,0)</f>
        <v>5.0499786237841979</v>
      </c>
      <c r="J87" s="308">
        <f t="shared" ref="J87:K111" si="35">SUM(B87,F87)</f>
        <v>13146595.435000001</v>
      </c>
      <c r="K87" s="236">
        <f t="shared" si="35"/>
        <v>16648442.776999999</v>
      </c>
      <c r="L87" s="373">
        <f t="shared" si="18"/>
        <v>26.6</v>
      </c>
      <c r="M87" s="11">
        <f>IFERROR(100/'Skjema total MA'!I87*K87,0)</f>
        <v>2.3560862503541697</v>
      </c>
    </row>
    <row r="88" spans="1:13" x14ac:dyDescent="0.2">
      <c r="A88" s="21" t="s">
        <v>9</v>
      </c>
      <c r="B88" s="234">
        <v>682180.38</v>
      </c>
      <c r="C88" s="145">
        <v>761742.97400000005</v>
      </c>
      <c r="D88" s="166">
        <f t="shared" si="15"/>
        <v>11.7</v>
      </c>
      <c r="E88" s="27">
        <f>IFERROR(100/'Skjema total MA'!C88*C88,0)</f>
        <v>0.19928118439264</v>
      </c>
      <c r="F88" s="234"/>
      <c r="G88" s="145"/>
      <c r="H88" s="166"/>
      <c r="I88" s="27"/>
      <c r="J88" s="286">
        <f t="shared" si="35"/>
        <v>682180.38</v>
      </c>
      <c r="K88" s="44">
        <f t="shared" si="35"/>
        <v>761742.97400000005</v>
      </c>
      <c r="L88" s="254">
        <f t="shared" si="18"/>
        <v>11.7</v>
      </c>
      <c r="M88" s="27">
        <f>IFERROR(100/'Skjema total MA'!I88*K88,0)</f>
        <v>0.19928118439264</v>
      </c>
    </row>
    <row r="89" spans="1:13" x14ac:dyDescent="0.2">
      <c r="A89" s="21" t="s">
        <v>10</v>
      </c>
      <c r="B89" s="234"/>
      <c r="C89" s="145"/>
      <c r="D89" s="166"/>
      <c r="E89" s="27"/>
      <c r="F89" s="234">
        <v>12464415.055</v>
      </c>
      <c r="G89" s="145">
        <v>15886699.802999999</v>
      </c>
      <c r="H89" s="166">
        <f t="shared" si="16"/>
        <v>27.5</v>
      </c>
      <c r="I89" s="27">
        <f>IFERROR(100/'Skjema total MA'!F89*G89,0)</f>
        <v>5.0754335294868707</v>
      </c>
      <c r="J89" s="286">
        <f t="shared" si="35"/>
        <v>12464415.055</v>
      </c>
      <c r="K89" s="44">
        <f t="shared" si="35"/>
        <v>15886699.802999999</v>
      </c>
      <c r="L89" s="254">
        <f t="shared" si="18"/>
        <v>27.5</v>
      </c>
      <c r="M89" s="27">
        <f>IFERROR(100/'Skjema total MA'!I89*K89,0)</f>
        <v>5.0275129612407126</v>
      </c>
    </row>
    <row r="90" spans="1:13" ht="15.75" x14ac:dyDescent="0.2">
      <c r="A90" s="295" t="s">
        <v>466</v>
      </c>
      <c r="B90" s="280"/>
      <c r="C90" s="280"/>
      <c r="D90" s="166"/>
      <c r="E90" s="365"/>
      <c r="F90" s="280"/>
      <c r="G90" s="280"/>
      <c r="H90" s="166"/>
      <c r="I90" s="365"/>
      <c r="J90" s="289"/>
      <c r="K90" s="289"/>
      <c r="L90" s="166"/>
      <c r="M90" s="23"/>
    </row>
    <row r="91" spans="1:13" x14ac:dyDescent="0.2">
      <c r="A91" s="295" t="s">
        <v>12</v>
      </c>
      <c r="B91" s="235"/>
      <c r="C91" s="288"/>
      <c r="D91" s="166"/>
      <c r="E91" s="365"/>
      <c r="F91" s="280"/>
      <c r="G91" s="280"/>
      <c r="H91" s="166"/>
      <c r="I91" s="365"/>
      <c r="J91" s="289"/>
      <c r="K91" s="289"/>
      <c r="L91" s="166"/>
      <c r="M91" s="23"/>
    </row>
    <row r="92" spans="1:13" x14ac:dyDescent="0.2">
      <c r="A92" s="295" t="s">
        <v>13</v>
      </c>
      <c r="B92" s="235"/>
      <c r="C92" s="288"/>
      <c r="D92" s="166"/>
      <c r="E92" s="365"/>
      <c r="F92" s="280"/>
      <c r="G92" s="280"/>
      <c r="H92" s="166"/>
      <c r="I92" s="365"/>
      <c r="J92" s="289"/>
      <c r="K92" s="289"/>
      <c r="L92" s="166"/>
      <c r="M92" s="23"/>
    </row>
    <row r="93" spans="1:13" ht="15.75" x14ac:dyDescent="0.2">
      <c r="A93" s="295" t="s">
        <v>467</v>
      </c>
      <c r="B93" s="280"/>
      <c r="C93" s="280"/>
      <c r="D93" s="166"/>
      <c r="E93" s="365"/>
      <c r="F93" s="280">
        <v>12464415.055</v>
      </c>
      <c r="G93" s="280">
        <v>15886699.802999999</v>
      </c>
      <c r="H93" s="166">
        <f t="shared" si="16"/>
        <v>27.5</v>
      </c>
      <c r="I93" s="365">
        <f>IFERROR(100/'Skjema total MA'!F93*G93,0)</f>
        <v>5.0774218537205913</v>
      </c>
      <c r="J93" s="286">
        <f t="shared" ref="J93" si="36">SUM(B93,F93)</f>
        <v>12464415.055</v>
      </c>
      <c r="K93" s="286">
        <f t="shared" ref="K93" si="37">SUM(C93,G93)</f>
        <v>15886699.802999999</v>
      </c>
      <c r="L93" s="166">
        <f t="shared" ref="L93" si="38">IF(J93=0, "    ---- ", IF(ABS(ROUND(100/J93*K93-100,1))&lt;999,ROUND(100/J93*K93-100,1),IF(ROUND(100/J93*K93-100,1)&gt;999,999,-999)))</f>
        <v>27.5</v>
      </c>
      <c r="M93" s="23">
        <f>IFERROR(100/'Skjema total MA'!I93*K93,0)</f>
        <v>5.0294639093053153</v>
      </c>
    </row>
    <row r="94" spans="1:13" x14ac:dyDescent="0.2">
      <c r="A94" s="295" t="s">
        <v>12</v>
      </c>
      <c r="B94" s="235"/>
      <c r="C94" s="288"/>
      <c r="D94" s="166"/>
      <c r="E94" s="365"/>
      <c r="F94" s="280"/>
      <c r="G94" s="280"/>
      <c r="H94" s="166"/>
      <c r="I94" s="365"/>
      <c r="J94" s="289"/>
      <c r="K94" s="289"/>
      <c r="L94" s="166"/>
      <c r="M94" s="23"/>
    </row>
    <row r="95" spans="1:13" x14ac:dyDescent="0.2">
      <c r="A95" s="295" t="s">
        <v>13</v>
      </c>
      <c r="B95" s="235"/>
      <c r="C95" s="288"/>
      <c r="D95" s="166"/>
      <c r="E95" s="365"/>
      <c r="F95" s="280">
        <v>12464415.055</v>
      </c>
      <c r="G95" s="280">
        <v>15886699.802999999</v>
      </c>
      <c r="H95" s="166">
        <f t="shared" si="16"/>
        <v>27.5</v>
      </c>
      <c r="I95" s="365">
        <f>IFERROR(100/'Skjema total MA'!F95*G95,0)</f>
        <v>5.0899137051651202</v>
      </c>
      <c r="J95" s="286">
        <f t="shared" ref="J95" si="39">SUM(B95,F95)</f>
        <v>12464415.055</v>
      </c>
      <c r="K95" s="286">
        <f t="shared" ref="K95" si="40">SUM(C95,G95)</f>
        <v>15886699.802999999</v>
      </c>
      <c r="L95" s="166">
        <f t="shared" ref="L95" si="41">IF(J95=0, "    ---- ", IF(ABS(ROUND(100/J95*K95-100,1))&lt;999,ROUND(100/J95*K95-100,1),IF(ROUND(100/J95*K95-100,1)&gt;999,999,-999)))</f>
        <v>27.5</v>
      </c>
      <c r="M95" s="23">
        <f>IFERROR(100/'Skjema total MA'!I95*K95,0)</f>
        <v>5.0899137051651202</v>
      </c>
    </row>
    <row r="96" spans="1:13" x14ac:dyDescent="0.2">
      <c r="A96" s="21" t="s">
        <v>351</v>
      </c>
      <c r="B96" s="234"/>
      <c r="C96" s="145"/>
      <c r="D96" s="166"/>
      <c r="E96" s="27"/>
      <c r="F96" s="234"/>
      <c r="G96" s="145"/>
      <c r="H96" s="166"/>
      <c r="I96" s="27"/>
      <c r="J96" s="286"/>
      <c r="K96" s="44"/>
      <c r="L96" s="254"/>
      <c r="M96" s="27"/>
    </row>
    <row r="97" spans="1:13" x14ac:dyDescent="0.2">
      <c r="A97" s="21" t="s">
        <v>350</v>
      </c>
      <c r="B97" s="234"/>
      <c r="C97" s="145"/>
      <c r="D97" s="166"/>
      <c r="E97" s="27"/>
      <c r="F97" s="234"/>
      <c r="G97" s="145"/>
      <c r="H97" s="166"/>
      <c r="I97" s="27"/>
      <c r="J97" s="286"/>
      <c r="K97" s="44"/>
      <c r="L97" s="254"/>
      <c r="M97" s="27"/>
    </row>
    <row r="98" spans="1:13" ht="15.75" x14ac:dyDescent="0.2">
      <c r="A98" s="21" t="s">
        <v>468</v>
      </c>
      <c r="B98" s="234">
        <v>682180.38</v>
      </c>
      <c r="C98" s="234">
        <v>761742.97400000005</v>
      </c>
      <c r="D98" s="166">
        <f t="shared" si="15"/>
        <v>11.7</v>
      </c>
      <c r="E98" s="27">
        <f>IFERROR(100/'Skjema total MA'!C98*C98,0)</f>
        <v>0.20012442922255747</v>
      </c>
      <c r="F98" s="291">
        <v>12464415.055</v>
      </c>
      <c r="G98" s="291">
        <v>15886699.802999999</v>
      </c>
      <c r="H98" s="166">
        <f t="shared" si="16"/>
        <v>27.5</v>
      </c>
      <c r="I98" s="27">
        <f>IFERROR(100/'Skjema total MA'!F98*G98,0)</f>
        <v>5.0897664734020465</v>
      </c>
      <c r="J98" s="286">
        <f t="shared" si="35"/>
        <v>13146595.435000001</v>
      </c>
      <c r="K98" s="44">
        <f t="shared" si="35"/>
        <v>16648442.776999999</v>
      </c>
      <c r="L98" s="254">
        <f t="shared" si="18"/>
        <v>26.6</v>
      </c>
      <c r="M98" s="27">
        <f>IFERROR(100/'Skjema total MA'!I98*K98,0)</f>
        <v>2.4031879525866153</v>
      </c>
    </row>
    <row r="99" spans="1:13" x14ac:dyDescent="0.2">
      <c r="A99" s="21" t="s">
        <v>9</v>
      </c>
      <c r="B99" s="291">
        <v>682180.38</v>
      </c>
      <c r="C99" s="292">
        <v>761742.97400000005</v>
      </c>
      <c r="D99" s="166">
        <f t="shared" si="15"/>
        <v>11.7</v>
      </c>
      <c r="E99" s="27">
        <f>IFERROR(100/'Skjema total MA'!C99*C99,0)</f>
        <v>0.20170545387787076</v>
      </c>
      <c r="F99" s="234"/>
      <c r="G99" s="145"/>
      <c r="H99" s="166"/>
      <c r="I99" s="27"/>
      <c r="J99" s="286">
        <f t="shared" si="35"/>
        <v>682180.38</v>
      </c>
      <c r="K99" s="44">
        <f t="shared" si="35"/>
        <v>761742.97400000005</v>
      </c>
      <c r="L99" s="254">
        <f t="shared" si="18"/>
        <v>11.7</v>
      </c>
      <c r="M99" s="27">
        <f>IFERROR(100/'Skjema total MA'!I99*K99,0)</f>
        <v>0.20170545387787076</v>
      </c>
    </row>
    <row r="100" spans="1:13" x14ac:dyDescent="0.2">
      <c r="A100" s="21" t="s">
        <v>10</v>
      </c>
      <c r="B100" s="291"/>
      <c r="C100" s="292"/>
      <c r="D100" s="166"/>
      <c r="E100" s="27"/>
      <c r="F100" s="234">
        <v>12464415.055</v>
      </c>
      <c r="G100" s="234">
        <v>15886699.802999999</v>
      </c>
      <c r="H100" s="166">
        <f t="shared" si="16"/>
        <v>27.5</v>
      </c>
      <c r="I100" s="27">
        <f>IFERROR(100/'Skjema total MA'!F100*G100,0)</f>
        <v>5.0897664734020465</v>
      </c>
      <c r="J100" s="286">
        <f t="shared" si="35"/>
        <v>12464415.055</v>
      </c>
      <c r="K100" s="44">
        <f t="shared" si="35"/>
        <v>15886699.802999999</v>
      </c>
      <c r="L100" s="254">
        <f t="shared" si="18"/>
        <v>27.5</v>
      </c>
      <c r="M100" s="27">
        <f>IFERROR(100/'Skjema total MA'!I100*K100,0)</f>
        <v>5.0415761488638609</v>
      </c>
    </row>
    <row r="101" spans="1:13" ht="15.75" x14ac:dyDescent="0.2">
      <c r="A101" s="295" t="s">
        <v>466</v>
      </c>
      <c r="B101" s="280"/>
      <c r="C101" s="280"/>
      <c r="D101" s="166"/>
      <c r="E101" s="365"/>
      <c r="F101" s="280"/>
      <c r="G101" s="280"/>
      <c r="H101" s="166"/>
      <c r="I101" s="365"/>
      <c r="J101" s="289"/>
      <c r="K101" s="289"/>
      <c r="L101" s="166"/>
      <c r="M101" s="23"/>
    </row>
    <row r="102" spans="1:13" x14ac:dyDescent="0.2">
      <c r="A102" s="295" t="s">
        <v>12</v>
      </c>
      <c r="B102" s="235"/>
      <c r="C102" s="288"/>
      <c r="D102" s="166"/>
      <c r="E102" s="365"/>
      <c r="F102" s="280"/>
      <c r="G102" s="280"/>
      <c r="H102" s="166"/>
      <c r="I102" s="365"/>
      <c r="J102" s="289"/>
      <c r="K102" s="289"/>
      <c r="L102" s="166"/>
      <c r="M102" s="23"/>
    </row>
    <row r="103" spans="1:13" x14ac:dyDescent="0.2">
      <c r="A103" s="295" t="s">
        <v>13</v>
      </c>
      <c r="B103" s="235"/>
      <c r="C103" s="288"/>
      <c r="D103" s="166"/>
      <c r="E103" s="365"/>
      <c r="F103" s="280"/>
      <c r="G103" s="280"/>
      <c r="H103" s="166"/>
      <c r="I103" s="365"/>
      <c r="J103" s="289"/>
      <c r="K103" s="289"/>
      <c r="L103" s="166"/>
      <c r="M103" s="23"/>
    </row>
    <row r="104" spans="1:13" ht="15.75" x14ac:dyDescent="0.2">
      <c r="A104" s="295" t="s">
        <v>467</v>
      </c>
      <c r="B104" s="280"/>
      <c r="C104" s="280"/>
      <c r="D104" s="166"/>
      <c r="E104" s="365"/>
      <c r="F104" s="280">
        <v>12464415.055</v>
      </c>
      <c r="G104" s="280">
        <v>15886699.802999999</v>
      </c>
      <c r="H104" s="166">
        <f t="shared" si="16"/>
        <v>27.5</v>
      </c>
      <c r="I104" s="365">
        <f>IFERROR(100/'Skjema total MA'!F104*G104,0)</f>
        <v>5.0897664734020465</v>
      </c>
      <c r="J104" s="286">
        <f t="shared" ref="J104" si="42">SUM(B104,F104)</f>
        <v>12464415.055</v>
      </c>
      <c r="K104" s="286">
        <f t="shared" ref="K104" si="43">SUM(C104,G104)</f>
        <v>15886699.802999999</v>
      </c>
      <c r="L104" s="166">
        <f t="shared" ref="L104" si="44">IF(J104=0, "    ---- ", IF(ABS(ROUND(100/J104*K104-100,1))&lt;999,ROUND(100/J104*K104-100,1),IF(ROUND(100/J104*K104-100,1)&gt;999,999,-999)))</f>
        <v>27.5</v>
      </c>
      <c r="M104" s="23">
        <f>IFERROR(100/'Skjema total MA'!I104*K104,0)</f>
        <v>5.0415761488638609</v>
      </c>
    </row>
    <row r="105" spans="1:13" x14ac:dyDescent="0.2">
      <c r="A105" s="295" t="s">
        <v>12</v>
      </c>
      <c r="B105" s="235"/>
      <c r="C105" s="288"/>
      <c r="D105" s="166"/>
      <c r="E105" s="365"/>
      <c r="F105" s="280"/>
      <c r="G105" s="280"/>
      <c r="H105" s="166"/>
      <c r="I105" s="365"/>
      <c r="J105" s="289"/>
      <c r="K105" s="289"/>
      <c r="L105" s="166"/>
      <c r="M105" s="23"/>
    </row>
    <row r="106" spans="1:13" x14ac:dyDescent="0.2">
      <c r="A106" s="295" t="s">
        <v>13</v>
      </c>
      <c r="B106" s="235"/>
      <c r="C106" s="288"/>
      <c r="D106" s="166"/>
      <c r="E106" s="365"/>
      <c r="F106" s="280">
        <v>12464415.055</v>
      </c>
      <c r="G106" s="280">
        <v>15886699.802999999</v>
      </c>
      <c r="H106" s="166">
        <f t="shared" si="16"/>
        <v>27.5</v>
      </c>
      <c r="I106" s="365">
        <f>IFERROR(100/'Skjema total MA'!F106*G106,0)</f>
        <v>5.0915285789474529</v>
      </c>
      <c r="J106" s="286">
        <f t="shared" ref="J106" si="45">SUM(B106,F106)</f>
        <v>12464415.055</v>
      </c>
      <c r="K106" s="286">
        <f t="shared" ref="K106" si="46">SUM(C106,G106)</f>
        <v>15886699.802999999</v>
      </c>
      <c r="L106" s="166">
        <f t="shared" ref="L106" si="47">IF(J106=0, "    ---- ", IF(ABS(ROUND(100/J106*K106-100,1))&lt;999,ROUND(100/J106*K106-100,1),IF(ROUND(100/J106*K106-100,1)&gt;999,999,-999)))</f>
        <v>27.5</v>
      </c>
      <c r="M106" s="23">
        <f>IFERROR(100/'Skjema total MA'!I106*K106,0)</f>
        <v>5.0915285789474529</v>
      </c>
    </row>
    <row r="107" spans="1:13" ht="15.75" x14ac:dyDescent="0.2">
      <c r="A107" s="21" t="s">
        <v>469</v>
      </c>
      <c r="B107" s="234"/>
      <c r="C107" s="145"/>
      <c r="D107" s="166"/>
      <c r="E107" s="27"/>
      <c r="F107" s="234"/>
      <c r="G107" s="145"/>
      <c r="H107" s="166"/>
      <c r="I107" s="27"/>
      <c r="J107" s="286"/>
      <c r="K107" s="44"/>
      <c r="L107" s="254"/>
      <c r="M107" s="27"/>
    </row>
    <row r="108" spans="1:13" ht="15.75" x14ac:dyDescent="0.2">
      <c r="A108" s="21" t="s">
        <v>470</v>
      </c>
      <c r="B108" s="234">
        <v>270105</v>
      </c>
      <c r="C108" s="234">
        <v>185880</v>
      </c>
      <c r="D108" s="166">
        <f t="shared" si="15"/>
        <v>-31.2</v>
      </c>
      <c r="E108" s="27">
        <f>IFERROR(100/'Skjema total MA'!C108*C108,0)</f>
        <v>5.8516567519648968E-2</v>
      </c>
      <c r="F108" s="234">
        <v>164740.61799999999</v>
      </c>
      <c r="G108" s="234">
        <v>193431</v>
      </c>
      <c r="H108" s="166">
        <f t="shared" si="16"/>
        <v>17.399999999999999</v>
      </c>
      <c r="I108" s="27">
        <f>IFERROR(100/'Skjema total MA'!F108*G108,0)</f>
        <v>1.1305835074523418</v>
      </c>
      <c r="J108" s="286">
        <f t="shared" si="35"/>
        <v>434845.61800000002</v>
      </c>
      <c r="K108" s="44">
        <f t="shared" si="35"/>
        <v>379311</v>
      </c>
      <c r="L108" s="254">
        <f t="shared" si="18"/>
        <v>-12.8</v>
      </c>
      <c r="M108" s="27">
        <f>IFERROR(100/'Skjema total MA'!I108*K108,0)</f>
        <v>0.11330746656087234</v>
      </c>
    </row>
    <row r="109" spans="1:13" ht="15.75" x14ac:dyDescent="0.2">
      <c r="A109" s="21" t="s">
        <v>471</v>
      </c>
      <c r="B109" s="234"/>
      <c r="C109" s="234"/>
      <c r="D109" s="166"/>
      <c r="E109" s="27"/>
      <c r="F109" s="234">
        <v>4405310.4869999997</v>
      </c>
      <c r="G109" s="234">
        <v>5571825.7180000003</v>
      </c>
      <c r="H109" s="166">
        <f t="shared" si="16"/>
        <v>26.5</v>
      </c>
      <c r="I109" s="27">
        <f>IFERROR(100/'Skjema total MA'!F109*G109,0)</f>
        <v>5.1862346948378129</v>
      </c>
      <c r="J109" s="286">
        <f t="shared" si="35"/>
        <v>4405310.4869999997</v>
      </c>
      <c r="K109" s="44">
        <f t="shared" si="35"/>
        <v>5571825.7180000003</v>
      </c>
      <c r="L109" s="254">
        <f t="shared" si="18"/>
        <v>26.5</v>
      </c>
      <c r="M109" s="27">
        <f>IFERROR(100/'Skjema total MA'!I109*K109,0)</f>
        <v>5.1405803068105014</v>
      </c>
    </row>
    <row r="110" spans="1:13" ht="15.75" x14ac:dyDescent="0.2">
      <c r="A110" s="21" t="s">
        <v>472</v>
      </c>
      <c r="B110" s="234"/>
      <c r="C110" s="234"/>
      <c r="D110" s="166"/>
      <c r="E110" s="27"/>
      <c r="F110" s="234"/>
      <c r="G110" s="234"/>
      <c r="H110" s="166"/>
      <c r="I110" s="27"/>
      <c r="J110" s="286"/>
      <c r="K110" s="44"/>
      <c r="L110" s="254"/>
      <c r="M110" s="27"/>
    </row>
    <row r="111" spans="1:13" ht="15.75" x14ac:dyDescent="0.2">
      <c r="A111" s="13" t="s">
        <v>452</v>
      </c>
      <c r="B111" s="307">
        <v>26721.83</v>
      </c>
      <c r="C111" s="159">
        <v>27782.634999999998</v>
      </c>
      <c r="D111" s="171">
        <f t="shared" si="15"/>
        <v>4</v>
      </c>
      <c r="E111" s="11">
        <f>IFERROR(100/'Skjema total MA'!C111*C111,0)</f>
        <v>5.8291263260352562</v>
      </c>
      <c r="F111" s="307">
        <v>658509.79799999995</v>
      </c>
      <c r="G111" s="159">
        <v>937257.74</v>
      </c>
      <c r="H111" s="171">
        <f t="shared" si="16"/>
        <v>42.3</v>
      </c>
      <c r="I111" s="11">
        <f>IFERROR(100/'Skjema total MA'!F111*G111,0)</f>
        <v>7.0807359983368281</v>
      </c>
      <c r="J111" s="308">
        <f t="shared" si="35"/>
        <v>685231.62799999991</v>
      </c>
      <c r="K111" s="236">
        <f t="shared" si="35"/>
        <v>965040.375</v>
      </c>
      <c r="L111" s="373">
        <f t="shared" si="18"/>
        <v>40.799999999999997</v>
      </c>
      <c r="M111" s="11">
        <f>IFERROR(100/'Skjema total MA'!I111*K111,0)</f>
        <v>7.0372353759794173</v>
      </c>
    </row>
    <row r="112" spans="1:13" x14ac:dyDescent="0.2">
      <c r="A112" s="21" t="s">
        <v>9</v>
      </c>
      <c r="B112" s="234">
        <v>26721.83</v>
      </c>
      <c r="C112" s="145">
        <v>27782.634999999998</v>
      </c>
      <c r="D112" s="166">
        <f t="shared" si="15"/>
        <v>4</v>
      </c>
      <c r="E112" s="27">
        <f>IFERROR(100/'Skjema total MA'!C112*C112,0)</f>
        <v>7.6869004724160037</v>
      </c>
      <c r="F112" s="234"/>
      <c r="G112" s="145"/>
      <c r="H112" s="166"/>
      <c r="I112" s="27"/>
      <c r="J112" s="286">
        <f t="shared" ref="J112:K125" si="48">SUM(B112,F112)</f>
        <v>26721.83</v>
      </c>
      <c r="K112" s="44">
        <f t="shared" si="48"/>
        <v>27782.634999999998</v>
      </c>
      <c r="L112" s="254">
        <f t="shared" si="18"/>
        <v>4</v>
      </c>
      <c r="M112" s="27">
        <f>IFERROR(100/'Skjema total MA'!I112*K112,0)</f>
        <v>7.5615836540243251</v>
      </c>
    </row>
    <row r="113" spans="1:14" x14ac:dyDescent="0.2">
      <c r="A113" s="21" t="s">
        <v>10</v>
      </c>
      <c r="B113" s="234"/>
      <c r="C113" s="145"/>
      <c r="D113" s="166"/>
      <c r="E113" s="27"/>
      <c r="F113" s="234">
        <v>658509.79799999995</v>
      </c>
      <c r="G113" s="145">
        <v>937257.74</v>
      </c>
      <c r="H113" s="166">
        <f t="shared" si="16"/>
        <v>42.3</v>
      </c>
      <c r="I113" s="27">
        <f>IFERROR(100/'Skjema total MA'!F113*G113,0)</f>
        <v>7.1008351540370285</v>
      </c>
      <c r="J113" s="286">
        <f t="shared" si="48"/>
        <v>658509.79799999995</v>
      </c>
      <c r="K113" s="44">
        <f t="shared" si="48"/>
        <v>937257.74</v>
      </c>
      <c r="L113" s="254">
        <f t="shared" si="18"/>
        <v>42.3</v>
      </c>
      <c r="M113" s="27">
        <f>IFERROR(100/'Skjema total MA'!I113*K113,0)</f>
        <v>7.0998870571284849</v>
      </c>
    </row>
    <row r="114" spans="1:14" x14ac:dyDescent="0.2">
      <c r="A114" s="21" t="s">
        <v>26</v>
      </c>
      <c r="B114" s="234"/>
      <c r="C114" s="145"/>
      <c r="D114" s="166"/>
      <c r="E114" s="27"/>
      <c r="F114" s="234"/>
      <c r="G114" s="145"/>
      <c r="H114" s="166"/>
      <c r="I114" s="27"/>
      <c r="J114" s="286"/>
      <c r="K114" s="44"/>
      <c r="L114" s="254"/>
      <c r="M114" s="27"/>
    </row>
    <row r="115" spans="1:14" x14ac:dyDescent="0.2">
      <c r="A115" s="295" t="s">
        <v>15</v>
      </c>
      <c r="B115" s="280"/>
      <c r="C115" s="280"/>
      <c r="D115" s="166"/>
      <c r="E115" s="365"/>
      <c r="F115" s="280"/>
      <c r="G115" s="280"/>
      <c r="H115" s="166"/>
      <c r="I115" s="365"/>
      <c r="J115" s="289"/>
      <c r="K115" s="289"/>
      <c r="L115" s="166"/>
      <c r="M115" s="23"/>
    </row>
    <row r="116" spans="1:14" ht="15.75" x14ac:dyDescent="0.2">
      <c r="A116" s="21" t="s">
        <v>473</v>
      </c>
      <c r="B116" s="234"/>
      <c r="C116" s="234"/>
      <c r="D116" s="166"/>
      <c r="E116" s="27"/>
      <c r="F116" s="234"/>
      <c r="G116" s="234"/>
      <c r="H116" s="166"/>
      <c r="I116" s="27"/>
      <c r="J116" s="286"/>
      <c r="K116" s="44"/>
      <c r="L116" s="254"/>
      <c r="M116" s="27"/>
    </row>
    <row r="117" spans="1:14" ht="15.75" x14ac:dyDescent="0.2">
      <c r="A117" s="21" t="s">
        <v>474</v>
      </c>
      <c r="B117" s="234"/>
      <c r="C117" s="234"/>
      <c r="D117" s="166"/>
      <c r="E117" s="27"/>
      <c r="F117" s="234">
        <v>77416.421000000002</v>
      </c>
      <c r="G117" s="234">
        <v>111739.095</v>
      </c>
      <c r="H117" s="166">
        <f t="shared" si="16"/>
        <v>44.3</v>
      </c>
      <c r="I117" s="27">
        <f>IFERROR(100/'Skjema total MA'!F117*G117,0)</f>
        <v>3.5652492181879478</v>
      </c>
      <c r="J117" s="286">
        <f t="shared" si="48"/>
        <v>77416.421000000002</v>
      </c>
      <c r="K117" s="44">
        <f t="shared" si="48"/>
        <v>111739.095</v>
      </c>
      <c r="L117" s="254">
        <f t="shared" si="18"/>
        <v>44.3</v>
      </c>
      <c r="M117" s="27">
        <f>IFERROR(100/'Skjema total MA'!I117*K117,0)</f>
        <v>3.5652492181879478</v>
      </c>
    </row>
    <row r="118" spans="1:14" ht="15.75" x14ac:dyDescent="0.2">
      <c r="A118" s="21" t="s">
        <v>472</v>
      </c>
      <c r="B118" s="234"/>
      <c r="C118" s="234"/>
      <c r="D118" s="166"/>
      <c r="E118" s="27"/>
      <c r="F118" s="234"/>
      <c r="G118" s="234"/>
      <c r="H118" s="166"/>
      <c r="I118" s="27"/>
      <c r="J118" s="286"/>
      <c r="K118" s="44"/>
      <c r="L118" s="254"/>
      <c r="M118" s="27"/>
    </row>
    <row r="119" spans="1:14" ht="15.75" x14ac:dyDescent="0.2">
      <c r="A119" s="13" t="s">
        <v>453</v>
      </c>
      <c r="B119" s="307">
        <v>19549.496999999999</v>
      </c>
      <c r="C119" s="159">
        <v>15680.87</v>
      </c>
      <c r="D119" s="171">
        <f t="shared" si="15"/>
        <v>-19.8</v>
      </c>
      <c r="E119" s="11">
        <f>IFERROR(100/'Skjema total MA'!C119*C119,0)</f>
        <v>3.1892697759192274</v>
      </c>
      <c r="F119" s="307">
        <v>843824.05500000005</v>
      </c>
      <c r="G119" s="159">
        <v>684216.22100000002</v>
      </c>
      <c r="H119" s="171">
        <f t="shared" si="16"/>
        <v>-18.899999999999999</v>
      </c>
      <c r="I119" s="11">
        <f>IFERROR(100/'Skjema total MA'!F119*G119,0)</f>
        <v>5.0457540360950057</v>
      </c>
      <c r="J119" s="308">
        <f t="shared" si="48"/>
        <v>863373.55200000003</v>
      </c>
      <c r="K119" s="236">
        <f t="shared" si="48"/>
        <v>699897.09100000001</v>
      </c>
      <c r="L119" s="373">
        <f t="shared" si="18"/>
        <v>-18.899999999999999</v>
      </c>
      <c r="M119" s="11">
        <f>IFERROR(100/'Skjema total MA'!I119*K119,0)</f>
        <v>4.9807957270596823</v>
      </c>
    </row>
    <row r="120" spans="1:14" x14ac:dyDescent="0.2">
      <c r="A120" s="21" t="s">
        <v>9</v>
      </c>
      <c r="B120" s="234">
        <v>19549.496999999999</v>
      </c>
      <c r="C120" s="145">
        <v>15680.87</v>
      </c>
      <c r="D120" s="166">
        <f t="shared" si="15"/>
        <v>-19.8</v>
      </c>
      <c r="E120" s="27">
        <f>IFERROR(100/'Skjema total MA'!C120*C120,0)</f>
        <v>5.5595725177803708</v>
      </c>
      <c r="F120" s="234"/>
      <c r="G120" s="145"/>
      <c r="H120" s="166"/>
      <c r="I120" s="27"/>
      <c r="J120" s="286">
        <f t="shared" si="48"/>
        <v>19549.496999999999</v>
      </c>
      <c r="K120" s="44">
        <f t="shared" si="48"/>
        <v>15680.87</v>
      </c>
      <c r="L120" s="254">
        <f t="shared" si="18"/>
        <v>-19.8</v>
      </c>
      <c r="M120" s="27">
        <f>IFERROR(100/'Skjema total MA'!I120*K120,0)</f>
        <v>5.5595725177803708</v>
      </c>
    </row>
    <row r="121" spans="1:14" x14ac:dyDescent="0.2">
      <c r="A121" s="21" t="s">
        <v>10</v>
      </c>
      <c r="B121" s="234"/>
      <c r="C121" s="145"/>
      <c r="D121" s="166"/>
      <c r="E121" s="27"/>
      <c r="F121" s="234">
        <v>843824.05500000005</v>
      </c>
      <c r="G121" s="145">
        <v>684216.22100000002</v>
      </c>
      <c r="H121" s="166">
        <f t="shared" si="16"/>
        <v>-18.899999999999999</v>
      </c>
      <c r="I121" s="27">
        <f>IFERROR(100/'Skjema total MA'!F121*G121,0)</f>
        <v>5.0457540360950057</v>
      </c>
      <c r="J121" s="286">
        <f t="shared" si="48"/>
        <v>843824.05500000005</v>
      </c>
      <c r="K121" s="44">
        <f t="shared" si="48"/>
        <v>684216.22100000002</v>
      </c>
      <c r="L121" s="254">
        <f t="shared" si="18"/>
        <v>-18.899999999999999</v>
      </c>
      <c r="M121" s="27">
        <f>IFERROR(100/'Skjema total MA'!I121*K121,0)</f>
        <v>5.0312278868501163</v>
      </c>
    </row>
    <row r="122" spans="1:14" x14ac:dyDescent="0.2">
      <c r="A122" s="21" t="s">
        <v>26</v>
      </c>
      <c r="B122" s="234"/>
      <c r="C122" s="145"/>
      <c r="D122" s="166"/>
      <c r="E122" s="27"/>
      <c r="F122" s="234"/>
      <c r="G122" s="145"/>
      <c r="H122" s="166"/>
      <c r="I122" s="27"/>
      <c r="J122" s="286"/>
      <c r="K122" s="44"/>
      <c r="L122" s="254"/>
      <c r="M122" s="27"/>
    </row>
    <row r="123" spans="1:14" x14ac:dyDescent="0.2">
      <c r="A123" s="295" t="s">
        <v>14</v>
      </c>
      <c r="B123" s="280"/>
      <c r="C123" s="280"/>
      <c r="D123" s="166"/>
      <c r="E123" s="365"/>
      <c r="F123" s="280"/>
      <c r="G123" s="280"/>
      <c r="H123" s="166"/>
      <c r="I123" s="365"/>
      <c r="J123" s="289"/>
      <c r="K123" s="289"/>
      <c r="L123" s="166"/>
      <c r="M123" s="23"/>
    </row>
    <row r="124" spans="1:14" ht="15.75" x14ac:dyDescent="0.2">
      <c r="A124" s="21" t="s">
        <v>479</v>
      </c>
      <c r="B124" s="234">
        <v>16.984000000000002</v>
      </c>
      <c r="C124" s="234">
        <v>18.431000000000001</v>
      </c>
      <c r="D124" s="166">
        <f t="shared" si="15"/>
        <v>8.5</v>
      </c>
      <c r="E124" s="27">
        <f>IFERROR(100/'Skjema total MA'!C124*C124,0)</f>
        <v>2.3265985210247576E-2</v>
      </c>
      <c r="F124" s="234">
        <v>124.96899999999999</v>
      </c>
      <c r="G124" s="234">
        <v>2354.4630000000002</v>
      </c>
      <c r="H124" s="166">
        <f t="shared" si="16"/>
        <v>999</v>
      </c>
      <c r="I124" s="27">
        <f>IFERROR(100/'Skjema total MA'!F124*G124,0)</f>
        <v>7.9554569852544157</v>
      </c>
      <c r="J124" s="286">
        <f t="shared" si="48"/>
        <v>141.953</v>
      </c>
      <c r="K124" s="44">
        <f t="shared" si="48"/>
        <v>2372.8940000000002</v>
      </c>
      <c r="L124" s="254">
        <f t="shared" si="18"/>
        <v>999</v>
      </c>
      <c r="M124" s="27">
        <f>IFERROR(100/'Skjema total MA'!I124*K124,0)</f>
        <v>2.1806836454559746</v>
      </c>
    </row>
    <row r="125" spans="1:14" ht="15.75" x14ac:dyDescent="0.2">
      <c r="A125" s="21" t="s">
        <v>471</v>
      </c>
      <c r="B125" s="234"/>
      <c r="C125" s="234"/>
      <c r="D125" s="166"/>
      <c r="E125" s="27"/>
      <c r="F125" s="234">
        <v>164443.59899999999</v>
      </c>
      <c r="G125" s="234">
        <v>183818.86199999999</v>
      </c>
      <c r="H125" s="166">
        <f t="shared" si="16"/>
        <v>11.8</v>
      </c>
      <c r="I125" s="27">
        <f>IFERROR(100/'Skjema total MA'!F125*G125,0)</f>
        <v>5.9059267237387392</v>
      </c>
      <c r="J125" s="286">
        <f t="shared" si="48"/>
        <v>164443.59899999999</v>
      </c>
      <c r="K125" s="44">
        <f t="shared" si="48"/>
        <v>183818.86199999999</v>
      </c>
      <c r="L125" s="254">
        <f t="shared" si="18"/>
        <v>11.8</v>
      </c>
      <c r="M125" s="27">
        <f>IFERROR(100/'Skjema total MA'!I125*K125,0)</f>
        <v>5.8991041905350565</v>
      </c>
    </row>
    <row r="126" spans="1:14" ht="15.75" x14ac:dyDescent="0.2">
      <c r="A126" s="10" t="s">
        <v>472</v>
      </c>
      <c r="B126" s="45"/>
      <c r="C126" s="45"/>
      <c r="D126" s="167"/>
      <c r="E126" s="366"/>
      <c r="F126" s="45"/>
      <c r="G126" s="45"/>
      <c r="H126" s="167"/>
      <c r="I126" s="22"/>
      <c r="J126" s="287"/>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975"/>
      <c r="C130" s="975"/>
      <c r="D130" s="975"/>
      <c r="E130" s="357"/>
      <c r="F130" s="975"/>
      <c r="G130" s="975"/>
      <c r="H130" s="975"/>
      <c r="I130" s="357"/>
      <c r="J130" s="975"/>
      <c r="K130" s="975"/>
      <c r="L130" s="975"/>
      <c r="M130" s="357"/>
    </row>
    <row r="131" spans="1:14" s="3" customFormat="1" x14ac:dyDescent="0.2">
      <c r="A131" s="144"/>
      <c r="B131" s="973" t="s">
        <v>0</v>
      </c>
      <c r="C131" s="974"/>
      <c r="D131" s="974"/>
      <c r="E131" s="356"/>
      <c r="F131" s="973" t="s">
        <v>1</v>
      </c>
      <c r="G131" s="974"/>
      <c r="H131" s="974"/>
      <c r="I131" s="359"/>
      <c r="J131" s="973" t="s">
        <v>2</v>
      </c>
      <c r="K131" s="974"/>
      <c r="L131" s="974"/>
      <c r="M131" s="359"/>
      <c r="N131" s="148"/>
    </row>
    <row r="132" spans="1:14" s="3" customFormat="1" x14ac:dyDescent="0.2">
      <c r="A132" s="140"/>
      <c r="B132" s="152" t="s">
        <v>492</v>
      </c>
      <c r="C132" s="152" t="s">
        <v>493</v>
      </c>
      <c r="D132" s="245" t="s">
        <v>3</v>
      </c>
      <c r="E132" s="304" t="s">
        <v>29</v>
      </c>
      <c r="F132" s="152" t="s">
        <v>492</v>
      </c>
      <c r="G132" s="152" t="s">
        <v>493</v>
      </c>
      <c r="H132" s="206" t="s">
        <v>3</v>
      </c>
      <c r="I132" s="162" t="s">
        <v>29</v>
      </c>
      <c r="J132" s="152" t="s">
        <v>492</v>
      </c>
      <c r="K132" s="152" t="s">
        <v>493</v>
      </c>
      <c r="L132" s="246" t="s">
        <v>3</v>
      </c>
      <c r="M132" s="162" t="s">
        <v>29</v>
      </c>
      <c r="N132" s="148"/>
    </row>
    <row r="133" spans="1:14" s="3" customFormat="1" x14ac:dyDescent="0.2">
      <c r="A133" s="947"/>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475</v>
      </c>
      <c r="B134" s="236"/>
      <c r="C134" s="308"/>
      <c r="D134" s="349"/>
      <c r="E134" s="11"/>
      <c r="F134" s="315"/>
      <c r="G134" s="316"/>
      <c r="H134" s="376"/>
      <c r="I134" s="24"/>
      <c r="J134" s="317"/>
      <c r="K134" s="317"/>
      <c r="L134" s="372"/>
      <c r="M134" s="11"/>
      <c r="N134" s="148"/>
    </row>
    <row r="135" spans="1:14" s="3" customFormat="1" ht="15.75" x14ac:dyDescent="0.2">
      <c r="A135" s="13" t="s">
        <v>480</v>
      </c>
      <c r="B135" s="236"/>
      <c r="C135" s="308"/>
      <c r="D135" s="171"/>
      <c r="E135" s="11"/>
      <c r="F135" s="236"/>
      <c r="G135" s="308"/>
      <c r="H135" s="377"/>
      <c r="I135" s="24"/>
      <c r="J135" s="307"/>
      <c r="K135" s="307"/>
      <c r="L135" s="373"/>
      <c r="M135" s="11"/>
      <c r="N135" s="148"/>
    </row>
    <row r="136" spans="1:14" s="3" customFormat="1" ht="15.75" x14ac:dyDescent="0.2">
      <c r="A136" s="13" t="s">
        <v>477</v>
      </c>
      <c r="B136" s="236"/>
      <c r="C136" s="308"/>
      <c r="D136" s="171"/>
      <c r="E136" s="11"/>
      <c r="F136" s="236"/>
      <c r="G136" s="308"/>
      <c r="H136" s="377"/>
      <c r="I136" s="24"/>
      <c r="J136" s="307"/>
      <c r="K136" s="307"/>
      <c r="L136" s="373"/>
      <c r="M136" s="11"/>
      <c r="N136" s="148"/>
    </row>
    <row r="137" spans="1:14" s="3" customFormat="1" ht="15.75" x14ac:dyDescent="0.2">
      <c r="A137" s="41" t="s">
        <v>478</v>
      </c>
      <c r="B137" s="275"/>
      <c r="C137" s="314"/>
      <c r="D137" s="169"/>
      <c r="E137" s="9"/>
      <c r="F137" s="275"/>
      <c r="G137" s="314"/>
      <c r="H137" s="378"/>
      <c r="I137" s="36"/>
      <c r="J137" s="313"/>
      <c r="K137" s="313"/>
      <c r="L137" s="374"/>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1446" priority="82">
      <formula>kvartal &lt; 4</formula>
    </cfRule>
  </conditionalFormatting>
  <conditionalFormatting sqref="B69">
    <cfRule type="expression" dxfId="1445" priority="61">
      <formula>kvartal &lt; 4</formula>
    </cfRule>
  </conditionalFormatting>
  <conditionalFormatting sqref="C69">
    <cfRule type="expression" dxfId="1444" priority="60">
      <formula>kvartal &lt; 4</formula>
    </cfRule>
  </conditionalFormatting>
  <conditionalFormatting sqref="B72">
    <cfRule type="expression" dxfId="1443" priority="59">
      <formula>kvartal &lt; 4</formula>
    </cfRule>
  </conditionalFormatting>
  <conditionalFormatting sqref="C72">
    <cfRule type="expression" dxfId="1442" priority="58">
      <formula>kvartal &lt; 4</formula>
    </cfRule>
  </conditionalFormatting>
  <conditionalFormatting sqref="B80">
    <cfRule type="expression" dxfId="1441" priority="57">
      <formula>kvartal &lt; 4</formula>
    </cfRule>
  </conditionalFormatting>
  <conditionalFormatting sqref="C80">
    <cfRule type="expression" dxfId="1440" priority="56">
      <formula>kvartal &lt; 4</formula>
    </cfRule>
  </conditionalFormatting>
  <conditionalFormatting sqref="B83">
    <cfRule type="expression" dxfId="1439" priority="55">
      <formula>kvartal &lt; 4</formula>
    </cfRule>
  </conditionalFormatting>
  <conditionalFormatting sqref="C83">
    <cfRule type="expression" dxfId="1438" priority="54">
      <formula>kvartal &lt; 4</formula>
    </cfRule>
  </conditionalFormatting>
  <conditionalFormatting sqref="B90">
    <cfRule type="expression" dxfId="1437" priority="53">
      <formula>kvartal &lt; 4</formula>
    </cfRule>
  </conditionalFormatting>
  <conditionalFormatting sqref="C90">
    <cfRule type="expression" dxfId="1436" priority="52">
      <formula>kvartal &lt; 4</formula>
    </cfRule>
  </conditionalFormatting>
  <conditionalFormatting sqref="B93">
    <cfRule type="expression" dxfId="1435" priority="51">
      <formula>kvartal &lt; 4</formula>
    </cfRule>
  </conditionalFormatting>
  <conditionalFormatting sqref="C93">
    <cfRule type="expression" dxfId="1434" priority="50">
      <formula>kvartal &lt; 4</formula>
    </cfRule>
  </conditionalFormatting>
  <conditionalFormatting sqref="B101">
    <cfRule type="expression" dxfId="1433" priority="49">
      <formula>kvartal &lt; 4</formula>
    </cfRule>
  </conditionalFormatting>
  <conditionalFormatting sqref="C101">
    <cfRule type="expression" dxfId="1432" priority="48">
      <formula>kvartal &lt; 4</formula>
    </cfRule>
  </conditionalFormatting>
  <conditionalFormatting sqref="B104">
    <cfRule type="expression" dxfId="1431" priority="47">
      <formula>kvartal &lt; 4</formula>
    </cfRule>
  </conditionalFormatting>
  <conditionalFormatting sqref="C104">
    <cfRule type="expression" dxfId="1430" priority="46">
      <formula>kvartal &lt; 4</formula>
    </cfRule>
  </conditionalFormatting>
  <conditionalFormatting sqref="B115">
    <cfRule type="expression" dxfId="1429" priority="45">
      <formula>kvartal &lt; 4</formula>
    </cfRule>
  </conditionalFormatting>
  <conditionalFormatting sqref="C115">
    <cfRule type="expression" dxfId="1428" priority="44">
      <formula>kvartal &lt; 4</formula>
    </cfRule>
  </conditionalFormatting>
  <conditionalFormatting sqref="B123">
    <cfRule type="expression" dxfId="1427" priority="43">
      <formula>kvartal &lt; 4</formula>
    </cfRule>
  </conditionalFormatting>
  <conditionalFormatting sqref="C123">
    <cfRule type="expression" dxfId="1426" priority="42">
      <formula>kvartal &lt; 4</formula>
    </cfRule>
  </conditionalFormatting>
  <conditionalFormatting sqref="F70">
    <cfRule type="expression" dxfId="1425" priority="41">
      <formula>kvartal &lt; 4</formula>
    </cfRule>
  </conditionalFormatting>
  <conditionalFormatting sqref="G70">
    <cfRule type="expression" dxfId="1424" priority="40">
      <formula>kvartal &lt; 4</formula>
    </cfRule>
  </conditionalFormatting>
  <conditionalFormatting sqref="F71:G71">
    <cfRule type="expression" dxfId="1423" priority="39">
      <formula>kvartal &lt; 4</formula>
    </cfRule>
  </conditionalFormatting>
  <conditionalFormatting sqref="F73:G74">
    <cfRule type="expression" dxfId="1422" priority="38">
      <formula>kvartal &lt; 4</formula>
    </cfRule>
  </conditionalFormatting>
  <conditionalFormatting sqref="F81:G82">
    <cfRule type="expression" dxfId="1421" priority="37">
      <formula>kvartal &lt; 4</formula>
    </cfRule>
  </conditionalFormatting>
  <conditionalFormatting sqref="F84:G85">
    <cfRule type="expression" dxfId="1420" priority="36">
      <formula>kvartal &lt; 4</formula>
    </cfRule>
  </conditionalFormatting>
  <conditionalFormatting sqref="F91:G92">
    <cfRule type="expression" dxfId="1419" priority="35">
      <formula>kvartal &lt; 4</formula>
    </cfRule>
  </conditionalFormatting>
  <conditionalFormatting sqref="F94:G95">
    <cfRule type="expression" dxfId="1418" priority="34">
      <formula>kvartal &lt; 4</formula>
    </cfRule>
  </conditionalFormatting>
  <conditionalFormatting sqref="F102:G103">
    <cfRule type="expression" dxfId="1417" priority="33">
      <formula>kvartal &lt; 4</formula>
    </cfRule>
  </conditionalFormatting>
  <conditionalFormatting sqref="F105:G106">
    <cfRule type="expression" dxfId="1416" priority="32">
      <formula>kvartal &lt; 4</formula>
    </cfRule>
  </conditionalFormatting>
  <conditionalFormatting sqref="F115">
    <cfRule type="expression" dxfId="1415" priority="31">
      <formula>kvartal &lt; 4</formula>
    </cfRule>
  </conditionalFormatting>
  <conditionalFormatting sqref="G115">
    <cfRule type="expression" dxfId="1414" priority="30">
      <formula>kvartal &lt; 4</formula>
    </cfRule>
  </conditionalFormatting>
  <conditionalFormatting sqref="F123:G123">
    <cfRule type="expression" dxfId="1413" priority="29">
      <formula>kvartal &lt; 4</formula>
    </cfRule>
  </conditionalFormatting>
  <conditionalFormatting sqref="F69:G69">
    <cfRule type="expression" dxfId="1412" priority="28">
      <formula>kvartal &lt; 4</formula>
    </cfRule>
  </conditionalFormatting>
  <conditionalFormatting sqref="F72:G72">
    <cfRule type="expression" dxfId="1411" priority="27">
      <formula>kvartal &lt; 4</formula>
    </cfRule>
  </conditionalFormatting>
  <conditionalFormatting sqref="F80:G80">
    <cfRule type="expression" dxfId="1410" priority="26">
      <formula>kvartal &lt; 4</formula>
    </cfRule>
  </conditionalFormatting>
  <conditionalFormatting sqref="F83:G83">
    <cfRule type="expression" dxfId="1409" priority="25">
      <formula>kvartal &lt; 4</formula>
    </cfRule>
  </conditionalFormatting>
  <conditionalFormatting sqref="F90:G90">
    <cfRule type="expression" dxfId="1408" priority="24">
      <formula>kvartal &lt; 4</formula>
    </cfRule>
  </conditionalFormatting>
  <conditionalFormatting sqref="F93">
    <cfRule type="expression" dxfId="1407" priority="23">
      <formula>kvartal &lt; 4</formula>
    </cfRule>
  </conditionalFormatting>
  <conditionalFormatting sqref="G93">
    <cfRule type="expression" dxfId="1406" priority="22">
      <formula>kvartal &lt; 4</formula>
    </cfRule>
  </conditionalFormatting>
  <conditionalFormatting sqref="F101">
    <cfRule type="expression" dxfId="1405" priority="21">
      <formula>kvartal &lt; 4</formula>
    </cfRule>
  </conditionalFormatting>
  <conditionalFormatting sqref="G101">
    <cfRule type="expression" dxfId="1404" priority="20">
      <formula>kvartal &lt; 4</formula>
    </cfRule>
  </conditionalFormatting>
  <conditionalFormatting sqref="G104">
    <cfRule type="expression" dxfId="1403" priority="19">
      <formula>kvartal &lt; 4</formula>
    </cfRule>
  </conditionalFormatting>
  <conditionalFormatting sqref="F104">
    <cfRule type="expression" dxfId="1402" priority="18">
      <formula>kvartal &lt; 4</formula>
    </cfRule>
  </conditionalFormatting>
  <conditionalFormatting sqref="J69:K71 J73:K73">
    <cfRule type="expression" dxfId="1401" priority="17">
      <formula>kvartal &lt; 4</formula>
    </cfRule>
  </conditionalFormatting>
  <conditionalFormatting sqref="J80:K82 J84:K84">
    <cfRule type="expression" dxfId="1400" priority="15">
      <formula>kvartal &lt; 4</formula>
    </cfRule>
  </conditionalFormatting>
  <conditionalFormatting sqref="J90:K92 J94:K94">
    <cfRule type="expression" dxfId="1399" priority="14">
      <formula>kvartal &lt; 4</formula>
    </cfRule>
  </conditionalFormatting>
  <conditionalFormatting sqref="J101:K103 J105:K105">
    <cfRule type="expression" dxfId="1398" priority="13">
      <formula>kvartal &lt; 4</formula>
    </cfRule>
  </conditionalFormatting>
  <conditionalFormatting sqref="J115:K115">
    <cfRule type="expression" dxfId="1397" priority="12">
      <formula>kvartal &lt; 4</formula>
    </cfRule>
  </conditionalFormatting>
  <conditionalFormatting sqref="J123:K123">
    <cfRule type="expression" dxfId="1396" priority="11">
      <formula>kvartal &lt; 4</formula>
    </cfRule>
  </conditionalFormatting>
  <conditionalFormatting sqref="A50:A52">
    <cfRule type="expression" dxfId="1395" priority="8">
      <formula>kvartal &lt; 4</formula>
    </cfRule>
  </conditionalFormatting>
  <conditionalFormatting sqref="A69:A74">
    <cfRule type="expression" dxfId="1394" priority="7">
      <formula>kvartal &lt; 4</formula>
    </cfRule>
  </conditionalFormatting>
  <conditionalFormatting sqref="A80:A85">
    <cfRule type="expression" dxfId="1393" priority="6">
      <formula>kvartal &lt; 4</formula>
    </cfRule>
  </conditionalFormatting>
  <conditionalFormatting sqref="A90:A95">
    <cfRule type="expression" dxfId="1392" priority="5">
      <formula>kvartal &lt; 4</formula>
    </cfRule>
  </conditionalFormatting>
  <conditionalFormatting sqref="A101:A106">
    <cfRule type="expression" dxfId="1391" priority="4">
      <formula>kvartal &lt; 4</formula>
    </cfRule>
  </conditionalFormatting>
  <conditionalFormatting sqref="A115">
    <cfRule type="expression" dxfId="1390" priority="3">
      <formula>kvartal &lt; 4</formula>
    </cfRule>
  </conditionalFormatting>
  <conditionalFormatting sqref="A123">
    <cfRule type="expression" dxfId="1389" priority="2">
      <formula>kvartal &lt; 4</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Q144"/>
  <sheetViews>
    <sheetView showGridLines="0" zoomScaleNormal="100" workbookViewId="0">
      <selection activeCell="A2" sqref="A2"/>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7" x14ac:dyDescent="0.2">
      <c r="A1" s="172" t="s">
        <v>139</v>
      </c>
      <c r="B1" s="945"/>
      <c r="C1" s="248" t="s">
        <v>127</v>
      </c>
      <c r="D1" s="26"/>
      <c r="E1" s="26"/>
      <c r="F1" s="26"/>
      <c r="G1" s="26"/>
      <c r="H1" s="26"/>
      <c r="I1" s="26"/>
      <c r="J1" s="26"/>
      <c r="K1" s="26"/>
      <c r="L1" s="26"/>
      <c r="M1" s="26"/>
    </row>
    <row r="2" spans="1:17" ht="15.75" x14ac:dyDescent="0.25">
      <c r="A2" s="165" t="s">
        <v>28</v>
      </c>
      <c r="B2" s="972"/>
      <c r="C2" s="972"/>
      <c r="D2" s="972"/>
      <c r="E2" s="298"/>
      <c r="F2" s="972"/>
      <c r="G2" s="972"/>
      <c r="H2" s="972"/>
      <c r="I2" s="298"/>
      <c r="J2" s="972"/>
      <c r="K2" s="972"/>
      <c r="L2" s="972"/>
      <c r="M2" s="298"/>
    </row>
    <row r="3" spans="1:17" ht="15.75" x14ac:dyDescent="0.25">
      <c r="A3" s="163"/>
      <c r="B3" s="298"/>
      <c r="C3" s="298"/>
      <c r="D3" s="298"/>
      <c r="E3" s="298"/>
      <c r="F3" s="298"/>
      <c r="G3" s="298"/>
      <c r="H3" s="298"/>
      <c r="I3" s="298"/>
      <c r="J3" s="298"/>
      <c r="K3" s="298"/>
      <c r="L3" s="298"/>
      <c r="M3" s="298"/>
    </row>
    <row r="4" spans="1:17" x14ac:dyDescent="0.2">
      <c r="A4" s="144"/>
      <c r="B4" s="973" t="s">
        <v>0</v>
      </c>
      <c r="C4" s="974"/>
      <c r="D4" s="974"/>
      <c r="E4" s="300"/>
      <c r="F4" s="973" t="s">
        <v>1</v>
      </c>
      <c r="G4" s="974"/>
      <c r="H4" s="974"/>
      <c r="I4" s="303"/>
      <c r="J4" s="973" t="s">
        <v>2</v>
      </c>
      <c r="K4" s="974"/>
      <c r="L4" s="974"/>
      <c r="M4" s="303"/>
    </row>
    <row r="5" spans="1:17" x14ac:dyDescent="0.2">
      <c r="A5" s="158"/>
      <c r="B5" s="152" t="s">
        <v>492</v>
      </c>
      <c r="C5" s="152" t="s">
        <v>493</v>
      </c>
      <c r="D5" s="245" t="s">
        <v>3</v>
      </c>
      <c r="E5" s="304" t="s">
        <v>29</v>
      </c>
      <c r="F5" s="152" t="s">
        <v>492</v>
      </c>
      <c r="G5" s="152" t="s">
        <v>493</v>
      </c>
      <c r="H5" s="245" t="s">
        <v>3</v>
      </c>
      <c r="I5" s="162" t="s">
        <v>29</v>
      </c>
      <c r="J5" s="152" t="s">
        <v>492</v>
      </c>
      <c r="K5" s="152" t="s">
        <v>493</v>
      </c>
      <c r="L5" s="245" t="s">
        <v>3</v>
      </c>
      <c r="M5" s="162" t="s">
        <v>29</v>
      </c>
    </row>
    <row r="6" spans="1:17" x14ac:dyDescent="0.2">
      <c r="A6" s="946"/>
      <c r="B6" s="156"/>
      <c r="C6" s="156"/>
      <c r="D6" s="246" t="s">
        <v>4</v>
      </c>
      <c r="E6" s="156" t="s">
        <v>30</v>
      </c>
      <c r="F6" s="161"/>
      <c r="G6" s="161"/>
      <c r="H6" s="245" t="s">
        <v>4</v>
      </c>
      <c r="I6" s="156" t="s">
        <v>30</v>
      </c>
      <c r="J6" s="161"/>
      <c r="K6" s="161"/>
      <c r="L6" s="245" t="s">
        <v>4</v>
      </c>
      <c r="M6" s="156" t="s">
        <v>30</v>
      </c>
    </row>
    <row r="7" spans="1:17" ht="15.75" x14ac:dyDescent="0.2">
      <c r="A7" s="14" t="s">
        <v>23</v>
      </c>
      <c r="B7" s="305">
        <v>713770</v>
      </c>
      <c r="C7" s="306">
        <v>669833</v>
      </c>
      <c r="D7" s="349">
        <f>IF(B7=0, "    ---- ", IF(ABS(ROUND(100/B7*C7-100,1))&lt;999,ROUND(100/B7*C7-100,1),IF(ROUND(100/B7*C7-100,1)&gt;999,999,-999)))</f>
        <v>-6.2</v>
      </c>
      <c r="E7" s="11">
        <f>IFERROR(100/'Skjema total MA'!C7*C7,0)</f>
        <v>14.245024209202898</v>
      </c>
      <c r="F7" s="305">
        <v>621631</v>
      </c>
      <c r="G7" s="306">
        <v>587609</v>
      </c>
      <c r="H7" s="349">
        <f>IF(F7=0, "    ---- ", IF(ABS(ROUND(100/F7*G7-100,1))&lt;999,ROUND(100/F7*G7-100,1),IF(ROUND(100/F7*G7-100,1)&gt;999,999,-999)))</f>
        <v>-5.5</v>
      </c>
      <c r="I7" s="160">
        <f>IFERROR(100/'Skjema total MA'!F7*G7,0)</f>
        <v>5.624554528381065</v>
      </c>
      <c r="J7" s="307">
        <f t="shared" ref="J7:K12" si="0">SUM(B7,F7)</f>
        <v>1335401</v>
      </c>
      <c r="K7" s="308">
        <f t="shared" si="0"/>
        <v>1257442</v>
      </c>
      <c r="L7" s="372">
        <f>IF(J7=0, "    ---- ", IF(ABS(ROUND(100/J7*K7-100,1))&lt;999,ROUND(100/J7*K7-100,1),IF(ROUND(100/J7*K7-100,1)&gt;999,999,-999)))</f>
        <v>-5.8</v>
      </c>
      <c r="M7" s="11">
        <f>IFERROR(100/'Skjema total MA'!I7*K7,0)</f>
        <v>8.3002573124013814</v>
      </c>
    </row>
    <row r="8" spans="1:17" ht="15.75" x14ac:dyDescent="0.2">
      <c r="A8" s="21" t="s">
        <v>25</v>
      </c>
      <c r="B8" s="280">
        <v>145592</v>
      </c>
      <c r="C8" s="281">
        <v>146821</v>
      </c>
      <c r="D8" s="166">
        <f t="shared" ref="D8:D12" si="1">IF(B8=0, "    ---- ", IF(ABS(ROUND(100/B8*C8-100,1))&lt;999,ROUND(100/B8*C8-100,1),IF(ROUND(100/B8*C8-100,1)&gt;999,999,-999)))</f>
        <v>0.8</v>
      </c>
      <c r="E8" s="27">
        <f>IFERROR(100/'Skjema total MA'!C8*C8,0)</f>
        <v>5.227067904202789</v>
      </c>
      <c r="F8" s="284"/>
      <c r="G8" s="285"/>
      <c r="H8" s="166"/>
      <c r="I8" s="175"/>
      <c r="J8" s="234">
        <f t="shared" si="0"/>
        <v>145592</v>
      </c>
      <c r="K8" s="286">
        <f t="shared" si="0"/>
        <v>146821</v>
      </c>
      <c r="L8" s="166">
        <f t="shared" ref="L8:L9" si="2">IF(J8=0, "    ---- ", IF(ABS(ROUND(100/J8*K8-100,1))&lt;999,ROUND(100/J8*K8-100,1),IF(ROUND(100/J8*K8-100,1)&gt;999,999,-999)))</f>
        <v>0.8</v>
      </c>
      <c r="M8" s="27">
        <f>IFERROR(100/'Skjema total MA'!I8*K8,0)</f>
        <v>5.227067904202789</v>
      </c>
    </row>
    <row r="9" spans="1:17" ht="15.75" x14ac:dyDescent="0.2">
      <c r="A9" s="21" t="s">
        <v>24</v>
      </c>
      <c r="B9" s="280">
        <v>56822</v>
      </c>
      <c r="C9" s="281">
        <v>52265</v>
      </c>
      <c r="D9" s="166">
        <f t="shared" si="1"/>
        <v>-8</v>
      </c>
      <c r="E9" s="27">
        <f>IFERROR(100/'Skjema total MA'!C9*C9,0)</f>
        <v>5.3076918438627629</v>
      </c>
      <c r="F9" s="284"/>
      <c r="G9" s="285"/>
      <c r="H9" s="166"/>
      <c r="I9" s="175"/>
      <c r="J9" s="234">
        <f t="shared" si="0"/>
        <v>56822</v>
      </c>
      <c r="K9" s="286">
        <f t="shared" si="0"/>
        <v>52265</v>
      </c>
      <c r="L9" s="166">
        <f t="shared" si="2"/>
        <v>-8</v>
      </c>
      <c r="M9" s="27">
        <f>IFERROR(100/'Skjema total MA'!I9*K9,0)</f>
        <v>5.3076918438627629</v>
      </c>
    </row>
    <row r="10" spans="1:17" ht="15.75" x14ac:dyDescent="0.2">
      <c r="A10" s="13" t="s">
        <v>451</v>
      </c>
      <c r="B10" s="309">
        <v>14144855</v>
      </c>
      <c r="C10" s="310">
        <v>12967905</v>
      </c>
      <c r="D10" s="171">
        <f t="shared" si="1"/>
        <v>-8.3000000000000007</v>
      </c>
      <c r="E10" s="11">
        <f>IFERROR(100/'Skjema total MA'!C10*C10,0)</f>
        <v>61.340492100311572</v>
      </c>
      <c r="F10" s="309">
        <v>5327366.2609999999</v>
      </c>
      <c r="G10" s="310">
        <v>6300943</v>
      </c>
      <c r="H10" s="171">
        <f t="shared" ref="H10:H12" si="3">IF(F10=0, "    ---- ", IF(ABS(ROUND(100/F10*G10-100,1))&lt;999,ROUND(100/F10*G10-100,1),IF(ROUND(100/F10*G10-100,1)&gt;999,999,-999)))</f>
        <v>18.3</v>
      </c>
      <c r="I10" s="160">
        <f>IFERROR(100/'Skjema total MA'!F10*G10,0)</f>
        <v>11.893593516502348</v>
      </c>
      <c r="J10" s="307">
        <f t="shared" si="0"/>
        <v>19472221.261</v>
      </c>
      <c r="K10" s="308">
        <f t="shared" si="0"/>
        <v>19268848</v>
      </c>
      <c r="L10" s="373">
        <f t="shared" ref="L10:L12" si="4">IF(J10=0, "    ---- ", IF(ABS(ROUND(100/J10*K10-100,1))&lt;999,ROUND(100/J10*K10-100,1),IF(ROUND(100/J10*K10-100,1)&gt;999,999,-999)))</f>
        <v>-1</v>
      </c>
      <c r="M10" s="11">
        <f>IFERROR(100/'Skjema total MA'!I10*K10,0)</f>
        <v>25.997360709400091</v>
      </c>
      <c r="Q10" s="149"/>
    </row>
    <row r="11" spans="1:17" s="43" customFormat="1" ht="15.75" x14ac:dyDescent="0.2">
      <c r="A11" s="13" t="s">
        <v>452</v>
      </c>
      <c r="B11" s="309">
        <v>25116</v>
      </c>
      <c r="C11" s="310">
        <v>65203</v>
      </c>
      <c r="D11" s="171">
        <f t="shared" si="1"/>
        <v>159.6</v>
      </c>
      <c r="E11" s="11">
        <f>IFERROR(100/'Skjema total MA'!C11*C11,0)</f>
        <v>100</v>
      </c>
      <c r="F11" s="309">
        <v>45691</v>
      </c>
      <c r="G11" s="310">
        <v>37464</v>
      </c>
      <c r="H11" s="171">
        <f t="shared" si="3"/>
        <v>-18</v>
      </c>
      <c r="I11" s="160">
        <f>IFERROR(100/'Skjema total MA'!F11*G11,0)</f>
        <v>9.0777729485232399</v>
      </c>
      <c r="J11" s="307">
        <f t="shared" si="0"/>
        <v>70807</v>
      </c>
      <c r="K11" s="308">
        <f t="shared" si="0"/>
        <v>102667</v>
      </c>
      <c r="L11" s="373">
        <f t="shared" si="4"/>
        <v>45</v>
      </c>
      <c r="M11" s="11">
        <f>IFERROR(100/'Skjema total MA'!I11*K11,0)</f>
        <v>21.48279599407811</v>
      </c>
      <c r="N11" s="143"/>
    </row>
    <row r="12" spans="1:17" s="43" customFormat="1" ht="15.75" x14ac:dyDescent="0.2">
      <c r="A12" s="41" t="s">
        <v>453</v>
      </c>
      <c r="B12" s="311">
        <v>2765</v>
      </c>
      <c r="C12" s="312">
        <v>18101</v>
      </c>
      <c r="D12" s="169">
        <f t="shared" si="1"/>
        <v>554.6</v>
      </c>
      <c r="E12" s="36">
        <f>IFERROR(100/'Skjema total MA'!C12*C12,0)</f>
        <v>99.999999999999986</v>
      </c>
      <c r="F12" s="311">
        <v>56355</v>
      </c>
      <c r="G12" s="312">
        <v>150111</v>
      </c>
      <c r="H12" s="169">
        <f t="shared" si="3"/>
        <v>166.4</v>
      </c>
      <c r="I12" s="169">
        <f>IFERROR(100/'Skjema total MA'!F12*G12,0)</f>
        <v>46.269458519239961</v>
      </c>
      <c r="J12" s="313">
        <f t="shared" si="0"/>
        <v>59120</v>
      </c>
      <c r="K12" s="314">
        <f t="shared" si="0"/>
        <v>168212</v>
      </c>
      <c r="L12" s="374">
        <f t="shared" si="4"/>
        <v>184.5</v>
      </c>
      <c r="M12" s="36">
        <f>IFERROR(100/'Skjema total MA'!I12*K12,0)</f>
        <v>49.108859023818049</v>
      </c>
      <c r="N12" s="143"/>
      <c r="Q12" s="143"/>
    </row>
    <row r="13" spans="1:17" s="43" customFormat="1" x14ac:dyDescent="0.2">
      <c r="A13" s="168"/>
      <c r="B13" s="145"/>
      <c r="C13" s="33"/>
      <c r="D13" s="159"/>
      <c r="E13" s="159"/>
      <c r="F13" s="145"/>
      <c r="G13" s="33"/>
      <c r="H13" s="159"/>
      <c r="I13" s="159"/>
      <c r="J13" s="48"/>
      <c r="K13" s="48"/>
      <c r="L13" s="159"/>
      <c r="M13" s="159"/>
      <c r="N13" s="143"/>
    </row>
    <row r="14" spans="1:17" x14ac:dyDescent="0.2">
      <c r="A14" s="153" t="s">
        <v>278</v>
      </c>
      <c r="B14" s="26"/>
    </row>
    <row r="15" spans="1:17" x14ac:dyDescent="0.2">
      <c r="F15" s="146"/>
      <c r="G15" s="146"/>
      <c r="H15" s="146"/>
      <c r="I15" s="146"/>
      <c r="J15" s="146"/>
      <c r="K15" s="146"/>
      <c r="L15" s="146"/>
      <c r="M15" s="146"/>
    </row>
    <row r="16" spans="1:17" s="3" customFormat="1" ht="15.75" x14ac:dyDescent="0.25">
      <c r="A16" s="164"/>
      <c r="B16" s="148"/>
      <c r="C16" s="154"/>
      <c r="D16" s="154"/>
      <c r="E16" s="154"/>
      <c r="F16" s="154"/>
      <c r="G16" s="154"/>
      <c r="H16" s="154"/>
      <c r="I16" s="154"/>
      <c r="J16" s="154"/>
      <c r="K16" s="154"/>
      <c r="L16" s="154"/>
      <c r="M16" s="154"/>
      <c r="N16" s="148"/>
    </row>
    <row r="17" spans="1:14" ht="15.75" x14ac:dyDescent="0.25">
      <c r="A17" s="147" t="s">
        <v>275</v>
      </c>
      <c r="B17" s="157"/>
      <c r="C17" s="157"/>
      <c r="D17" s="151"/>
      <c r="E17" s="151"/>
      <c r="F17" s="157"/>
      <c r="G17" s="157"/>
      <c r="H17" s="157"/>
      <c r="I17" s="157"/>
      <c r="J17" s="157"/>
      <c r="K17" s="157"/>
      <c r="L17" s="157"/>
      <c r="M17" s="157"/>
    </row>
    <row r="18" spans="1:14" ht="15.75" x14ac:dyDescent="0.25">
      <c r="B18" s="975"/>
      <c r="C18" s="975"/>
      <c r="D18" s="975"/>
      <c r="E18" s="298"/>
      <c r="F18" s="975"/>
      <c r="G18" s="975"/>
      <c r="H18" s="975"/>
      <c r="I18" s="298"/>
      <c r="J18" s="975"/>
      <c r="K18" s="975"/>
      <c r="L18" s="975"/>
      <c r="M18" s="298"/>
    </row>
    <row r="19" spans="1:14" x14ac:dyDescent="0.2">
      <c r="A19" s="144"/>
      <c r="B19" s="973" t="s">
        <v>0</v>
      </c>
      <c r="C19" s="974"/>
      <c r="D19" s="974"/>
      <c r="E19" s="300"/>
      <c r="F19" s="973" t="s">
        <v>1</v>
      </c>
      <c r="G19" s="974"/>
      <c r="H19" s="974"/>
      <c r="I19" s="303"/>
      <c r="J19" s="973" t="s">
        <v>2</v>
      </c>
      <c r="K19" s="974"/>
      <c r="L19" s="974"/>
      <c r="M19" s="303"/>
    </row>
    <row r="20" spans="1:14" x14ac:dyDescent="0.2">
      <c r="A20" s="140" t="s">
        <v>5</v>
      </c>
      <c r="B20" s="152" t="s">
        <v>492</v>
      </c>
      <c r="C20" s="152" t="s">
        <v>493</v>
      </c>
      <c r="D20" s="162" t="s">
        <v>3</v>
      </c>
      <c r="E20" s="304" t="s">
        <v>29</v>
      </c>
      <c r="F20" s="152" t="s">
        <v>492</v>
      </c>
      <c r="G20" s="152" t="s">
        <v>493</v>
      </c>
      <c r="H20" s="162" t="s">
        <v>3</v>
      </c>
      <c r="I20" s="162" t="s">
        <v>29</v>
      </c>
      <c r="J20" s="152" t="s">
        <v>492</v>
      </c>
      <c r="K20" s="152" t="s">
        <v>493</v>
      </c>
      <c r="L20" s="162" t="s">
        <v>3</v>
      </c>
      <c r="M20" s="162" t="s">
        <v>29</v>
      </c>
    </row>
    <row r="21" spans="1:14" x14ac:dyDescent="0.2">
      <c r="A21" s="947"/>
      <c r="B21" s="156"/>
      <c r="C21" s="156"/>
      <c r="D21" s="246" t="s">
        <v>4</v>
      </c>
      <c r="E21" s="156" t="s">
        <v>30</v>
      </c>
      <c r="F21" s="161"/>
      <c r="G21" s="161"/>
      <c r="H21" s="245" t="s">
        <v>4</v>
      </c>
      <c r="I21" s="156" t="s">
        <v>30</v>
      </c>
      <c r="J21" s="161"/>
      <c r="K21" s="161"/>
      <c r="L21" s="156" t="s">
        <v>4</v>
      </c>
      <c r="M21" s="156" t="s">
        <v>30</v>
      </c>
    </row>
    <row r="22" spans="1:14" ht="15.75" x14ac:dyDescent="0.2">
      <c r="A22" s="14" t="s">
        <v>23</v>
      </c>
      <c r="B22" s="309">
        <v>345329.000137</v>
      </c>
      <c r="C22" s="309">
        <v>387384</v>
      </c>
      <c r="D22" s="349">
        <f t="shared" ref="D22:D38" si="5">IF(B22=0, "    ---- ", IF(ABS(ROUND(100/B22*C22-100,1))&lt;999,ROUND(100/B22*C22-100,1),IF(ROUND(100/B22*C22-100,1)&gt;999,999,-999)))</f>
        <v>12.2</v>
      </c>
      <c r="E22" s="11">
        <f>IFERROR(100/'Skjema total MA'!C22*C22,0)</f>
        <v>21.657384537470239</v>
      </c>
      <c r="F22" s="317">
        <v>77876.894</v>
      </c>
      <c r="G22" s="317">
        <v>64579</v>
      </c>
      <c r="H22" s="349">
        <f t="shared" ref="H22:H35" si="6">IF(F22=0, "    ---- ", IF(ABS(ROUND(100/F22*G22-100,1))&lt;999,ROUND(100/F22*G22-100,1),IF(ROUND(100/F22*G22-100,1)&gt;999,999,-999)))</f>
        <v>-17.100000000000001</v>
      </c>
      <c r="I22" s="11">
        <f>IFERROR(100/'Skjema total MA'!F22*G22,0)</f>
        <v>4.8864789151934662</v>
      </c>
      <c r="J22" s="315">
        <f t="shared" ref="J22:K35" si="7">SUM(B22,F22)</f>
        <v>423205.89413699997</v>
      </c>
      <c r="K22" s="315">
        <f t="shared" si="7"/>
        <v>451963</v>
      </c>
      <c r="L22" s="372">
        <f t="shared" ref="L22:L35" si="8">IF(J22=0, "    ---- ", IF(ABS(ROUND(100/J22*K22-100,1))&lt;999,ROUND(100/J22*K22-100,1),IF(ROUND(100/J22*K22-100,1)&gt;999,999,-999)))</f>
        <v>6.8</v>
      </c>
      <c r="M22" s="24">
        <f>IFERROR(100/'Skjema total MA'!I22*K22,0)</f>
        <v>14.531273383360011</v>
      </c>
    </row>
    <row r="23" spans="1:14" ht="15.75" x14ac:dyDescent="0.2">
      <c r="A23" s="753" t="s">
        <v>454</v>
      </c>
      <c r="B23" s="280">
        <v>320369.82400000002</v>
      </c>
      <c r="C23" s="280">
        <v>324198</v>
      </c>
      <c r="D23" s="254">
        <f t="shared" si="5"/>
        <v>1.2</v>
      </c>
      <c r="E23" s="11">
        <f>IFERROR(100/'Skjema total MA'!C23*C23,0)</f>
        <v>19.26506654448713</v>
      </c>
      <c r="F23" s="289">
        <v>64783.239000000001</v>
      </c>
      <c r="G23" s="289">
        <v>52699</v>
      </c>
      <c r="H23" s="254">
        <f t="shared" si="6"/>
        <v>-18.7</v>
      </c>
      <c r="I23" s="365">
        <f>IFERROR(100/'Skjema total MA'!F23*G23,0)</f>
        <v>52.936252980656384</v>
      </c>
      <c r="J23" s="289">
        <f t="shared" ref="J23:J25" si="9">SUM(B23,F23)</f>
        <v>385153.06300000002</v>
      </c>
      <c r="K23" s="289">
        <f t="shared" ref="K23:K25" si="10">SUM(C23,G23)</f>
        <v>376897</v>
      </c>
      <c r="L23" s="254">
        <f t="shared" si="8"/>
        <v>-2.1</v>
      </c>
      <c r="M23" s="23">
        <f>IFERROR(100/'Skjema total MA'!I23*K23,0)</f>
        <v>21.145713426011703</v>
      </c>
    </row>
    <row r="24" spans="1:14" ht="15.75" x14ac:dyDescent="0.2">
      <c r="A24" s="753" t="s">
        <v>455</v>
      </c>
      <c r="B24" s="280">
        <v>240.27613700000001</v>
      </c>
      <c r="C24" s="280">
        <v>22972</v>
      </c>
      <c r="D24" s="254">
        <f t="shared" si="5"/>
        <v>999</v>
      </c>
      <c r="E24" s="11">
        <f>IFERROR(100/'Skjema total MA'!C24*C24,0)</f>
        <v>61.007771934034842</v>
      </c>
      <c r="F24" s="289">
        <v>149.91300000000001</v>
      </c>
      <c r="G24" s="289">
        <v>249</v>
      </c>
      <c r="H24" s="254">
        <f t="shared" si="6"/>
        <v>66.099999999999994</v>
      </c>
      <c r="I24" s="365">
        <f>IFERROR(100/'Skjema total MA'!F24*G24,0)</f>
        <v>138.79410663501045</v>
      </c>
      <c r="J24" s="289">
        <f t="shared" si="9"/>
        <v>390.18913700000002</v>
      </c>
      <c r="K24" s="289">
        <f t="shared" si="10"/>
        <v>23221</v>
      </c>
      <c r="L24" s="254">
        <f t="shared" si="8"/>
        <v>999</v>
      </c>
      <c r="M24" s="23">
        <f>IFERROR(100/'Skjema total MA'!I24*K24,0)</f>
        <v>61.376625270552992</v>
      </c>
    </row>
    <row r="25" spans="1:14" ht="15.75" x14ac:dyDescent="0.2">
      <c r="A25" s="753" t="s">
        <v>456</v>
      </c>
      <c r="B25" s="280">
        <v>24718.9</v>
      </c>
      <c r="C25" s="280">
        <v>40214</v>
      </c>
      <c r="D25" s="254">
        <f t="shared" si="5"/>
        <v>62.7</v>
      </c>
      <c r="E25" s="11">
        <f>IFERROR(100/'Skjema total MA'!C25*C25,0)</f>
        <v>99.09075228543972</v>
      </c>
      <c r="F25" s="289">
        <v>12943.742</v>
      </c>
      <c r="G25" s="289">
        <v>11631</v>
      </c>
      <c r="H25" s="254">
        <f t="shared" si="6"/>
        <v>-10.1</v>
      </c>
      <c r="I25" s="365">
        <f>IFERROR(100/'Skjema total MA'!F25*G25,0)</f>
        <v>42.510748536299666</v>
      </c>
      <c r="J25" s="289">
        <f t="shared" si="9"/>
        <v>37662.642</v>
      </c>
      <c r="K25" s="289">
        <f t="shared" si="10"/>
        <v>51845</v>
      </c>
      <c r="L25" s="254">
        <f t="shared" si="8"/>
        <v>37.700000000000003</v>
      </c>
      <c r="M25" s="23">
        <f>IFERROR(100/'Skjema total MA'!I25*K25,0)</f>
        <v>76.306453550230032</v>
      </c>
    </row>
    <row r="26" spans="1:14" ht="15.75" x14ac:dyDescent="0.2">
      <c r="A26" s="753" t="s">
        <v>457</v>
      </c>
      <c r="B26" s="280"/>
      <c r="C26" s="280"/>
      <c r="D26" s="166"/>
      <c r="E26" s="11"/>
      <c r="F26" s="289"/>
      <c r="G26" s="289"/>
      <c r="H26" s="166"/>
      <c r="I26" s="365"/>
      <c r="J26" s="289"/>
      <c r="K26" s="289"/>
      <c r="L26" s="166"/>
      <c r="M26" s="23"/>
    </row>
    <row r="27" spans="1:14" x14ac:dyDescent="0.2">
      <c r="A27" s="753" t="s">
        <v>11</v>
      </c>
      <c r="B27" s="280"/>
      <c r="C27" s="280"/>
      <c r="D27" s="166"/>
      <c r="E27" s="11"/>
      <c r="F27" s="289"/>
      <c r="G27" s="289"/>
      <c r="H27" s="166"/>
      <c r="I27" s="365"/>
      <c r="J27" s="289"/>
      <c r="K27" s="289"/>
      <c r="L27" s="166"/>
      <c r="M27" s="23"/>
    </row>
    <row r="28" spans="1:14" ht="15.75" x14ac:dyDescent="0.2">
      <c r="A28" s="49" t="s">
        <v>279</v>
      </c>
      <c r="B28" s="44">
        <v>205113</v>
      </c>
      <c r="C28" s="286">
        <v>215454</v>
      </c>
      <c r="D28" s="166">
        <f t="shared" si="5"/>
        <v>5</v>
      </c>
      <c r="E28" s="11">
        <f>IFERROR(100/'Skjema total MA'!C28*C28,0)</f>
        <v>11.463465608442787</v>
      </c>
      <c r="F28" s="234"/>
      <c r="G28" s="286"/>
      <c r="H28" s="166"/>
      <c r="I28" s="27"/>
      <c r="J28" s="44">
        <f t="shared" si="7"/>
        <v>205113</v>
      </c>
      <c r="K28" s="44">
        <f t="shared" si="7"/>
        <v>215454</v>
      </c>
      <c r="L28" s="254">
        <f t="shared" si="8"/>
        <v>5</v>
      </c>
      <c r="M28" s="23">
        <f>IFERROR(100/'Skjema total MA'!I28*K28,0)</f>
        <v>11.463465608442787</v>
      </c>
    </row>
    <row r="29" spans="1:14" s="3" customFormat="1" ht="15.75" x14ac:dyDescent="0.2">
      <c r="A29" s="13" t="s">
        <v>451</v>
      </c>
      <c r="B29" s="236">
        <v>26106515.280000001</v>
      </c>
      <c r="C29" s="236">
        <v>25244164</v>
      </c>
      <c r="D29" s="171">
        <f t="shared" si="5"/>
        <v>-3.3</v>
      </c>
      <c r="E29" s="11">
        <f>IFERROR(100/'Skjema total MA'!C29*C29,0)</f>
        <v>53.737212794105567</v>
      </c>
      <c r="F29" s="307">
        <v>5150678.9819999998</v>
      </c>
      <c r="G29" s="307">
        <v>5604288</v>
      </c>
      <c r="H29" s="171">
        <f t="shared" si="6"/>
        <v>8.8000000000000007</v>
      </c>
      <c r="I29" s="11">
        <f>IFERROR(100/'Skjema total MA'!F29*G29,0)</f>
        <v>25.088216503426725</v>
      </c>
      <c r="J29" s="236">
        <f t="shared" si="7"/>
        <v>31257194.262000002</v>
      </c>
      <c r="K29" s="236">
        <f t="shared" si="7"/>
        <v>30848452</v>
      </c>
      <c r="L29" s="373">
        <f t="shared" si="8"/>
        <v>-1.3</v>
      </c>
      <c r="M29" s="24">
        <f>IFERROR(100/'Skjema total MA'!I29*K29,0)</f>
        <v>44.504477250492272</v>
      </c>
      <c r="N29" s="148"/>
    </row>
    <row r="30" spans="1:14" s="3" customFormat="1" ht="15.75" x14ac:dyDescent="0.2">
      <c r="A30" s="753" t="s">
        <v>454</v>
      </c>
      <c r="B30" s="280">
        <v>5637081.0899999999</v>
      </c>
      <c r="C30" s="280">
        <v>10033111</v>
      </c>
      <c r="D30" s="254">
        <f t="shared" si="5"/>
        <v>78</v>
      </c>
      <c r="E30" s="11">
        <f>IFERROR(100/'Skjema total MA'!C30*C30,0)</f>
        <v>56.772814437800633</v>
      </c>
      <c r="F30" s="289">
        <v>1767515.0290000001</v>
      </c>
      <c r="G30" s="289">
        <v>2034114</v>
      </c>
      <c r="H30" s="254">
        <f t="shared" si="6"/>
        <v>15.1</v>
      </c>
      <c r="I30" s="365">
        <f>IFERROR(100/'Skjema total MA'!F30*G30,0)</f>
        <v>45.681683140135561</v>
      </c>
      <c r="J30" s="289">
        <f t="shared" ref="J30:J32" si="11">SUM(B30,F30)</f>
        <v>7404596.1189999999</v>
      </c>
      <c r="K30" s="289">
        <f t="shared" ref="K30:K32" si="12">SUM(C30,G30)</f>
        <v>12067225</v>
      </c>
      <c r="L30" s="254">
        <f t="shared" si="8"/>
        <v>63</v>
      </c>
      <c r="M30" s="23">
        <f>IFERROR(100/'Skjema total MA'!I30*K30,0)</f>
        <v>54.540670972649785</v>
      </c>
      <c r="N30" s="148"/>
    </row>
    <row r="31" spans="1:14" s="3" customFormat="1" ht="15.75" x14ac:dyDescent="0.2">
      <c r="A31" s="753" t="s">
        <v>455</v>
      </c>
      <c r="B31" s="280">
        <v>19478785.57</v>
      </c>
      <c r="C31" s="280">
        <v>12620084</v>
      </c>
      <c r="D31" s="254">
        <f t="shared" si="5"/>
        <v>-35.200000000000003</v>
      </c>
      <c r="E31" s="11">
        <f>IFERROR(100/'Skjema total MA'!C31*C31,0)</f>
        <v>48.247771280035472</v>
      </c>
      <c r="F31" s="289">
        <v>3015052.8050000002</v>
      </c>
      <c r="G31" s="289">
        <v>3120559</v>
      </c>
      <c r="H31" s="254">
        <f t="shared" si="6"/>
        <v>3.5</v>
      </c>
      <c r="I31" s="365">
        <f>IFERROR(100/'Skjema total MA'!F31*G31,0)</f>
        <v>31.766410815167177</v>
      </c>
      <c r="J31" s="289">
        <f t="shared" si="11"/>
        <v>22493838.375</v>
      </c>
      <c r="K31" s="289">
        <f t="shared" si="12"/>
        <v>15740643</v>
      </c>
      <c r="L31" s="254">
        <f t="shared" si="8"/>
        <v>-30</v>
      </c>
      <c r="M31" s="23">
        <f>IFERROR(100/'Skjema total MA'!I31*K31,0)</f>
        <v>43.7479755467294</v>
      </c>
      <c r="N31" s="148"/>
    </row>
    <row r="32" spans="1:14" ht="15.75" x14ac:dyDescent="0.2">
      <c r="A32" s="753" t="s">
        <v>456</v>
      </c>
      <c r="B32" s="280">
        <v>990648.62</v>
      </c>
      <c r="C32" s="280">
        <v>2590969</v>
      </c>
      <c r="D32" s="254">
        <f t="shared" si="5"/>
        <v>161.5</v>
      </c>
      <c r="E32" s="11">
        <f>IFERROR(100/'Skjema total MA'!C32*C32,0)</f>
        <v>85.927090107786555</v>
      </c>
      <c r="F32" s="289">
        <v>368111.14799999999</v>
      </c>
      <c r="G32" s="289">
        <v>449615</v>
      </c>
      <c r="H32" s="254">
        <f t="shared" si="6"/>
        <v>22.1</v>
      </c>
      <c r="I32" s="365">
        <f>IFERROR(100/'Skjema total MA'!F32*G32,0)</f>
        <v>9.6409973525289328</v>
      </c>
      <c r="J32" s="289">
        <f t="shared" si="11"/>
        <v>1358759.7679999999</v>
      </c>
      <c r="K32" s="289">
        <f t="shared" si="12"/>
        <v>3040584</v>
      </c>
      <c r="L32" s="254">
        <f t="shared" si="8"/>
        <v>123.8</v>
      </c>
      <c r="M32" s="23">
        <f>IFERROR(100/'Skjema total MA'!I32*K32,0)</f>
        <v>39.596688691218056</v>
      </c>
    </row>
    <row r="33" spans="1:14" ht="15.75" x14ac:dyDescent="0.2">
      <c r="A33" s="753" t="s">
        <v>457</v>
      </c>
      <c r="B33" s="280"/>
      <c r="C33" s="280"/>
      <c r="D33" s="166"/>
      <c r="E33" s="11"/>
      <c r="F33" s="289"/>
      <c r="G33" s="289"/>
      <c r="H33" s="166"/>
      <c r="I33" s="365"/>
      <c r="J33" s="289"/>
      <c r="K33" s="289"/>
      <c r="L33" s="166"/>
      <c r="M33" s="23"/>
    </row>
    <row r="34" spans="1:14" ht="15.75" x14ac:dyDescent="0.2">
      <c r="A34" s="13" t="s">
        <v>452</v>
      </c>
      <c r="B34" s="236">
        <v>20593</v>
      </c>
      <c r="C34" s="308">
        <v>19954</v>
      </c>
      <c r="D34" s="171">
        <f t="shared" si="5"/>
        <v>-3.1</v>
      </c>
      <c r="E34" s="11">
        <f>IFERROR(100/'Skjema total MA'!C34*C34,0)</f>
        <v>75.137820136386026</v>
      </c>
      <c r="F34" s="307">
        <v>-8767</v>
      </c>
      <c r="G34" s="308">
        <v>5211</v>
      </c>
      <c r="H34" s="171">
        <f t="shared" si="6"/>
        <v>-159.4</v>
      </c>
      <c r="I34" s="11">
        <f>IFERROR(100/'Skjema total MA'!F34*G34,0)</f>
        <v>7.4252189961581356</v>
      </c>
      <c r="J34" s="236">
        <f t="shared" si="7"/>
        <v>11826</v>
      </c>
      <c r="K34" s="236">
        <f t="shared" si="7"/>
        <v>25165</v>
      </c>
      <c r="L34" s="373">
        <f t="shared" si="8"/>
        <v>112.8</v>
      </c>
      <c r="M34" s="24">
        <f>IFERROR(100/'Skjema total MA'!I34*K34,0)</f>
        <v>26.014024593070864</v>
      </c>
    </row>
    <row r="35" spans="1:14" ht="15.75" x14ac:dyDescent="0.2">
      <c r="A35" s="13" t="s">
        <v>453</v>
      </c>
      <c r="B35" s="236">
        <v>-31885</v>
      </c>
      <c r="C35" s="308">
        <v>-31148</v>
      </c>
      <c r="D35" s="171">
        <f t="shared" si="5"/>
        <v>-2.2999999999999998</v>
      </c>
      <c r="E35" s="11">
        <f>IFERROR(100/'Skjema total MA'!C35*C35,0)</f>
        <v>106.70760591828721</v>
      </c>
      <c r="F35" s="307">
        <v>39203</v>
      </c>
      <c r="G35" s="308">
        <v>48571</v>
      </c>
      <c r="H35" s="171">
        <f t="shared" si="6"/>
        <v>23.9</v>
      </c>
      <c r="I35" s="11">
        <f>IFERROR(100/'Skjema total MA'!F35*G35,0)</f>
        <v>36.522754567715303</v>
      </c>
      <c r="J35" s="236">
        <f t="shared" si="7"/>
        <v>7318</v>
      </c>
      <c r="K35" s="236">
        <f t="shared" si="7"/>
        <v>17423</v>
      </c>
      <c r="L35" s="373">
        <f t="shared" si="8"/>
        <v>138.1</v>
      </c>
      <c r="M35" s="24">
        <f>IFERROR(100/'Skjema total MA'!I35*K35,0)</f>
        <v>16.785441989534405</v>
      </c>
    </row>
    <row r="36" spans="1:14" ht="15.75" x14ac:dyDescent="0.2">
      <c r="A36" s="12" t="s">
        <v>287</v>
      </c>
      <c r="B36" s="236">
        <v>15158</v>
      </c>
      <c r="C36" s="308">
        <v>12153</v>
      </c>
      <c r="D36" s="171">
        <f t="shared" si="5"/>
        <v>-19.8</v>
      </c>
      <c r="E36" s="11">
        <f>100/'Skjema total MA'!C36*C36</f>
        <v>99.572142118524539</v>
      </c>
      <c r="F36" s="318"/>
      <c r="G36" s="319"/>
      <c r="H36" s="171"/>
      <c r="I36" s="379"/>
      <c r="J36" s="236">
        <f t="shared" ref="J36:J38" si="13">SUM(B36,F36)</f>
        <v>15158</v>
      </c>
      <c r="K36" s="236">
        <f t="shared" ref="K36:K38" si="14">SUM(C36,G36)</f>
        <v>12153</v>
      </c>
      <c r="L36" s="373"/>
      <c r="M36" s="24">
        <f>IFERROR(100/'Skjema total MA'!I36*K36,0)</f>
        <v>99.572142118524539</v>
      </c>
    </row>
    <row r="37" spans="1:14" ht="15.75" x14ac:dyDescent="0.2">
      <c r="A37" s="12" t="s">
        <v>459</v>
      </c>
      <c r="B37" s="236">
        <v>3267066</v>
      </c>
      <c r="C37" s="308">
        <v>3124223</v>
      </c>
      <c r="D37" s="171">
        <f t="shared" si="5"/>
        <v>-4.4000000000000004</v>
      </c>
      <c r="E37" s="11">
        <f>100/'Skjema total MA'!C37*C37</f>
        <v>87.149508732502269</v>
      </c>
      <c r="F37" s="318"/>
      <c r="G37" s="320"/>
      <c r="H37" s="171"/>
      <c r="I37" s="379"/>
      <c r="J37" s="236">
        <f t="shared" si="13"/>
        <v>3267066</v>
      </c>
      <c r="K37" s="236">
        <f t="shared" si="14"/>
        <v>3124223</v>
      </c>
      <c r="L37" s="373"/>
      <c r="M37" s="24">
        <f>IFERROR(100/'Skjema total MA'!I37*K37,0)</f>
        <v>87.149508732502269</v>
      </c>
    </row>
    <row r="38" spans="1:14" ht="15.75" x14ac:dyDescent="0.2">
      <c r="A38" s="12" t="s">
        <v>460</v>
      </c>
      <c r="B38" s="236">
        <v>611</v>
      </c>
      <c r="C38" s="308">
        <v>0</v>
      </c>
      <c r="D38" s="171">
        <f t="shared" si="5"/>
        <v>-100</v>
      </c>
      <c r="E38" s="24">
        <f>IFERROR(100/'Skjema total MA'!C37*C38,0)</f>
        <v>0</v>
      </c>
      <c r="F38" s="318"/>
      <c r="G38" s="319"/>
      <c r="H38" s="171"/>
      <c r="I38" s="379"/>
      <c r="J38" s="236">
        <f t="shared" si="13"/>
        <v>611</v>
      </c>
      <c r="K38" s="236">
        <f t="shared" si="14"/>
        <v>0</v>
      </c>
      <c r="L38" s="373"/>
      <c r="M38" s="24">
        <f>IFERROR(100/'Skjema total MA'!I38*K38,0)</f>
        <v>0</v>
      </c>
    </row>
    <row r="39" spans="1:14" ht="15.75" x14ac:dyDescent="0.2">
      <c r="A39" s="18" t="s">
        <v>461</v>
      </c>
      <c r="B39" s="275"/>
      <c r="C39" s="314"/>
      <c r="D39" s="169"/>
      <c r="E39" s="36"/>
      <c r="F39" s="321"/>
      <c r="G39" s="322"/>
      <c r="H39" s="169"/>
      <c r="I39" s="36"/>
      <c r="J39" s="236"/>
      <c r="K39" s="236"/>
      <c r="L39" s="374"/>
      <c r="M39" s="36"/>
    </row>
    <row r="40" spans="1:14" ht="15.75" x14ac:dyDescent="0.25">
      <c r="A40" s="47"/>
      <c r="B40" s="253"/>
      <c r="C40" s="253"/>
      <c r="D40" s="976"/>
      <c r="E40" s="976"/>
      <c r="F40" s="976"/>
      <c r="G40" s="976"/>
      <c r="H40" s="976"/>
      <c r="I40" s="976"/>
      <c r="J40" s="976"/>
      <c r="K40" s="976"/>
      <c r="L40" s="976"/>
      <c r="M40" s="301"/>
    </row>
    <row r="41" spans="1:14" x14ac:dyDescent="0.2">
      <c r="A41" s="155"/>
    </row>
    <row r="42" spans="1:14" ht="15.75" x14ac:dyDescent="0.25">
      <c r="A42" s="147" t="s">
        <v>276</v>
      </c>
      <c r="B42" s="972"/>
      <c r="C42" s="972"/>
      <c r="D42" s="972"/>
      <c r="E42" s="298"/>
      <c r="F42" s="977"/>
      <c r="G42" s="977"/>
      <c r="H42" s="977"/>
      <c r="I42" s="301"/>
      <c r="J42" s="977"/>
      <c r="K42" s="977"/>
      <c r="L42" s="977"/>
      <c r="M42" s="301"/>
    </row>
    <row r="43" spans="1:14" ht="15.75" x14ac:dyDescent="0.25">
      <c r="A43" s="163"/>
      <c r="B43" s="302"/>
      <c r="C43" s="302"/>
      <c r="D43" s="302"/>
      <c r="E43" s="302"/>
      <c r="F43" s="301"/>
      <c r="G43" s="301"/>
      <c r="H43" s="301"/>
      <c r="I43" s="301"/>
      <c r="J43" s="301"/>
      <c r="K43" s="301"/>
      <c r="L43" s="301"/>
      <c r="M43" s="301"/>
    </row>
    <row r="44" spans="1:14" ht="15.75" x14ac:dyDescent="0.25">
      <c r="A44" s="247"/>
      <c r="B44" s="973" t="s">
        <v>0</v>
      </c>
      <c r="C44" s="974"/>
      <c r="D44" s="974"/>
      <c r="E44" s="243"/>
      <c r="F44" s="301"/>
      <c r="G44" s="301"/>
      <c r="H44" s="301"/>
      <c r="I44" s="301"/>
      <c r="J44" s="301"/>
      <c r="K44" s="301"/>
      <c r="L44" s="301"/>
      <c r="M44" s="301"/>
    </row>
    <row r="45" spans="1:14" s="3" customFormat="1" x14ac:dyDescent="0.2">
      <c r="A45" s="140"/>
      <c r="B45" s="152" t="s">
        <v>492</v>
      </c>
      <c r="C45" s="152" t="s">
        <v>493</v>
      </c>
      <c r="D45" s="162" t="s">
        <v>3</v>
      </c>
      <c r="E45" s="162" t="s">
        <v>29</v>
      </c>
      <c r="F45" s="174"/>
      <c r="G45" s="174"/>
      <c r="H45" s="173"/>
      <c r="I45" s="173"/>
      <c r="J45" s="174"/>
      <c r="K45" s="174"/>
      <c r="L45" s="173"/>
      <c r="M45" s="173"/>
      <c r="N45" s="148"/>
    </row>
    <row r="46" spans="1:14" s="3" customFormat="1" x14ac:dyDescent="0.2">
      <c r="A46" s="947"/>
      <c r="B46" s="244"/>
      <c r="C46" s="244"/>
      <c r="D46" s="245" t="s">
        <v>4</v>
      </c>
      <c r="E46" s="156" t="s">
        <v>30</v>
      </c>
      <c r="F46" s="173"/>
      <c r="G46" s="173"/>
      <c r="H46" s="173"/>
      <c r="I46" s="173"/>
      <c r="J46" s="173"/>
      <c r="K46" s="173"/>
      <c r="L46" s="173"/>
      <c r="M46" s="173"/>
      <c r="N46" s="148"/>
    </row>
    <row r="47" spans="1:14" s="3" customFormat="1" ht="15.75" x14ac:dyDescent="0.2">
      <c r="A47" s="14" t="s">
        <v>23</v>
      </c>
      <c r="B47" s="309">
        <v>594692</v>
      </c>
      <c r="C47" s="310">
        <v>761079</v>
      </c>
      <c r="D47" s="372">
        <f t="shared" ref="D47:D57" si="15">IF(B47=0, "    ---- ", IF(ABS(ROUND(100/B47*C47-100,1))&lt;999,ROUND(100/B47*C47-100,1),IF(ROUND(100/B47*C47-100,1)&gt;999,999,-999)))</f>
        <v>28</v>
      </c>
      <c r="E47" s="11">
        <f>IFERROR(100/'Skjema total MA'!C47*C47,0)</f>
        <v>17.584828941729814</v>
      </c>
      <c r="F47" s="145"/>
      <c r="G47" s="33"/>
      <c r="H47" s="159"/>
      <c r="I47" s="159"/>
      <c r="J47" s="37"/>
      <c r="K47" s="37"/>
      <c r="L47" s="159"/>
      <c r="M47" s="159"/>
      <c r="N47" s="148"/>
    </row>
    <row r="48" spans="1:14" s="3" customFormat="1" ht="15.75" x14ac:dyDescent="0.2">
      <c r="A48" s="38" t="s">
        <v>462</v>
      </c>
      <c r="B48" s="280">
        <v>344998</v>
      </c>
      <c r="C48" s="281">
        <v>457175</v>
      </c>
      <c r="D48" s="254">
        <f t="shared" si="15"/>
        <v>32.5</v>
      </c>
      <c r="E48" s="27">
        <f>IFERROR(100/'Skjema total MA'!C48*C48,0)</f>
        <v>19.053447961673076</v>
      </c>
      <c r="F48" s="145"/>
      <c r="G48" s="33"/>
      <c r="H48" s="145"/>
      <c r="I48" s="145"/>
      <c r="J48" s="33"/>
      <c r="K48" s="33"/>
      <c r="L48" s="159"/>
      <c r="M48" s="159"/>
      <c r="N48" s="148"/>
    </row>
    <row r="49" spans="1:14" s="3" customFormat="1" ht="15.75" x14ac:dyDescent="0.2">
      <c r="A49" s="38" t="s">
        <v>463</v>
      </c>
      <c r="B49" s="44">
        <v>249694</v>
      </c>
      <c r="C49" s="286">
        <v>303904</v>
      </c>
      <c r="D49" s="254">
        <f>IF(B49=0, "    ---- ", IF(ABS(ROUND(100/B49*C49-100,1))&lt;999,ROUND(100/B49*C49-100,1),IF(ROUND(100/B49*C49-100,1)&gt;999,999,-999)))</f>
        <v>21.7</v>
      </c>
      <c r="E49" s="27">
        <f>IFERROR(100/'Skjema total MA'!C49*C49,0)</f>
        <v>15.757680175197272</v>
      </c>
      <c r="F49" s="145"/>
      <c r="G49" s="33"/>
      <c r="H49" s="145"/>
      <c r="I49" s="145"/>
      <c r="J49" s="37"/>
      <c r="K49" s="37"/>
      <c r="L49" s="159"/>
      <c r="M49" s="159"/>
      <c r="N49" s="148"/>
    </row>
    <row r="50" spans="1:14" s="3" customFormat="1" x14ac:dyDescent="0.2">
      <c r="A50" s="295" t="s">
        <v>6</v>
      </c>
      <c r="B50" s="289"/>
      <c r="C50" s="290"/>
      <c r="D50" s="254"/>
      <c r="E50" s="27"/>
      <c r="F50" s="145"/>
      <c r="G50" s="33"/>
      <c r="H50" s="145"/>
      <c r="I50" s="145"/>
      <c r="J50" s="33"/>
      <c r="K50" s="33"/>
      <c r="L50" s="159"/>
      <c r="M50" s="159"/>
      <c r="N50" s="148"/>
    </row>
    <row r="51" spans="1:14" s="3" customFormat="1" x14ac:dyDescent="0.2">
      <c r="A51" s="295" t="s">
        <v>7</v>
      </c>
      <c r="B51" s="289">
        <v>249694</v>
      </c>
      <c r="C51" s="290">
        <v>303904</v>
      </c>
      <c r="D51" s="254">
        <f>IF(B51=0, "    ---- ", IF(ABS(ROUND(100/B51*C51-100,1))&lt;999,ROUND(100/B51*C51-100,1),IF(ROUND(100/B51*C51-100,1)&gt;999,999,-999)))</f>
        <v>21.7</v>
      </c>
      <c r="E51" s="23" t="e">
        <f>IF(kvartal=4,IFERROR(100/'Skjema total MA'!B51*C51,0),"")</f>
        <v>#REF!</v>
      </c>
      <c r="F51" s="145"/>
      <c r="G51" s="33"/>
      <c r="H51" s="145"/>
      <c r="I51" s="145"/>
      <c r="J51" s="33"/>
      <c r="K51" s="33"/>
      <c r="L51" s="159"/>
      <c r="M51" s="159"/>
      <c r="N51" s="148"/>
    </row>
    <row r="52" spans="1:14" s="3" customFormat="1" x14ac:dyDescent="0.2">
      <c r="A52" s="295" t="s">
        <v>8</v>
      </c>
      <c r="B52" s="289"/>
      <c r="C52" s="290"/>
      <c r="D52" s="254"/>
      <c r="E52" s="23"/>
      <c r="F52" s="145"/>
      <c r="G52" s="33"/>
      <c r="H52" s="145"/>
      <c r="I52" s="145"/>
      <c r="J52" s="33"/>
      <c r="K52" s="33"/>
      <c r="L52" s="159"/>
      <c r="M52" s="159"/>
      <c r="N52" s="148"/>
    </row>
    <row r="53" spans="1:14" s="3" customFormat="1" ht="15.75" x14ac:dyDescent="0.2">
      <c r="A53" s="39" t="s">
        <v>464</v>
      </c>
      <c r="B53" s="309">
        <v>28258</v>
      </c>
      <c r="C53" s="310">
        <v>88448</v>
      </c>
      <c r="D53" s="373">
        <f t="shared" si="15"/>
        <v>213</v>
      </c>
      <c r="E53" s="11">
        <f>IFERROR(100/'Skjema total MA'!C53*C53,0)</f>
        <v>37.905212455270195</v>
      </c>
      <c r="F53" s="145"/>
      <c r="G53" s="33"/>
      <c r="H53" s="145"/>
      <c r="I53" s="145"/>
      <c r="J53" s="33"/>
      <c r="K53" s="33"/>
      <c r="L53" s="159"/>
      <c r="M53" s="159"/>
      <c r="N53" s="148"/>
    </row>
    <row r="54" spans="1:14" s="3" customFormat="1" ht="15.75" x14ac:dyDescent="0.2">
      <c r="A54" s="38" t="s">
        <v>462</v>
      </c>
      <c r="B54" s="280">
        <v>28258</v>
      </c>
      <c r="C54" s="281">
        <v>88448</v>
      </c>
      <c r="D54" s="254">
        <f t="shared" si="15"/>
        <v>213</v>
      </c>
      <c r="E54" s="27">
        <f>IFERROR(100/'Skjema total MA'!C54*C54,0)</f>
        <v>63.732777502733065</v>
      </c>
      <c r="F54" s="145"/>
      <c r="G54" s="33"/>
      <c r="H54" s="145"/>
      <c r="I54" s="145"/>
      <c r="J54" s="33"/>
      <c r="K54" s="33"/>
      <c r="L54" s="159"/>
      <c r="M54" s="159"/>
      <c r="N54" s="148"/>
    </row>
    <row r="55" spans="1:14" s="3" customFormat="1" ht="15.75" x14ac:dyDescent="0.2">
      <c r="A55" s="38" t="s">
        <v>463</v>
      </c>
      <c r="B55" s="280"/>
      <c r="C55" s="281"/>
      <c r="D55" s="254"/>
      <c r="E55" s="27"/>
      <c r="F55" s="145"/>
      <c r="G55" s="33"/>
      <c r="H55" s="145"/>
      <c r="I55" s="145"/>
      <c r="J55" s="33"/>
      <c r="K55" s="33"/>
      <c r="L55" s="159"/>
      <c r="M55" s="159"/>
      <c r="N55" s="148"/>
    </row>
    <row r="56" spans="1:14" s="3" customFormat="1" ht="15.75" x14ac:dyDescent="0.2">
      <c r="A56" s="39" t="s">
        <v>465</v>
      </c>
      <c r="B56" s="309">
        <v>32523</v>
      </c>
      <c r="C56" s="310">
        <v>9031</v>
      </c>
      <c r="D56" s="373">
        <f t="shared" si="15"/>
        <v>-72.2</v>
      </c>
      <c r="E56" s="11">
        <f>IFERROR(100/'Skjema total MA'!C56*C56,0)</f>
        <v>4.8555608553985268</v>
      </c>
      <c r="F56" s="145"/>
      <c r="G56" s="33"/>
      <c r="H56" s="145"/>
      <c r="I56" s="145"/>
      <c r="J56" s="33"/>
      <c r="K56" s="33"/>
      <c r="L56" s="159"/>
      <c r="M56" s="159"/>
      <c r="N56" s="148"/>
    </row>
    <row r="57" spans="1:14" s="3" customFormat="1" ht="15.75" x14ac:dyDescent="0.2">
      <c r="A57" s="38" t="s">
        <v>462</v>
      </c>
      <c r="B57" s="280">
        <v>32523</v>
      </c>
      <c r="C57" s="281">
        <v>9031</v>
      </c>
      <c r="D57" s="254">
        <f t="shared" si="15"/>
        <v>-72.2</v>
      </c>
      <c r="E57" s="27">
        <f>IFERROR(100/'Skjema total MA'!C57*C57,0)</f>
        <v>7.5643148942792555</v>
      </c>
      <c r="F57" s="145"/>
      <c r="G57" s="33"/>
      <c r="H57" s="145"/>
      <c r="I57" s="145"/>
      <c r="J57" s="33"/>
      <c r="K57" s="33"/>
      <c r="L57" s="159"/>
      <c r="M57" s="159"/>
      <c r="N57" s="148"/>
    </row>
    <row r="58" spans="1:14" s="3" customFormat="1" ht="15.75" x14ac:dyDescent="0.2">
      <c r="A58" s="46" t="s">
        <v>463</v>
      </c>
      <c r="B58" s="282"/>
      <c r="C58" s="283"/>
      <c r="D58" s="255"/>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277</v>
      </c>
      <c r="C61" s="26"/>
      <c r="D61" s="26"/>
      <c r="E61" s="26"/>
      <c r="F61" s="26"/>
      <c r="G61" s="26"/>
      <c r="H61" s="26"/>
      <c r="I61" s="26"/>
      <c r="J61" s="26"/>
      <c r="K61" s="26"/>
      <c r="L61" s="26"/>
      <c r="M61" s="26"/>
    </row>
    <row r="62" spans="1:14" ht="15.75" x14ac:dyDescent="0.25">
      <c r="B62" s="975"/>
      <c r="C62" s="975"/>
      <c r="D62" s="975"/>
      <c r="E62" s="298"/>
      <c r="F62" s="975"/>
      <c r="G62" s="975"/>
      <c r="H62" s="975"/>
      <c r="I62" s="298"/>
      <c r="J62" s="975"/>
      <c r="K62" s="975"/>
      <c r="L62" s="975"/>
      <c r="M62" s="298"/>
    </row>
    <row r="63" spans="1:14" x14ac:dyDescent="0.2">
      <c r="A63" s="144"/>
      <c r="B63" s="973" t="s">
        <v>0</v>
      </c>
      <c r="C63" s="974"/>
      <c r="D63" s="978"/>
      <c r="E63" s="299"/>
      <c r="F63" s="974" t="s">
        <v>1</v>
      </c>
      <c r="G63" s="974"/>
      <c r="H63" s="974"/>
      <c r="I63" s="303"/>
      <c r="J63" s="973" t="s">
        <v>2</v>
      </c>
      <c r="K63" s="974"/>
      <c r="L63" s="974"/>
      <c r="M63" s="303"/>
    </row>
    <row r="64" spans="1:14" x14ac:dyDescent="0.2">
      <c r="A64" s="140"/>
      <c r="B64" s="152" t="s">
        <v>492</v>
      </c>
      <c r="C64" s="152" t="s">
        <v>493</v>
      </c>
      <c r="D64" s="245" t="s">
        <v>3</v>
      </c>
      <c r="E64" s="304" t="s">
        <v>29</v>
      </c>
      <c r="F64" s="152" t="s">
        <v>492</v>
      </c>
      <c r="G64" s="152" t="s">
        <v>493</v>
      </c>
      <c r="H64" s="245" t="s">
        <v>3</v>
      </c>
      <c r="I64" s="304" t="s">
        <v>29</v>
      </c>
      <c r="J64" s="152" t="s">
        <v>492</v>
      </c>
      <c r="K64" s="152" t="s">
        <v>493</v>
      </c>
      <c r="L64" s="245" t="s">
        <v>3</v>
      </c>
      <c r="M64" s="162" t="s">
        <v>29</v>
      </c>
    </row>
    <row r="65" spans="1:14" x14ac:dyDescent="0.2">
      <c r="A65" s="947"/>
      <c r="B65" s="156"/>
      <c r="C65" s="156"/>
      <c r="D65" s="246" t="s">
        <v>4</v>
      </c>
      <c r="E65" s="156" t="s">
        <v>30</v>
      </c>
      <c r="F65" s="161"/>
      <c r="G65" s="161"/>
      <c r="H65" s="245" t="s">
        <v>4</v>
      </c>
      <c r="I65" s="156" t="s">
        <v>30</v>
      </c>
      <c r="J65" s="161"/>
      <c r="K65" s="206"/>
      <c r="L65" s="156" t="s">
        <v>4</v>
      </c>
      <c r="M65" s="156" t="s">
        <v>30</v>
      </c>
    </row>
    <row r="66" spans="1:14" ht="15.75" x14ac:dyDescent="0.2">
      <c r="A66" s="14" t="s">
        <v>23</v>
      </c>
      <c r="B66" s="352">
        <v>2895577</v>
      </c>
      <c r="C66" s="352">
        <v>2748012</v>
      </c>
      <c r="D66" s="349">
        <f t="shared" ref="D66:D111" si="16">IF(B66=0, "    ---- ", IF(ABS(ROUND(100/B66*C66-100,1))&lt;999,ROUND(100/B66*C66-100,1),IF(ROUND(100/B66*C66-100,1)&gt;999,999,-999)))</f>
        <v>-5.0999999999999996</v>
      </c>
      <c r="E66" s="11">
        <f>IFERROR(100/'Skjema total MA'!C66*C66,0)</f>
        <v>31.195622216929898</v>
      </c>
      <c r="F66" s="351">
        <v>8051873</v>
      </c>
      <c r="G66" s="351">
        <v>9295393.5</v>
      </c>
      <c r="H66" s="349">
        <f t="shared" ref="H66:H111" si="17">IF(F66=0, "    ---- ", IF(ABS(ROUND(100/F66*G66-100,1))&lt;999,ROUND(100/F66*G66-100,1),IF(ROUND(100/F66*G66-100,1)&gt;999,999,-999)))</f>
        <v>15.4</v>
      </c>
      <c r="I66" s="11">
        <f>IFERROR(100/'Skjema total MA'!F66*G66,0)</f>
        <v>28.787567252212391</v>
      </c>
      <c r="J66" s="308">
        <f t="shared" ref="J66:K86" si="18">SUM(B66,F66)</f>
        <v>10947450</v>
      </c>
      <c r="K66" s="315">
        <f t="shared" si="18"/>
        <v>12043405.5</v>
      </c>
      <c r="L66" s="373">
        <f t="shared" ref="L66:L111" si="19">IF(J66=0, "    ---- ", IF(ABS(ROUND(100/J66*K66-100,1))&lt;999,ROUND(100/J66*K66-100,1),IF(ROUND(100/J66*K66-100,1)&gt;999,999,-999)))</f>
        <v>10</v>
      </c>
      <c r="M66" s="11">
        <f>IFERROR(100/'Skjema total MA'!I66*K66,0)</f>
        <v>29.303703754131902</v>
      </c>
    </row>
    <row r="67" spans="1:14" x14ac:dyDescent="0.2">
      <c r="A67" s="21" t="s">
        <v>9</v>
      </c>
      <c r="B67" s="44">
        <v>2862991</v>
      </c>
      <c r="C67" s="145">
        <v>2430239</v>
      </c>
      <c r="D67" s="166">
        <f t="shared" si="16"/>
        <v>-15.1</v>
      </c>
      <c r="E67" s="27">
        <f>IFERROR(100/'Skjema total MA'!C67*C67,0)</f>
        <v>36.629669639293475</v>
      </c>
      <c r="F67" s="234"/>
      <c r="G67" s="145"/>
      <c r="H67" s="166"/>
      <c r="I67" s="27"/>
      <c r="J67" s="286">
        <f t="shared" si="18"/>
        <v>2862991</v>
      </c>
      <c r="K67" s="44">
        <f t="shared" si="18"/>
        <v>2430239</v>
      </c>
      <c r="L67" s="254">
        <f t="shared" si="19"/>
        <v>-15.1</v>
      </c>
      <c r="M67" s="27">
        <f>IFERROR(100/'Skjema total MA'!I67*K67,0)</f>
        <v>36.629669639293475</v>
      </c>
    </row>
    <row r="68" spans="1:14" x14ac:dyDescent="0.2">
      <c r="A68" s="21" t="s">
        <v>10</v>
      </c>
      <c r="B68" s="291"/>
      <c r="C68" s="292"/>
      <c r="D68" s="166"/>
      <c r="E68" s="27"/>
      <c r="F68" s="291">
        <v>8051873</v>
      </c>
      <c r="G68" s="292">
        <v>9295393.5</v>
      </c>
      <c r="H68" s="166">
        <f t="shared" si="17"/>
        <v>15.4</v>
      </c>
      <c r="I68" s="27">
        <f>IFERROR(100/'Skjema total MA'!F68*G68,0)</f>
        <v>29.18309427685324</v>
      </c>
      <c r="J68" s="286">
        <f t="shared" si="18"/>
        <v>8051873</v>
      </c>
      <c r="K68" s="44">
        <f t="shared" si="18"/>
        <v>9295393.5</v>
      </c>
      <c r="L68" s="254">
        <f t="shared" si="19"/>
        <v>15.4</v>
      </c>
      <c r="M68" s="27">
        <f>IFERROR(100/'Skjema total MA'!I68*K68,0)</f>
        <v>29.049934955684275</v>
      </c>
    </row>
    <row r="69" spans="1:14" ht="15.75" x14ac:dyDescent="0.2">
      <c r="A69" s="295" t="s">
        <v>466</v>
      </c>
      <c r="B69" s="280"/>
      <c r="C69" s="280"/>
      <c r="D69" s="166"/>
      <c r="E69" s="365"/>
      <c r="F69" s="280"/>
      <c r="G69" s="280"/>
      <c r="H69" s="166"/>
      <c r="I69" s="365"/>
      <c r="J69" s="289"/>
      <c r="K69" s="289"/>
      <c r="L69" s="166"/>
      <c r="M69" s="23"/>
    </row>
    <row r="70" spans="1:14" x14ac:dyDescent="0.2">
      <c r="A70" s="295" t="s">
        <v>12</v>
      </c>
      <c r="B70" s="293"/>
      <c r="C70" s="294"/>
      <c r="D70" s="166"/>
      <c r="E70" s="365"/>
      <c r="F70" s="280"/>
      <c r="G70" s="280"/>
      <c r="H70" s="166"/>
      <c r="I70" s="365"/>
      <c r="J70" s="289"/>
      <c r="K70" s="289"/>
      <c r="L70" s="166"/>
      <c r="M70" s="23"/>
    </row>
    <row r="71" spans="1:14" x14ac:dyDescent="0.2">
      <c r="A71" s="295" t="s">
        <v>13</v>
      </c>
      <c r="B71" s="235"/>
      <c r="C71" s="288"/>
      <c r="D71" s="166"/>
      <c r="E71" s="365"/>
      <c r="F71" s="280"/>
      <c r="G71" s="280"/>
      <c r="H71" s="166"/>
      <c r="I71" s="365"/>
      <c r="J71" s="289"/>
      <c r="K71" s="289"/>
      <c r="L71" s="166"/>
      <c r="M71" s="23"/>
    </row>
    <row r="72" spans="1:14" ht="15.75" x14ac:dyDescent="0.2">
      <c r="A72" s="295" t="s">
        <v>467</v>
      </c>
      <c r="B72" s="280"/>
      <c r="C72" s="280"/>
      <c r="D72" s="166"/>
      <c r="E72" s="365"/>
      <c r="F72" s="280">
        <v>8051873</v>
      </c>
      <c r="G72" s="280">
        <v>9295393.5</v>
      </c>
      <c r="H72" s="254">
        <f t="shared" ref="H72" si="20">IF(F72=0, "    ---- ", IF(ABS(ROUND(100/F72*G72-100,1))&lt;999,ROUND(100/F72*G72-100,1),IF(ROUND(100/F72*G72-100,1)&gt;999,999,-999)))</f>
        <v>15.4</v>
      </c>
      <c r="I72" s="365">
        <f>IFERROR(100/'Skjema total MA'!F72*G72,0)</f>
        <v>29.186703576173752</v>
      </c>
      <c r="J72" s="286">
        <f t="shared" ref="J72" si="21">SUM(B72,F72)</f>
        <v>8051873</v>
      </c>
      <c r="K72" s="286">
        <f t="shared" ref="K72" si="22">SUM(C72,G72)</f>
        <v>9295393.5</v>
      </c>
      <c r="L72" s="254">
        <f t="shared" ref="L72" si="23">IF(J72=0, "    ---- ", IF(ABS(ROUND(100/J72*K72-100,1))&lt;999,ROUND(100/J72*K72-100,1),IF(ROUND(100/J72*K72-100,1)&gt;999,999,-999)))</f>
        <v>15.4</v>
      </c>
      <c r="M72" s="23">
        <f>IFERROR(100/'Skjema total MA'!I72*K72,0)</f>
        <v>29.064741553287174</v>
      </c>
    </row>
    <row r="73" spans="1:14" x14ac:dyDescent="0.2">
      <c r="A73" s="295" t="s">
        <v>12</v>
      </c>
      <c r="B73" s="235"/>
      <c r="C73" s="288"/>
      <c r="D73" s="166"/>
      <c r="E73" s="365"/>
      <c r="F73" s="280"/>
      <c r="G73" s="280"/>
      <c r="H73" s="166"/>
      <c r="I73" s="365"/>
      <c r="J73" s="289"/>
      <c r="K73" s="289"/>
      <c r="L73" s="166"/>
      <c r="M73" s="23"/>
    </row>
    <row r="74" spans="1:14" s="3" customFormat="1" x14ac:dyDescent="0.2">
      <c r="A74" s="295" t="s">
        <v>13</v>
      </c>
      <c r="B74" s="235"/>
      <c r="C74" s="288"/>
      <c r="D74" s="166"/>
      <c r="E74" s="365"/>
      <c r="F74" s="280">
        <v>8051873</v>
      </c>
      <c r="G74" s="280">
        <v>9295393.5</v>
      </c>
      <c r="H74" s="254">
        <f t="shared" ref="H74" si="24">IF(F74=0, "    ---- ", IF(ABS(ROUND(100/F74*G74-100,1))&lt;999,ROUND(100/F74*G74-100,1),IF(ROUND(100/F74*G74-100,1)&gt;999,999,-999)))</f>
        <v>15.4</v>
      </c>
      <c r="I74" s="365">
        <f>IFERROR(100/'Skjema total MA'!F74*G74,0)</f>
        <v>29.19666427826305</v>
      </c>
      <c r="J74" s="286">
        <f t="shared" ref="J74" si="25">SUM(B74,F74)</f>
        <v>8051873</v>
      </c>
      <c r="K74" s="286">
        <f t="shared" ref="K74" si="26">SUM(C74,G74)</f>
        <v>9295393.5</v>
      </c>
      <c r="L74" s="254">
        <f t="shared" ref="L74" si="27">IF(J74=0, "    ---- ", IF(ABS(ROUND(100/J74*K74-100,1))&lt;999,ROUND(100/J74*K74-100,1),IF(ROUND(100/J74*K74-100,1)&gt;999,999,-999)))</f>
        <v>15.4</v>
      </c>
      <c r="M74" s="23">
        <f>IFERROR(100/'Skjema total MA'!I74*K74,0)</f>
        <v>29.19666427826305</v>
      </c>
      <c r="N74" s="148"/>
    </row>
    <row r="75" spans="1:14" s="3" customFormat="1" x14ac:dyDescent="0.2">
      <c r="A75" s="21" t="s">
        <v>353</v>
      </c>
      <c r="B75" s="234"/>
      <c r="C75" s="145"/>
      <c r="D75" s="166"/>
      <c r="E75" s="27"/>
      <c r="F75" s="234"/>
      <c r="G75" s="145"/>
      <c r="H75" s="166"/>
      <c r="I75" s="27"/>
      <c r="J75" s="286"/>
      <c r="K75" s="44"/>
      <c r="L75" s="254"/>
      <c r="M75" s="27"/>
      <c r="N75" s="148"/>
    </row>
    <row r="76" spans="1:14" s="3" customFormat="1" x14ac:dyDescent="0.2">
      <c r="A76" s="21" t="s">
        <v>352</v>
      </c>
      <c r="B76" s="234">
        <v>32586</v>
      </c>
      <c r="C76" s="145">
        <v>317773</v>
      </c>
      <c r="D76" s="166">
        <f t="shared" ref="D76" si="28">IF(B76=0, "    ---- ", IF(ABS(ROUND(100/B76*C76-100,1))&lt;999,ROUND(100/B76*C76-100,1),IF(ROUND(100/B76*C76-100,1)&gt;999,999,-999)))</f>
        <v>875.2</v>
      </c>
      <c r="E76" s="27">
        <f>IFERROR(100/'Skjema total MA'!C77*C76,0)</f>
        <v>4.7828145472354153</v>
      </c>
      <c r="F76" s="234"/>
      <c r="G76" s="145"/>
      <c r="H76" s="166"/>
      <c r="I76" s="27"/>
      <c r="J76" s="286">
        <f t="shared" ref="J76" si="29">SUM(B76,F76)</f>
        <v>32586</v>
      </c>
      <c r="K76" s="44">
        <f t="shared" ref="K76" si="30">SUM(C76,G76)</f>
        <v>317773</v>
      </c>
      <c r="L76" s="254">
        <f t="shared" ref="L76" si="31">IF(J76=0, "    ---- ", IF(ABS(ROUND(100/J76*K76-100,1))&lt;999,ROUND(100/J76*K76-100,1),IF(ROUND(100/J76*K76-100,1)&gt;999,999,-999)))</f>
        <v>875.2</v>
      </c>
      <c r="M76" s="27">
        <f>IFERROR(100/'Skjema total MA'!I77*K76,0)</f>
        <v>0.82575993246596791</v>
      </c>
      <c r="N76" s="148"/>
    </row>
    <row r="77" spans="1:14" ht="15.75" x14ac:dyDescent="0.2">
      <c r="A77" s="21" t="s">
        <v>468</v>
      </c>
      <c r="B77" s="234">
        <v>2825350.7880000002</v>
      </c>
      <c r="C77" s="234">
        <v>2385400</v>
      </c>
      <c r="D77" s="166">
        <f t="shared" si="16"/>
        <v>-15.6</v>
      </c>
      <c r="E77" s="27">
        <f>IFERROR(100/'Skjema total MA'!C77*C77,0)</f>
        <v>35.902753918600254</v>
      </c>
      <c r="F77" s="234">
        <v>8051873</v>
      </c>
      <c r="G77" s="145">
        <v>9295394</v>
      </c>
      <c r="H77" s="166">
        <f t="shared" si="17"/>
        <v>15.4</v>
      </c>
      <c r="I77" s="27">
        <f>IFERROR(100/'Skjema total MA'!F77*G77,0)</f>
        <v>29.195513089005065</v>
      </c>
      <c r="J77" s="286">
        <f t="shared" si="18"/>
        <v>10877223.788000001</v>
      </c>
      <c r="K77" s="44">
        <f t="shared" si="18"/>
        <v>11680794</v>
      </c>
      <c r="L77" s="254">
        <f t="shared" si="19"/>
        <v>7.4</v>
      </c>
      <c r="M77" s="27">
        <f>IFERROR(100/'Skjema total MA'!I77*K77,0)</f>
        <v>30.353528036015909</v>
      </c>
    </row>
    <row r="78" spans="1:14" x14ac:dyDescent="0.2">
      <c r="A78" s="21" t="s">
        <v>9</v>
      </c>
      <c r="B78" s="234">
        <v>2825350.7880000002</v>
      </c>
      <c r="C78" s="145">
        <v>2385400</v>
      </c>
      <c r="D78" s="166">
        <f t="shared" si="16"/>
        <v>-15.6</v>
      </c>
      <c r="E78" s="27">
        <f>IFERROR(100/'Skjema total MA'!C78*C78,0)</f>
        <v>36.687172685270937</v>
      </c>
      <c r="F78" s="234"/>
      <c r="G78" s="145"/>
      <c r="H78" s="166"/>
      <c r="I78" s="27"/>
      <c r="J78" s="286">
        <f t="shared" si="18"/>
        <v>2825350.7880000002</v>
      </c>
      <c r="K78" s="44">
        <f t="shared" si="18"/>
        <v>2385400</v>
      </c>
      <c r="L78" s="254">
        <f t="shared" si="19"/>
        <v>-15.6</v>
      </c>
      <c r="M78" s="27">
        <f>IFERROR(100/'Skjema total MA'!I78*K78,0)</f>
        <v>36.687172685270937</v>
      </c>
    </row>
    <row r="79" spans="1:14" x14ac:dyDescent="0.2">
      <c r="A79" s="21" t="s">
        <v>10</v>
      </c>
      <c r="B79" s="291"/>
      <c r="C79" s="292"/>
      <c r="D79" s="166"/>
      <c r="E79" s="27"/>
      <c r="F79" s="291">
        <v>8051873</v>
      </c>
      <c r="G79" s="292">
        <v>9295394</v>
      </c>
      <c r="H79" s="166">
        <f t="shared" si="17"/>
        <v>15.4</v>
      </c>
      <c r="I79" s="27">
        <f>IFERROR(100/'Skjema total MA'!F79*G79,0)</f>
        <v>29.195513089005065</v>
      </c>
      <c r="J79" s="286">
        <f t="shared" si="18"/>
        <v>8051873</v>
      </c>
      <c r="K79" s="44">
        <f t="shared" si="18"/>
        <v>9295394</v>
      </c>
      <c r="L79" s="254">
        <f t="shared" si="19"/>
        <v>15.4</v>
      </c>
      <c r="M79" s="27">
        <f>IFERROR(100/'Skjema total MA'!I79*K79,0)</f>
        <v>29.065825577699588</v>
      </c>
    </row>
    <row r="80" spans="1:14" ht="15.75" x14ac:dyDescent="0.2">
      <c r="A80" s="295" t="s">
        <v>466</v>
      </c>
      <c r="B80" s="280"/>
      <c r="C80" s="280"/>
      <c r="D80" s="166"/>
      <c r="E80" s="365"/>
      <c r="F80" s="280"/>
      <c r="G80" s="280"/>
      <c r="H80" s="166"/>
      <c r="I80" s="365"/>
      <c r="J80" s="289"/>
      <c r="K80" s="289"/>
      <c r="L80" s="166"/>
      <c r="M80" s="23"/>
    </row>
    <row r="81" spans="1:13" x14ac:dyDescent="0.2">
      <c r="A81" s="295" t="s">
        <v>12</v>
      </c>
      <c r="B81" s="235"/>
      <c r="C81" s="288"/>
      <c r="D81" s="166"/>
      <c r="E81" s="365"/>
      <c r="F81" s="280"/>
      <c r="G81" s="280"/>
      <c r="H81" s="166"/>
      <c r="I81" s="365"/>
      <c r="J81" s="289"/>
      <c r="K81" s="289"/>
      <c r="L81" s="166"/>
      <c r="M81" s="23"/>
    </row>
    <row r="82" spans="1:13" x14ac:dyDescent="0.2">
      <c r="A82" s="295" t="s">
        <v>13</v>
      </c>
      <c r="B82" s="235"/>
      <c r="C82" s="288"/>
      <c r="D82" s="166"/>
      <c r="E82" s="365"/>
      <c r="F82" s="280"/>
      <c r="G82" s="280"/>
      <c r="H82" s="166"/>
      <c r="I82" s="365"/>
      <c r="J82" s="289"/>
      <c r="K82" s="289"/>
      <c r="L82" s="166"/>
      <c r="M82" s="23"/>
    </row>
    <row r="83" spans="1:13" ht="15.75" x14ac:dyDescent="0.2">
      <c r="A83" s="295" t="s">
        <v>467</v>
      </c>
      <c r="B83" s="280"/>
      <c r="C83" s="280"/>
      <c r="D83" s="166"/>
      <c r="E83" s="365"/>
      <c r="F83" s="280">
        <v>8051873</v>
      </c>
      <c r="G83" s="280">
        <v>9295394</v>
      </c>
      <c r="H83" s="254">
        <f t="shared" ref="H83" si="32">IF(F83=0, "    ---- ", IF(ABS(ROUND(100/F83*G83-100,1))&lt;999,ROUND(100/F83*G83-100,1),IF(ROUND(100/F83*G83-100,1)&gt;999,999,-999)))</f>
        <v>15.4</v>
      </c>
      <c r="I83" s="365">
        <f>IFERROR(100/'Skjema total MA'!F83*G83,0)</f>
        <v>29.195513089005065</v>
      </c>
      <c r="J83" s="286">
        <f t="shared" ref="J83" si="33">SUM(B83,F83)</f>
        <v>8051873</v>
      </c>
      <c r="K83" s="286">
        <f t="shared" ref="K83" si="34">SUM(C83,G83)</f>
        <v>9295394</v>
      </c>
      <c r="L83" s="254">
        <f t="shared" ref="L83" si="35">IF(J83=0, "    ---- ", IF(ABS(ROUND(100/J83*K83-100,1))&lt;999,ROUND(100/J83*K83-100,1),IF(ROUND(100/J83*K83-100,1)&gt;999,999,-999)))</f>
        <v>15.4</v>
      </c>
      <c r="M83" s="23">
        <f>IFERROR(100/'Skjema total MA'!I83*K83,0)</f>
        <v>29.065825577699588</v>
      </c>
    </row>
    <row r="84" spans="1:13" x14ac:dyDescent="0.2">
      <c r="A84" s="295" t="s">
        <v>12</v>
      </c>
      <c r="B84" s="235"/>
      <c r="C84" s="288"/>
      <c r="D84" s="166"/>
      <c r="E84" s="365"/>
      <c r="F84" s="280"/>
      <c r="G84" s="280"/>
      <c r="H84" s="166"/>
      <c r="I84" s="365"/>
      <c r="J84" s="289"/>
      <c r="K84" s="289"/>
      <c r="L84" s="166"/>
      <c r="M84" s="23"/>
    </row>
    <row r="85" spans="1:13" x14ac:dyDescent="0.2">
      <c r="A85" s="295" t="s">
        <v>13</v>
      </c>
      <c r="B85" s="235"/>
      <c r="C85" s="288"/>
      <c r="D85" s="166"/>
      <c r="E85" s="365"/>
      <c r="F85" s="280">
        <v>8051873</v>
      </c>
      <c r="G85" s="280">
        <v>9295394</v>
      </c>
      <c r="H85" s="254">
        <f t="shared" ref="H85" si="36">IF(F85=0, "    ---- ", IF(ABS(ROUND(100/F85*G85-100,1))&lt;999,ROUND(100/F85*G85-100,1),IF(ROUND(100/F85*G85-100,1)&gt;999,999,-999)))</f>
        <v>15.4</v>
      </c>
      <c r="I85" s="365">
        <f>IFERROR(100/'Skjema total MA'!F85*G85,0)</f>
        <v>29.205479805431086</v>
      </c>
      <c r="J85" s="286">
        <f t="shared" ref="J85" si="37">SUM(B85,F85)</f>
        <v>8051873</v>
      </c>
      <c r="K85" s="286">
        <f t="shared" ref="K85" si="38">SUM(C85,G85)</f>
        <v>9295394</v>
      </c>
      <c r="L85" s="254">
        <f t="shared" ref="L85" si="39">IF(J85=0, "    ---- ", IF(ABS(ROUND(100/J85*K85-100,1))&lt;999,ROUND(100/J85*K85-100,1),IF(ROUND(100/J85*K85-100,1)&gt;999,999,-999)))</f>
        <v>15.4</v>
      </c>
      <c r="M85" s="23">
        <f>IFERROR(100/'Skjema total MA'!I85*K85,0)</f>
        <v>29.205479805431086</v>
      </c>
    </row>
    <row r="86" spans="1:13" ht="15.75" x14ac:dyDescent="0.2">
      <c r="A86" s="21" t="s">
        <v>469</v>
      </c>
      <c r="B86" s="234">
        <v>37640.212</v>
      </c>
      <c r="C86" s="145">
        <v>44839</v>
      </c>
      <c r="D86" s="166">
        <f t="shared" si="16"/>
        <v>19.100000000000001</v>
      </c>
      <c r="E86" s="27">
        <f>IFERROR(100/'Skjema total MA'!C86*C86,0)</f>
        <v>32.833755335338786</v>
      </c>
      <c r="F86" s="234"/>
      <c r="G86" s="145"/>
      <c r="H86" s="166"/>
      <c r="I86" s="27"/>
      <c r="J86" s="286">
        <f t="shared" si="18"/>
        <v>37640.212</v>
      </c>
      <c r="K86" s="44">
        <f t="shared" si="18"/>
        <v>44839</v>
      </c>
      <c r="L86" s="254">
        <f t="shared" si="19"/>
        <v>19.100000000000001</v>
      </c>
      <c r="M86" s="27">
        <f>IFERROR(100/'Skjema total MA'!I86*K86,0)</f>
        <v>29.870502648159288</v>
      </c>
    </row>
    <row r="87" spans="1:13" ht="15.75" x14ac:dyDescent="0.2">
      <c r="A87" s="13" t="s">
        <v>451</v>
      </c>
      <c r="B87" s="352">
        <v>156782551</v>
      </c>
      <c r="C87" s="352">
        <v>157188985</v>
      </c>
      <c r="D87" s="171">
        <f t="shared" si="16"/>
        <v>0.3</v>
      </c>
      <c r="E87" s="11">
        <f>IFERROR(100/'Skjema total MA'!C87*C87,0)</f>
        <v>40.09668688278564</v>
      </c>
      <c r="F87" s="351">
        <v>66763297.153999999</v>
      </c>
      <c r="G87" s="351">
        <v>87037772.869000003</v>
      </c>
      <c r="H87" s="171">
        <f t="shared" si="17"/>
        <v>30.4</v>
      </c>
      <c r="I87" s="11">
        <f>IFERROR(100/'Skjema total MA'!F87*G87,0)</f>
        <v>27.667098761898487</v>
      </c>
      <c r="J87" s="308">
        <f t="shared" ref="J87:K111" si="40">SUM(B87,F87)</f>
        <v>223545848.15399998</v>
      </c>
      <c r="K87" s="236">
        <f t="shared" si="40"/>
        <v>244226757.86900002</v>
      </c>
      <c r="L87" s="373">
        <f t="shared" si="19"/>
        <v>9.3000000000000007</v>
      </c>
      <c r="M87" s="11">
        <f>IFERROR(100/'Skjema total MA'!I87*K87,0)</f>
        <v>34.56295065498113</v>
      </c>
    </row>
    <row r="88" spans="1:13" x14ac:dyDescent="0.2">
      <c r="A88" s="21" t="s">
        <v>9</v>
      </c>
      <c r="B88" s="234">
        <v>155812254</v>
      </c>
      <c r="C88" s="145">
        <v>157047815</v>
      </c>
      <c r="D88" s="166">
        <f t="shared" si="16"/>
        <v>0.8</v>
      </c>
      <c r="E88" s="27">
        <f>IFERROR(100/'Skjema total MA'!C88*C88,0)</f>
        <v>41.085609776134554</v>
      </c>
      <c r="F88" s="234"/>
      <c r="G88" s="145"/>
      <c r="H88" s="166"/>
      <c r="I88" s="27"/>
      <c r="J88" s="286">
        <f t="shared" si="40"/>
        <v>155812254</v>
      </c>
      <c r="K88" s="44">
        <f t="shared" si="40"/>
        <v>157047815</v>
      </c>
      <c r="L88" s="254">
        <f t="shared" si="19"/>
        <v>0.8</v>
      </c>
      <c r="M88" s="27">
        <f>IFERROR(100/'Skjema total MA'!I88*K88,0)</f>
        <v>41.085609776134554</v>
      </c>
    </row>
    <row r="89" spans="1:13" x14ac:dyDescent="0.2">
      <c r="A89" s="21" t="s">
        <v>10</v>
      </c>
      <c r="B89" s="234">
        <v>96025</v>
      </c>
      <c r="C89" s="145">
        <v>101745</v>
      </c>
      <c r="D89" s="166">
        <f t="shared" si="16"/>
        <v>6</v>
      </c>
      <c r="E89" s="27">
        <f>IFERROR(100/'Skjema total MA'!C89*C89,0)</f>
        <v>3.4102307882614995</v>
      </c>
      <c r="F89" s="234">
        <v>66763297.153999999</v>
      </c>
      <c r="G89" s="145">
        <v>87037772.869000003</v>
      </c>
      <c r="H89" s="166">
        <f t="shared" si="17"/>
        <v>30.4</v>
      </c>
      <c r="I89" s="27">
        <f>IFERROR(100/'Skjema total MA'!F89*G89,0)</f>
        <v>27.806557449254857</v>
      </c>
      <c r="J89" s="286">
        <f t="shared" si="40"/>
        <v>66859322.153999999</v>
      </c>
      <c r="K89" s="44">
        <f t="shared" si="40"/>
        <v>87139517.869000003</v>
      </c>
      <c r="L89" s="254">
        <f t="shared" si="19"/>
        <v>30.3</v>
      </c>
      <c r="M89" s="27">
        <f>IFERROR(100/'Skjema total MA'!I89*K89,0)</f>
        <v>27.576215384892937</v>
      </c>
    </row>
    <row r="90" spans="1:13" ht="15.75" x14ac:dyDescent="0.2">
      <c r="A90" s="295" t="s">
        <v>466</v>
      </c>
      <c r="B90" s="280"/>
      <c r="C90" s="280"/>
      <c r="D90" s="166"/>
      <c r="E90" s="365"/>
      <c r="F90" s="280">
        <v>111727.15399999999</v>
      </c>
      <c r="G90" s="280">
        <v>109590.83</v>
      </c>
      <c r="H90" s="254">
        <f t="shared" si="17"/>
        <v>-1.9</v>
      </c>
      <c r="I90" s="365">
        <f>IFERROR(100/'Skjema total MA'!F90*G90,0)</f>
        <v>89.406627579321693</v>
      </c>
      <c r="J90" s="286">
        <f t="shared" si="40"/>
        <v>111727.15399999999</v>
      </c>
      <c r="K90" s="286">
        <f t="shared" si="40"/>
        <v>109590.83</v>
      </c>
      <c r="L90" s="254">
        <f t="shared" si="19"/>
        <v>-1.9</v>
      </c>
      <c r="M90" s="23">
        <f>IFERROR(100/'Skjema total MA'!I90*K90,0)</f>
        <v>89.406627579321693</v>
      </c>
    </row>
    <row r="91" spans="1:13" x14ac:dyDescent="0.2">
      <c r="A91" s="295" t="s">
        <v>12</v>
      </c>
      <c r="B91" s="235"/>
      <c r="C91" s="288"/>
      <c r="D91" s="166"/>
      <c r="E91" s="365"/>
      <c r="F91" s="280">
        <v>111727.15399999999</v>
      </c>
      <c r="G91" s="280">
        <v>109590.83</v>
      </c>
      <c r="H91" s="254">
        <f t="shared" ref="H91" si="41">IF(F91=0, "    ---- ", IF(ABS(ROUND(100/F91*G91-100,1))&lt;999,ROUND(100/F91*G91-100,1),IF(ROUND(100/F91*G91-100,1)&gt;999,999,-999)))</f>
        <v>-1.9</v>
      </c>
      <c r="I91" s="365">
        <f>IFERROR(100/'Skjema total MA'!F91*G91,0)</f>
        <v>100</v>
      </c>
      <c r="J91" s="286">
        <f t="shared" si="40"/>
        <v>111727.15399999999</v>
      </c>
      <c r="K91" s="286">
        <f t="shared" si="40"/>
        <v>109590.83</v>
      </c>
      <c r="L91" s="254">
        <f t="shared" si="19"/>
        <v>-1.9</v>
      </c>
      <c r="M91" s="23">
        <f>IFERROR(100/'Skjema total MA'!I91*K91,0)</f>
        <v>100</v>
      </c>
    </row>
    <row r="92" spans="1:13" x14ac:dyDescent="0.2">
      <c r="A92" s="295" t="s">
        <v>13</v>
      </c>
      <c r="B92" s="235"/>
      <c r="C92" s="288"/>
      <c r="D92" s="166"/>
      <c r="E92" s="365"/>
      <c r="F92" s="280"/>
      <c r="G92" s="280"/>
      <c r="H92" s="166"/>
      <c r="I92" s="365"/>
      <c r="J92" s="289"/>
      <c r="K92" s="289"/>
      <c r="L92" s="166"/>
      <c r="M92" s="23"/>
    </row>
    <row r="93" spans="1:13" ht="15.75" x14ac:dyDescent="0.2">
      <c r="A93" s="295" t="s">
        <v>467</v>
      </c>
      <c r="B93" s="280">
        <v>96025</v>
      </c>
      <c r="C93" s="280">
        <v>101745</v>
      </c>
      <c r="D93" s="166">
        <f t="shared" ref="D93" si="42">IF(B93=0, "    ---- ", IF(ABS(ROUND(100/B93*C93-100,1))&lt;999,ROUND(100/B93*C93-100,1),IF(ROUND(100/B93*C93-100,1)&gt;999,999,-999)))</f>
        <v>6</v>
      </c>
      <c r="E93" s="365">
        <f>IFERROR(100/'Skjema total MA'!B93*C93,0)</f>
        <v>3.7408149006255291</v>
      </c>
      <c r="F93" s="280">
        <v>66651570</v>
      </c>
      <c r="G93" s="280">
        <v>86928182.039000005</v>
      </c>
      <c r="H93" s="254">
        <f t="shared" ref="H93" si="43">IF(F93=0, "    ---- ", IF(ABS(ROUND(100/F93*G93-100,1))&lt;999,ROUND(100/F93*G93-100,1),IF(ROUND(100/F93*G93-100,1)&gt;999,999,-999)))</f>
        <v>30.4</v>
      </c>
      <c r="I93" s="365">
        <f>IFERROR(100/'Skjema total MA'!F93*G93,0)</f>
        <v>27.78242534082964</v>
      </c>
      <c r="J93" s="286">
        <f t="shared" ref="J93" si="44">SUM(B93,F93)</f>
        <v>66747595</v>
      </c>
      <c r="K93" s="286">
        <f t="shared" ref="K93" si="45">SUM(C93,G93)</f>
        <v>87029927.039000005</v>
      </c>
      <c r="L93" s="254">
        <f t="shared" si="19"/>
        <v>30.4</v>
      </c>
      <c r="M93" s="23">
        <f>IFERROR(100/'Skjema total MA'!I93*K93,0)</f>
        <v>27.552221827057416</v>
      </c>
    </row>
    <row r="94" spans="1:13" x14ac:dyDescent="0.2">
      <c r="A94" s="295" t="s">
        <v>12</v>
      </c>
      <c r="B94" s="235"/>
      <c r="C94" s="288"/>
      <c r="D94" s="166"/>
      <c r="E94" s="365"/>
      <c r="F94" s="280"/>
      <c r="G94" s="280"/>
      <c r="H94" s="166"/>
      <c r="I94" s="365"/>
      <c r="J94" s="289"/>
      <c r="K94" s="289"/>
      <c r="L94" s="166"/>
      <c r="M94" s="23"/>
    </row>
    <row r="95" spans="1:13" x14ac:dyDescent="0.2">
      <c r="A95" s="295" t="s">
        <v>13</v>
      </c>
      <c r="B95" s="235"/>
      <c r="C95" s="288"/>
      <c r="D95" s="166"/>
      <c r="E95" s="365"/>
      <c r="F95" s="280">
        <v>66651570</v>
      </c>
      <c r="G95" s="280">
        <v>86928182.039000005</v>
      </c>
      <c r="H95" s="254">
        <f t="shared" ref="H95" si="46">IF(F95=0, "    ---- ", IF(ABS(ROUND(100/F95*G95-100,1))&lt;999,ROUND(100/F95*G95-100,1),IF(ROUND(100/F95*G95-100,1)&gt;999,999,-999)))</f>
        <v>30.4</v>
      </c>
      <c r="I95" s="365">
        <f>IFERROR(100/'Skjema total MA'!F95*G95,0)</f>
        <v>27.850777733072178</v>
      </c>
      <c r="J95" s="286">
        <f t="shared" ref="J95" si="47">SUM(B95,F95)</f>
        <v>66651570</v>
      </c>
      <c r="K95" s="286">
        <f t="shared" ref="K95" si="48">SUM(C95,G95)</f>
        <v>86928182.039000005</v>
      </c>
      <c r="L95" s="254">
        <f t="shared" si="19"/>
        <v>30.4</v>
      </c>
      <c r="M95" s="23">
        <f>IFERROR(100/'Skjema total MA'!I95*K95,0)</f>
        <v>27.850777733072178</v>
      </c>
    </row>
    <row r="96" spans="1:13" x14ac:dyDescent="0.2">
      <c r="A96" s="21" t="s">
        <v>351</v>
      </c>
      <c r="B96" s="234"/>
      <c r="C96" s="145"/>
      <c r="D96" s="166"/>
      <c r="E96" s="27"/>
      <c r="F96" s="234"/>
      <c r="G96" s="145"/>
      <c r="H96" s="166"/>
      <c r="I96" s="27"/>
      <c r="J96" s="286"/>
      <c r="K96" s="44"/>
      <c r="L96" s="254"/>
      <c r="M96" s="27"/>
    </row>
    <row r="97" spans="1:13" x14ac:dyDescent="0.2">
      <c r="A97" s="21" t="s">
        <v>350</v>
      </c>
      <c r="B97" s="234">
        <v>874272</v>
      </c>
      <c r="C97" s="145">
        <v>39425</v>
      </c>
      <c r="D97" s="166">
        <f t="shared" ref="D97" si="49">IF(B97=0, "    ---- ", IF(ABS(ROUND(100/B97*C97-100,1))&lt;999,ROUND(100/B97*C97-100,1),IF(ROUND(100/B97*C97-100,1)&gt;999,999,-999)))</f>
        <v>-95.5</v>
      </c>
      <c r="E97" s="27">
        <f>IFERROR(100/'Skjema total MA'!C97*C97,0)</f>
        <v>0.73089507963843814</v>
      </c>
      <c r="F97" s="234"/>
      <c r="G97" s="145"/>
      <c r="H97" s="166"/>
      <c r="I97" s="27"/>
      <c r="J97" s="286">
        <f t="shared" ref="J97" si="50">SUM(B97,F97)</f>
        <v>874272</v>
      </c>
      <c r="K97" s="44">
        <f t="shared" ref="K97" si="51">SUM(C97,G97)</f>
        <v>39425</v>
      </c>
      <c r="L97" s="254">
        <f t="shared" ref="L97" si="52">IF(J97=0, "    ---- ", IF(ABS(ROUND(100/J97*K97-100,1))&lt;999,ROUND(100/J97*K97-100,1),IF(ROUND(100/J97*K97-100,1)&gt;999,999,-999)))</f>
        <v>-95.5</v>
      </c>
      <c r="M97" s="27">
        <f>IFERROR(100/'Skjema total MA'!I97*K97,0)</f>
        <v>0.73089507963843814</v>
      </c>
    </row>
    <row r="98" spans="1:13" ht="15.75" x14ac:dyDescent="0.2">
      <c r="A98" s="21" t="s">
        <v>468</v>
      </c>
      <c r="B98" s="234">
        <v>154463656.09900001</v>
      </c>
      <c r="C98" s="234">
        <v>155855925</v>
      </c>
      <c r="D98" s="166">
        <f t="shared" si="16"/>
        <v>0.9</v>
      </c>
      <c r="E98" s="27">
        <f>IFERROR(100/'Skjema total MA'!C98*C98,0)</f>
        <v>40.946328481106178</v>
      </c>
      <c r="F98" s="291">
        <v>66651569.846000001</v>
      </c>
      <c r="G98" s="291">
        <v>86928182.039000005</v>
      </c>
      <c r="H98" s="166">
        <f t="shared" si="17"/>
        <v>30.4</v>
      </c>
      <c r="I98" s="27">
        <f>IFERROR(100/'Skjema total MA'!F98*G98,0)</f>
        <v>27.849972116445624</v>
      </c>
      <c r="J98" s="286">
        <f t="shared" si="40"/>
        <v>221115225.94499999</v>
      </c>
      <c r="K98" s="44">
        <f t="shared" si="40"/>
        <v>242784107.039</v>
      </c>
      <c r="L98" s="254">
        <f t="shared" si="19"/>
        <v>9.8000000000000007</v>
      </c>
      <c r="M98" s="27">
        <f>IFERROR(100/'Skjema total MA'!I98*K98,0)</f>
        <v>35.045670572966408</v>
      </c>
    </row>
    <row r="99" spans="1:13" x14ac:dyDescent="0.2">
      <c r="A99" s="21" t="s">
        <v>9</v>
      </c>
      <c r="B99" s="291">
        <v>154367631.09900001</v>
      </c>
      <c r="C99" s="292">
        <v>155754180</v>
      </c>
      <c r="D99" s="166">
        <f t="shared" si="16"/>
        <v>0.9</v>
      </c>
      <c r="E99" s="27">
        <f>IFERROR(100/'Skjema total MA'!C99*C99,0)</f>
        <v>41.242871470548778</v>
      </c>
      <c r="F99" s="234"/>
      <c r="G99" s="145"/>
      <c r="H99" s="166"/>
      <c r="I99" s="27"/>
      <c r="J99" s="286">
        <f t="shared" si="40"/>
        <v>154367631.09900001</v>
      </c>
      <c r="K99" s="44">
        <f t="shared" si="40"/>
        <v>155754180</v>
      </c>
      <c r="L99" s="254">
        <f t="shared" si="19"/>
        <v>0.9</v>
      </c>
      <c r="M99" s="27">
        <f>IFERROR(100/'Skjema total MA'!I99*K99,0)</f>
        <v>41.242871470548778</v>
      </c>
    </row>
    <row r="100" spans="1:13" x14ac:dyDescent="0.2">
      <c r="A100" s="21" t="s">
        <v>10</v>
      </c>
      <c r="B100" s="291">
        <v>96025</v>
      </c>
      <c r="C100" s="292">
        <v>101745</v>
      </c>
      <c r="D100" s="166">
        <f t="shared" si="16"/>
        <v>6</v>
      </c>
      <c r="E100" s="27">
        <f>IFERROR(100/'Skjema total MA'!C100*C100,0)</f>
        <v>3.4102304179225174</v>
      </c>
      <c r="F100" s="234">
        <v>66651569.846000001</v>
      </c>
      <c r="G100" s="234">
        <v>86928182.039000005</v>
      </c>
      <c r="H100" s="166">
        <f t="shared" si="17"/>
        <v>30.4</v>
      </c>
      <c r="I100" s="27">
        <f>IFERROR(100/'Skjema total MA'!F100*G100,0)</f>
        <v>27.849972116445624</v>
      </c>
      <c r="J100" s="286">
        <f t="shared" si="40"/>
        <v>66747594.846000001</v>
      </c>
      <c r="K100" s="44">
        <f t="shared" si="40"/>
        <v>87029927.039000005</v>
      </c>
      <c r="L100" s="254">
        <f t="shared" si="19"/>
        <v>30.4</v>
      </c>
      <c r="M100" s="27">
        <f>IFERROR(100/'Skjema total MA'!I100*K100,0)</f>
        <v>27.61857464659392</v>
      </c>
    </row>
    <row r="101" spans="1:13" ht="15.75" x14ac:dyDescent="0.2">
      <c r="A101" s="295" t="s">
        <v>466</v>
      </c>
      <c r="B101" s="280"/>
      <c r="C101" s="280"/>
      <c r="D101" s="166"/>
      <c r="E101" s="365"/>
      <c r="F101" s="280"/>
      <c r="G101" s="280"/>
      <c r="H101" s="166"/>
      <c r="I101" s="365"/>
      <c r="J101" s="289"/>
      <c r="K101" s="289"/>
      <c r="L101" s="166"/>
      <c r="M101" s="23"/>
    </row>
    <row r="102" spans="1:13" x14ac:dyDescent="0.2">
      <c r="A102" s="295" t="s">
        <v>12</v>
      </c>
      <c r="B102" s="235"/>
      <c r="C102" s="288"/>
      <c r="D102" s="166"/>
      <c r="E102" s="365"/>
      <c r="F102" s="280"/>
      <c r="G102" s="280"/>
      <c r="H102" s="166"/>
      <c r="I102" s="365"/>
      <c r="J102" s="289"/>
      <c r="K102" s="289"/>
      <c r="L102" s="166"/>
      <c r="M102" s="23"/>
    </row>
    <row r="103" spans="1:13" x14ac:dyDescent="0.2">
      <c r="A103" s="295" t="s">
        <v>13</v>
      </c>
      <c r="B103" s="235"/>
      <c r="C103" s="288"/>
      <c r="D103" s="166"/>
      <c r="E103" s="365"/>
      <c r="F103" s="280"/>
      <c r="G103" s="280"/>
      <c r="H103" s="166"/>
      <c r="I103" s="365"/>
      <c r="J103" s="289"/>
      <c r="K103" s="289"/>
      <c r="L103" s="166"/>
      <c r="M103" s="23"/>
    </row>
    <row r="104" spans="1:13" ht="15.75" x14ac:dyDescent="0.2">
      <c r="A104" s="295" t="s">
        <v>467</v>
      </c>
      <c r="B104" s="280">
        <v>96025</v>
      </c>
      <c r="C104" s="280">
        <v>101745</v>
      </c>
      <c r="D104" s="166">
        <f t="shared" ref="D104" si="53">IF(B104=0, "    ---- ", IF(ABS(ROUND(100/B104*C104-100,1))&lt;999,ROUND(100/B104*C104-100,1),IF(ROUND(100/B104*C104-100,1)&gt;999,999,-999)))</f>
        <v>6</v>
      </c>
      <c r="E104" s="27">
        <f>IFERROR(100/'Skjema total MA'!C104*C104,0)</f>
        <v>3.4102304179225174</v>
      </c>
      <c r="F104" s="280">
        <v>66651569.846000001</v>
      </c>
      <c r="G104" s="280">
        <v>86928182.039000005</v>
      </c>
      <c r="H104" s="166">
        <f t="shared" ref="H104" si="54">IF(F104=0, "    ---- ", IF(ABS(ROUND(100/F104*G104-100,1))&lt;999,ROUND(100/F104*G104-100,1),IF(ROUND(100/F104*G104-100,1)&gt;999,999,-999)))</f>
        <v>30.4</v>
      </c>
      <c r="I104" s="27">
        <f>IFERROR(100/'Skjema total MA'!F104*G104,0)</f>
        <v>27.849972116445624</v>
      </c>
      <c r="J104" s="286">
        <f t="shared" ref="J104" si="55">SUM(B104,F104)</f>
        <v>66747594.846000001</v>
      </c>
      <c r="K104" s="286">
        <f t="shared" ref="K104" si="56">SUM(C104,G104)</f>
        <v>87029927.039000005</v>
      </c>
      <c r="L104" s="254">
        <f t="shared" ref="L104" si="57">IF(J104=0, "    ---- ", IF(ABS(ROUND(100/J104*K104-100,1))&lt;999,ROUND(100/J104*K104-100,1),IF(ROUND(100/J104*K104-100,1)&gt;999,999,-999)))</f>
        <v>30.4</v>
      </c>
      <c r="M104" s="27">
        <f>IFERROR(100/'Skjema total MA'!I104*K104,0)</f>
        <v>27.61857464659392</v>
      </c>
    </row>
    <row r="105" spans="1:13" x14ac:dyDescent="0.2">
      <c r="A105" s="295" t="s">
        <v>12</v>
      </c>
      <c r="B105" s="235"/>
      <c r="C105" s="288"/>
      <c r="D105" s="166"/>
      <c r="E105" s="365"/>
      <c r="F105" s="280"/>
      <c r="G105" s="280"/>
      <c r="H105" s="166"/>
      <c r="I105" s="365"/>
      <c r="J105" s="289"/>
      <c r="K105" s="289"/>
      <c r="L105" s="166"/>
      <c r="M105" s="23"/>
    </row>
    <row r="106" spans="1:13" x14ac:dyDescent="0.2">
      <c r="A106" s="295" t="s">
        <v>13</v>
      </c>
      <c r="B106" s="235"/>
      <c r="C106" s="288"/>
      <c r="D106" s="166"/>
      <c r="E106" s="365"/>
      <c r="F106" s="280">
        <v>66651569.846000001</v>
      </c>
      <c r="G106" s="280">
        <v>86928182.039000005</v>
      </c>
      <c r="H106" s="166">
        <f t="shared" ref="H106" si="58">IF(F106=0, "    ---- ", IF(ABS(ROUND(100/F106*G106-100,1))&lt;999,ROUND(100/F106*G106-100,1),IF(ROUND(100/F106*G106-100,1)&gt;999,999,-999)))</f>
        <v>30.4</v>
      </c>
      <c r="I106" s="27">
        <f>IFERROR(100/'Skjema total MA'!F106*G106,0)</f>
        <v>27.859613932148221</v>
      </c>
      <c r="J106" s="286">
        <f t="shared" ref="J106" si="59">SUM(B106,F106)</f>
        <v>66651569.846000001</v>
      </c>
      <c r="K106" s="286">
        <f t="shared" ref="K106" si="60">SUM(C106,G106)</f>
        <v>86928182.039000005</v>
      </c>
      <c r="L106" s="254">
        <f t="shared" si="19"/>
        <v>30.4</v>
      </c>
      <c r="M106" s="27">
        <f>IFERROR(100/'Skjema total MA'!I106*K106,0)</f>
        <v>27.859613932148221</v>
      </c>
    </row>
    <row r="107" spans="1:13" ht="15.75" x14ac:dyDescent="0.2">
      <c r="A107" s="21" t="s">
        <v>469</v>
      </c>
      <c r="B107" s="234">
        <v>1444622.9010000001</v>
      </c>
      <c r="C107" s="145">
        <v>1293634.7279999999</v>
      </c>
      <c r="D107" s="166">
        <f t="shared" si="16"/>
        <v>-10.5</v>
      </c>
      <c r="E107" s="27">
        <f>IFERROR(100/'Skjema total MA'!C107*C107,0)</f>
        <v>28.158292440335963</v>
      </c>
      <c r="F107" s="234">
        <v>111727.15399999999</v>
      </c>
      <c r="G107" s="145">
        <v>109590.83</v>
      </c>
      <c r="H107" s="166">
        <f t="shared" si="17"/>
        <v>-1.9</v>
      </c>
      <c r="I107" s="27">
        <f>IFERROR(100/'Skjema total MA'!F107*G107,0)</f>
        <v>12.433005523315087</v>
      </c>
      <c r="J107" s="286">
        <f t="shared" si="40"/>
        <v>1556350.0550000002</v>
      </c>
      <c r="K107" s="44">
        <f t="shared" si="40"/>
        <v>1403225.558</v>
      </c>
      <c r="L107" s="254">
        <f t="shared" si="19"/>
        <v>-9.8000000000000007</v>
      </c>
      <c r="M107" s="27">
        <f>IFERROR(100/'Skjema total MA'!I107*K107,0)</f>
        <v>25.626869354943384</v>
      </c>
    </row>
    <row r="108" spans="1:13" ht="15.75" x14ac:dyDescent="0.2">
      <c r="A108" s="21" t="s">
        <v>470</v>
      </c>
      <c r="B108" s="234">
        <v>131698975</v>
      </c>
      <c r="C108" s="234">
        <v>134468545</v>
      </c>
      <c r="D108" s="166">
        <f t="shared" si="16"/>
        <v>2.1</v>
      </c>
      <c r="E108" s="27">
        <f>IFERROR(100/'Skjema total MA'!C108*C108,0)</f>
        <v>42.331814572635331</v>
      </c>
      <c r="F108" s="234">
        <v>355819.21799999999</v>
      </c>
      <c r="G108" s="234">
        <v>491356.04200000002</v>
      </c>
      <c r="H108" s="166">
        <f t="shared" si="17"/>
        <v>38.1</v>
      </c>
      <c r="I108" s="27">
        <f>IFERROR(100/'Skjema total MA'!F108*G108,0)</f>
        <v>2.8719235147016775</v>
      </c>
      <c r="J108" s="286">
        <f t="shared" si="40"/>
        <v>132054794.21799999</v>
      </c>
      <c r="K108" s="44">
        <f t="shared" si="40"/>
        <v>134959901.042</v>
      </c>
      <c r="L108" s="254">
        <f t="shared" si="19"/>
        <v>2.2000000000000002</v>
      </c>
      <c r="M108" s="27">
        <f>IFERROR(100/'Skjema total MA'!I108*K108,0)</f>
        <v>40.315109433617941</v>
      </c>
    </row>
    <row r="109" spans="1:13" ht="15.75" x14ac:dyDescent="0.2">
      <c r="A109" s="21" t="s">
        <v>471</v>
      </c>
      <c r="B109" s="234">
        <v>96025</v>
      </c>
      <c r="C109" s="234">
        <v>101745</v>
      </c>
      <c r="D109" s="166">
        <f t="shared" si="16"/>
        <v>6</v>
      </c>
      <c r="E109" s="27">
        <f>IFERROR(100/'Skjema total MA'!C109*C109,0)</f>
        <v>10.663440283238524</v>
      </c>
      <c r="F109" s="234">
        <v>20607060</v>
      </c>
      <c r="G109" s="234">
        <v>29827235</v>
      </c>
      <c r="H109" s="166">
        <f t="shared" si="17"/>
        <v>44.7</v>
      </c>
      <c r="I109" s="27">
        <f>IFERROR(100/'Skjema total MA'!F109*G109,0)</f>
        <v>27.763079614702463</v>
      </c>
      <c r="J109" s="286">
        <f t="shared" si="40"/>
        <v>20703085</v>
      </c>
      <c r="K109" s="44">
        <f t="shared" si="40"/>
        <v>29928980</v>
      </c>
      <c r="L109" s="254">
        <f t="shared" si="19"/>
        <v>44.6</v>
      </c>
      <c r="M109" s="27">
        <f>IFERROR(100/'Skjema total MA'!I109*K109,0)</f>
        <v>27.61255160833538</v>
      </c>
    </row>
    <row r="110" spans="1:13" ht="15.75" x14ac:dyDescent="0.2">
      <c r="A110" s="21" t="s">
        <v>472</v>
      </c>
      <c r="B110" s="234"/>
      <c r="C110" s="234"/>
      <c r="D110" s="166"/>
      <c r="E110" s="27"/>
      <c r="F110" s="234"/>
      <c r="G110" s="234"/>
      <c r="H110" s="166"/>
      <c r="I110" s="27"/>
      <c r="J110" s="286"/>
      <c r="K110" s="44"/>
      <c r="L110" s="254"/>
      <c r="M110" s="27"/>
    </row>
    <row r="111" spans="1:13" ht="15.75" x14ac:dyDescent="0.2">
      <c r="A111" s="13" t="s">
        <v>452</v>
      </c>
      <c r="B111" s="307">
        <v>285432</v>
      </c>
      <c r="C111" s="159">
        <v>226071</v>
      </c>
      <c r="D111" s="171">
        <f t="shared" si="16"/>
        <v>-20.8</v>
      </c>
      <c r="E111" s="11">
        <f>IFERROR(100/'Skjema total MA'!C111*C111,0)</f>
        <v>47.432377010068215</v>
      </c>
      <c r="F111" s="307">
        <v>3288956</v>
      </c>
      <c r="G111" s="159">
        <v>2766031</v>
      </c>
      <c r="H111" s="171">
        <f t="shared" si="17"/>
        <v>-15.9</v>
      </c>
      <c r="I111" s="11">
        <f>IFERROR(100/'Skjema total MA'!F111*G111,0)</f>
        <v>20.896637539867758</v>
      </c>
      <c r="J111" s="308">
        <f t="shared" si="40"/>
        <v>3574388</v>
      </c>
      <c r="K111" s="236">
        <f t="shared" si="40"/>
        <v>2992102</v>
      </c>
      <c r="L111" s="373">
        <f t="shared" si="19"/>
        <v>-16.3</v>
      </c>
      <c r="M111" s="11">
        <f>IFERROR(100/'Skjema total MA'!I111*K111,0)</f>
        <v>21.818906844119105</v>
      </c>
    </row>
    <row r="112" spans="1:13" x14ac:dyDescent="0.2">
      <c r="A112" s="21" t="s">
        <v>9</v>
      </c>
      <c r="B112" s="234">
        <v>285432</v>
      </c>
      <c r="C112" s="145">
        <v>226071</v>
      </c>
      <c r="D112" s="166">
        <f t="shared" ref="D112:D124" si="61">IF(B112=0, "    ---- ", IF(ABS(ROUND(100/B112*C112-100,1))&lt;999,ROUND(100/B112*C112-100,1),IF(ROUND(100/B112*C112-100,1)&gt;999,999,-999)))</f>
        <v>-20.8</v>
      </c>
      <c r="E112" s="27">
        <f>IFERROR(100/'Skjema total MA'!C112*C112,0)</f>
        <v>62.549332584888312</v>
      </c>
      <c r="F112" s="234"/>
      <c r="G112" s="145"/>
      <c r="H112" s="166"/>
      <c r="I112" s="27"/>
      <c r="J112" s="286">
        <f t="shared" ref="J112:K125" si="62">SUM(B112,F112)</f>
        <v>285432</v>
      </c>
      <c r="K112" s="44">
        <f t="shared" si="62"/>
        <v>226071</v>
      </c>
      <c r="L112" s="254">
        <f t="shared" ref="L112:L125" si="63">IF(J112=0, "    ---- ", IF(ABS(ROUND(100/J112*K112-100,1))&lt;999,ROUND(100/J112*K112-100,1),IF(ROUND(100/J112*K112-100,1)&gt;999,999,-999)))</f>
        <v>-20.8</v>
      </c>
      <c r="M112" s="27">
        <f>IFERROR(100/'Skjema total MA'!I112*K112,0)</f>
        <v>61.529612948841361</v>
      </c>
    </row>
    <row r="113" spans="1:14" x14ac:dyDescent="0.2">
      <c r="A113" s="21" t="s">
        <v>10</v>
      </c>
      <c r="B113" s="234"/>
      <c r="C113" s="145"/>
      <c r="D113" s="166"/>
      <c r="E113" s="27"/>
      <c r="F113" s="234">
        <v>3288956</v>
      </c>
      <c r="G113" s="145">
        <v>2766031</v>
      </c>
      <c r="H113" s="166">
        <f t="shared" ref="H113:H125" si="64">IF(F113=0, "    ---- ", IF(ABS(ROUND(100/F113*G113-100,1))&lt;999,ROUND(100/F113*G113-100,1),IF(ROUND(100/F113*G113-100,1)&gt;999,999,-999)))</f>
        <v>-15.9</v>
      </c>
      <c r="I113" s="27">
        <f>IFERROR(100/'Skjema total MA'!F113*G113,0)</f>
        <v>20.955954081484776</v>
      </c>
      <c r="J113" s="286">
        <f t="shared" si="62"/>
        <v>3288956</v>
      </c>
      <c r="K113" s="44">
        <f t="shared" si="62"/>
        <v>2766031</v>
      </c>
      <c r="L113" s="254">
        <f t="shared" si="63"/>
        <v>-15.9</v>
      </c>
      <c r="M113" s="27">
        <f>IFERROR(100/'Skjema total MA'!I113*K113,0)</f>
        <v>20.953156061977317</v>
      </c>
    </row>
    <row r="114" spans="1:14" x14ac:dyDescent="0.2">
      <c r="A114" s="21" t="s">
        <v>26</v>
      </c>
      <c r="B114" s="234"/>
      <c r="C114" s="145"/>
      <c r="D114" s="166"/>
      <c r="E114" s="27"/>
      <c r="F114" s="234"/>
      <c r="G114" s="145"/>
      <c r="H114" s="166"/>
      <c r="I114" s="27"/>
      <c r="J114" s="286"/>
      <c r="K114" s="44"/>
      <c r="L114" s="254"/>
      <c r="M114" s="27"/>
    </row>
    <row r="115" spans="1:14" x14ac:dyDescent="0.2">
      <c r="A115" s="295" t="s">
        <v>15</v>
      </c>
      <c r="B115" s="280"/>
      <c r="C115" s="280"/>
      <c r="D115" s="166"/>
      <c r="E115" s="365"/>
      <c r="F115" s="280"/>
      <c r="G115" s="280"/>
      <c r="H115" s="166"/>
      <c r="I115" s="365"/>
      <c r="J115" s="289"/>
      <c r="K115" s="289"/>
      <c r="L115" s="166"/>
      <c r="M115" s="23"/>
    </row>
    <row r="116" spans="1:14" ht="15.75" x14ac:dyDescent="0.2">
      <c r="A116" s="21" t="s">
        <v>473</v>
      </c>
      <c r="B116" s="234">
        <v>149479.51683000001</v>
      </c>
      <c r="C116" s="234">
        <v>97091</v>
      </c>
      <c r="D116" s="166">
        <f t="shared" si="61"/>
        <v>-35</v>
      </c>
      <c r="E116" s="27">
        <f>IFERROR(100/'Skjema total MA'!C116*C116,0)</f>
        <v>73.536253309601264</v>
      </c>
      <c r="F116" s="234"/>
      <c r="G116" s="234"/>
      <c r="H116" s="166"/>
      <c r="I116" s="27"/>
      <c r="J116" s="286">
        <f t="shared" si="62"/>
        <v>149479.51683000001</v>
      </c>
      <c r="K116" s="44">
        <f t="shared" si="62"/>
        <v>97091</v>
      </c>
      <c r="L116" s="254">
        <f t="shared" si="63"/>
        <v>-35</v>
      </c>
      <c r="M116" s="27">
        <f>IFERROR(100/'Skjema total MA'!I116*K116,0)</f>
        <v>70.344906828012242</v>
      </c>
    </row>
    <row r="117" spans="1:14" ht="15.75" x14ac:dyDescent="0.2">
      <c r="A117" s="21" t="s">
        <v>474</v>
      </c>
      <c r="B117" s="234"/>
      <c r="C117" s="234"/>
      <c r="D117" s="166"/>
      <c r="E117" s="27"/>
      <c r="F117" s="234">
        <v>340251.63400000002</v>
      </c>
      <c r="G117" s="234">
        <v>495260</v>
      </c>
      <c r="H117" s="166">
        <f t="shared" si="64"/>
        <v>45.6</v>
      </c>
      <c r="I117" s="27">
        <f>IFERROR(100/'Skjema total MA'!F117*G117,0)</f>
        <v>15.802216116031394</v>
      </c>
      <c r="J117" s="286">
        <f t="shared" si="62"/>
        <v>340251.63400000002</v>
      </c>
      <c r="K117" s="44">
        <f t="shared" si="62"/>
        <v>495260</v>
      </c>
      <c r="L117" s="254">
        <f t="shared" si="63"/>
        <v>45.6</v>
      </c>
      <c r="M117" s="27">
        <f>IFERROR(100/'Skjema total MA'!I117*K117,0)</f>
        <v>15.802216116031394</v>
      </c>
    </row>
    <row r="118" spans="1:14" ht="15.75" x14ac:dyDescent="0.2">
      <c r="A118" s="21" t="s">
        <v>472</v>
      </c>
      <c r="B118" s="234"/>
      <c r="C118" s="234"/>
      <c r="D118" s="166"/>
      <c r="E118" s="27"/>
      <c r="F118" s="234"/>
      <c r="G118" s="234"/>
      <c r="H118" s="166"/>
      <c r="I118" s="27"/>
      <c r="J118" s="286"/>
      <c r="K118" s="44"/>
      <c r="L118" s="254"/>
      <c r="M118" s="27"/>
    </row>
    <row r="119" spans="1:14" ht="15.75" x14ac:dyDescent="0.2">
      <c r="A119" s="13" t="s">
        <v>453</v>
      </c>
      <c r="B119" s="307">
        <v>197649</v>
      </c>
      <c r="C119" s="159">
        <v>147244</v>
      </c>
      <c r="D119" s="171">
        <f t="shared" si="61"/>
        <v>-25.5</v>
      </c>
      <c r="E119" s="11">
        <f>IFERROR(100/'Skjema total MA'!C119*C119,0)</f>
        <v>29.947371471445823</v>
      </c>
      <c r="F119" s="307">
        <v>3711389</v>
      </c>
      <c r="G119" s="159">
        <v>3357473</v>
      </c>
      <c r="H119" s="171">
        <f t="shared" si="64"/>
        <v>-9.5</v>
      </c>
      <c r="I119" s="11">
        <f>IFERROR(100/'Skjema total MA'!F119*G119,0)</f>
        <v>24.759692069372914</v>
      </c>
      <c r="J119" s="308">
        <f t="shared" si="62"/>
        <v>3909038</v>
      </c>
      <c r="K119" s="236">
        <f t="shared" si="62"/>
        <v>3504717</v>
      </c>
      <c r="L119" s="373">
        <f t="shared" si="63"/>
        <v>-10.3</v>
      </c>
      <c r="M119" s="11">
        <f>IFERROR(100/'Skjema total MA'!I119*K119,0)</f>
        <v>24.94120876143694</v>
      </c>
    </row>
    <row r="120" spans="1:14" x14ac:dyDescent="0.2">
      <c r="A120" s="21" t="s">
        <v>9</v>
      </c>
      <c r="B120" s="234">
        <v>197649</v>
      </c>
      <c r="C120" s="145">
        <v>147244</v>
      </c>
      <c r="D120" s="166">
        <f t="shared" si="61"/>
        <v>-25.5</v>
      </c>
      <c r="E120" s="27">
        <f>IFERROR(100/'Skjema total MA'!C120*C120,0)</f>
        <v>52.204609553427382</v>
      </c>
      <c r="F120" s="234"/>
      <c r="G120" s="145"/>
      <c r="H120" s="166"/>
      <c r="I120" s="27"/>
      <c r="J120" s="286">
        <f t="shared" si="62"/>
        <v>197649</v>
      </c>
      <c r="K120" s="44">
        <f t="shared" si="62"/>
        <v>147244</v>
      </c>
      <c r="L120" s="254">
        <f t="shared" si="63"/>
        <v>-25.5</v>
      </c>
      <c r="M120" s="27">
        <f>IFERROR(100/'Skjema total MA'!I120*K120,0)</f>
        <v>52.204609553427382</v>
      </c>
    </row>
    <row r="121" spans="1:14" x14ac:dyDescent="0.2">
      <c r="A121" s="21" t="s">
        <v>10</v>
      </c>
      <c r="B121" s="234"/>
      <c r="C121" s="145"/>
      <c r="D121" s="166"/>
      <c r="E121" s="27"/>
      <c r="F121" s="234">
        <v>3711389</v>
      </c>
      <c r="G121" s="145">
        <v>3357473</v>
      </c>
      <c r="H121" s="166">
        <f t="shared" si="64"/>
        <v>-9.5</v>
      </c>
      <c r="I121" s="27">
        <f>IFERROR(100/'Skjema total MA'!F121*G121,0)</f>
        <v>24.759692069372914</v>
      </c>
      <c r="J121" s="286">
        <f t="shared" si="62"/>
        <v>3711389</v>
      </c>
      <c r="K121" s="44">
        <f t="shared" si="62"/>
        <v>3357473</v>
      </c>
      <c r="L121" s="254">
        <f t="shared" si="63"/>
        <v>-9.5</v>
      </c>
      <c r="M121" s="27">
        <f>IFERROR(100/'Skjema total MA'!I121*K121,0)</f>
        <v>24.688411745424432</v>
      </c>
    </row>
    <row r="122" spans="1:14" x14ac:dyDescent="0.2">
      <c r="A122" s="21" t="s">
        <v>26</v>
      </c>
      <c r="B122" s="234"/>
      <c r="C122" s="145"/>
      <c r="D122" s="166"/>
      <c r="E122" s="27"/>
      <c r="F122" s="234"/>
      <c r="G122" s="145"/>
      <c r="H122" s="166"/>
      <c r="I122" s="27"/>
      <c r="J122" s="286"/>
      <c r="K122" s="44"/>
      <c r="L122" s="254"/>
      <c r="M122" s="27"/>
    </row>
    <row r="123" spans="1:14" x14ac:dyDescent="0.2">
      <c r="A123" s="295" t="s">
        <v>14</v>
      </c>
      <c r="B123" s="280"/>
      <c r="C123" s="280"/>
      <c r="D123" s="166"/>
      <c r="E123" s="365"/>
      <c r="F123" s="280"/>
      <c r="G123" s="280"/>
      <c r="H123" s="166"/>
      <c r="I123" s="365"/>
      <c r="J123" s="289"/>
      <c r="K123" s="289"/>
      <c r="L123" s="166"/>
      <c r="M123" s="23"/>
    </row>
    <row r="124" spans="1:14" ht="15.75" x14ac:dyDescent="0.2">
      <c r="A124" s="21" t="s">
        <v>479</v>
      </c>
      <c r="B124" s="234">
        <v>145871.8633</v>
      </c>
      <c r="C124" s="234">
        <v>73212</v>
      </c>
      <c r="D124" s="166">
        <f t="shared" si="61"/>
        <v>-49.8</v>
      </c>
      <c r="E124" s="27">
        <f>IFERROR(100/'Skjema total MA'!C124*C124,0)</f>
        <v>92.417628409345411</v>
      </c>
      <c r="F124" s="234"/>
      <c r="G124" s="234"/>
      <c r="H124" s="166"/>
      <c r="I124" s="27"/>
      <c r="J124" s="286">
        <f t="shared" si="62"/>
        <v>145871.8633</v>
      </c>
      <c r="K124" s="44">
        <f t="shared" si="62"/>
        <v>73212</v>
      </c>
      <c r="L124" s="254">
        <f t="shared" si="63"/>
        <v>-49.8</v>
      </c>
      <c r="M124" s="27">
        <f>IFERROR(100/'Skjema total MA'!I124*K124,0)</f>
        <v>67.281644713637775</v>
      </c>
    </row>
    <row r="125" spans="1:14" ht="15.75" x14ac:dyDescent="0.2">
      <c r="A125" s="21" t="s">
        <v>471</v>
      </c>
      <c r="B125" s="234"/>
      <c r="C125" s="234"/>
      <c r="D125" s="166"/>
      <c r="E125" s="27"/>
      <c r="F125" s="234">
        <v>677077.973</v>
      </c>
      <c r="G125" s="234">
        <v>764649</v>
      </c>
      <c r="H125" s="166">
        <f t="shared" si="64"/>
        <v>12.9</v>
      </c>
      <c r="I125" s="27">
        <f>IFERROR(100/'Skjema total MA'!F125*G125,0)</f>
        <v>24.567451426068036</v>
      </c>
      <c r="J125" s="286">
        <f t="shared" si="62"/>
        <v>677077.973</v>
      </c>
      <c r="K125" s="44">
        <f t="shared" si="62"/>
        <v>764649</v>
      </c>
      <c r="L125" s="254">
        <f t="shared" si="63"/>
        <v>12.9</v>
      </c>
      <c r="M125" s="27">
        <f>IFERROR(100/'Skjema total MA'!I125*K125,0)</f>
        <v>24.539071078507931</v>
      </c>
    </row>
    <row r="126" spans="1:14" ht="15.75" x14ac:dyDescent="0.2">
      <c r="A126" s="10" t="s">
        <v>472</v>
      </c>
      <c r="B126" s="45"/>
      <c r="C126" s="45"/>
      <c r="D126" s="167"/>
      <c r="E126" s="366"/>
      <c r="F126" s="45"/>
      <c r="G126" s="45"/>
      <c r="H126" s="167"/>
      <c r="I126" s="22"/>
      <c r="J126" s="287"/>
      <c r="K126" s="45"/>
      <c r="L126" s="255"/>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975"/>
      <c r="C130" s="975"/>
      <c r="D130" s="975"/>
      <c r="E130" s="298"/>
      <c r="F130" s="975"/>
      <c r="G130" s="975"/>
      <c r="H130" s="975"/>
      <c r="I130" s="298"/>
      <c r="J130" s="975"/>
      <c r="K130" s="975"/>
      <c r="L130" s="975"/>
      <c r="M130" s="298"/>
    </row>
    <row r="131" spans="1:14" s="3" customFormat="1" x14ac:dyDescent="0.2">
      <c r="A131" s="144"/>
      <c r="B131" s="973" t="s">
        <v>0</v>
      </c>
      <c r="C131" s="974"/>
      <c r="D131" s="974"/>
      <c r="E131" s="300"/>
      <c r="F131" s="973" t="s">
        <v>1</v>
      </c>
      <c r="G131" s="974"/>
      <c r="H131" s="974"/>
      <c r="I131" s="303"/>
      <c r="J131" s="973" t="s">
        <v>2</v>
      </c>
      <c r="K131" s="974"/>
      <c r="L131" s="974"/>
      <c r="M131" s="303"/>
      <c r="N131" s="148"/>
    </row>
    <row r="132" spans="1:14" s="3" customFormat="1" x14ac:dyDescent="0.2">
      <c r="A132" s="140"/>
      <c r="B132" s="152" t="s">
        <v>492</v>
      </c>
      <c r="C132" s="152" t="s">
        <v>493</v>
      </c>
      <c r="D132" s="245" t="s">
        <v>3</v>
      </c>
      <c r="E132" s="304" t="s">
        <v>29</v>
      </c>
      <c r="F132" s="152" t="s">
        <v>492</v>
      </c>
      <c r="G132" s="152" t="s">
        <v>493</v>
      </c>
      <c r="H132" s="206" t="s">
        <v>3</v>
      </c>
      <c r="I132" s="162" t="s">
        <v>29</v>
      </c>
      <c r="J132" s="152" t="s">
        <v>492</v>
      </c>
      <c r="K132" s="152" t="s">
        <v>493</v>
      </c>
      <c r="L132" s="246" t="s">
        <v>3</v>
      </c>
      <c r="M132" s="162" t="s">
        <v>29</v>
      </c>
      <c r="N132" s="148"/>
    </row>
    <row r="133" spans="1:14" s="3" customFormat="1" x14ac:dyDescent="0.2">
      <c r="A133" s="947"/>
      <c r="B133" s="156"/>
      <c r="C133" s="156"/>
      <c r="D133" s="246" t="s">
        <v>4</v>
      </c>
      <c r="E133" s="156" t="s">
        <v>30</v>
      </c>
      <c r="F133" s="161"/>
      <c r="G133" s="161"/>
      <c r="H133" s="206" t="s">
        <v>4</v>
      </c>
      <c r="I133" s="156" t="s">
        <v>30</v>
      </c>
      <c r="J133" s="156"/>
      <c r="K133" s="156"/>
      <c r="L133" s="150" t="s">
        <v>4</v>
      </c>
      <c r="M133" s="156" t="s">
        <v>30</v>
      </c>
      <c r="N133" s="148"/>
    </row>
    <row r="134" spans="1:14" s="3" customFormat="1" ht="15.75" x14ac:dyDescent="0.2">
      <c r="A134" s="14" t="s">
        <v>475</v>
      </c>
      <c r="B134" s="236"/>
      <c r="C134" s="308"/>
      <c r="D134" s="349"/>
      <c r="E134" s="11"/>
      <c r="F134" s="315"/>
      <c r="G134" s="316"/>
      <c r="H134" s="376"/>
      <c r="I134" s="24"/>
      <c r="J134" s="317"/>
      <c r="K134" s="317"/>
      <c r="L134" s="372"/>
      <c r="M134" s="11"/>
      <c r="N134" s="148"/>
    </row>
    <row r="135" spans="1:14" s="3" customFormat="1" ht="15.75" x14ac:dyDescent="0.2">
      <c r="A135" s="13" t="s">
        <v>480</v>
      </c>
      <c r="B135" s="236"/>
      <c r="C135" s="308"/>
      <c r="D135" s="171"/>
      <c r="E135" s="11"/>
      <c r="F135" s="236"/>
      <c r="G135" s="308"/>
      <c r="H135" s="377"/>
      <c r="I135" s="24"/>
      <c r="J135" s="307"/>
      <c r="K135" s="307"/>
      <c r="L135" s="373"/>
      <c r="M135" s="11"/>
      <c r="N135" s="148"/>
    </row>
    <row r="136" spans="1:14" s="3" customFormat="1" ht="15.75" x14ac:dyDescent="0.2">
      <c r="A136" s="13" t="s">
        <v>477</v>
      </c>
      <c r="B136" s="236"/>
      <c r="C136" s="308"/>
      <c r="D136" s="171"/>
      <c r="E136" s="11"/>
      <c r="F136" s="236"/>
      <c r="G136" s="308"/>
      <c r="H136" s="377"/>
      <c r="I136" s="24"/>
      <c r="J136" s="307"/>
      <c r="K136" s="307"/>
      <c r="L136" s="373"/>
      <c r="M136" s="11"/>
      <c r="N136" s="148"/>
    </row>
    <row r="137" spans="1:14" s="3" customFormat="1" ht="15.75" x14ac:dyDescent="0.2">
      <c r="A137" s="41" t="s">
        <v>478</v>
      </c>
      <c r="B137" s="275"/>
      <c r="C137" s="314"/>
      <c r="D137" s="169"/>
      <c r="E137" s="9"/>
      <c r="F137" s="275"/>
      <c r="G137" s="314"/>
      <c r="H137" s="378"/>
      <c r="I137" s="36"/>
      <c r="J137" s="313"/>
      <c r="K137" s="313"/>
      <c r="L137" s="374"/>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1388" priority="132">
      <formula>kvartal &lt; 4</formula>
    </cfRule>
  </conditionalFormatting>
  <conditionalFormatting sqref="B69">
    <cfRule type="expression" dxfId="1387" priority="100">
      <formula>kvartal &lt; 4</formula>
    </cfRule>
  </conditionalFormatting>
  <conditionalFormatting sqref="C69">
    <cfRule type="expression" dxfId="1386" priority="99">
      <formula>kvartal &lt; 4</formula>
    </cfRule>
  </conditionalFormatting>
  <conditionalFormatting sqref="B72">
    <cfRule type="expression" dxfId="1385" priority="98">
      <formula>kvartal &lt; 4</formula>
    </cfRule>
  </conditionalFormatting>
  <conditionalFormatting sqref="C72">
    <cfRule type="expression" dxfId="1384" priority="97">
      <formula>kvartal &lt; 4</formula>
    </cfRule>
  </conditionalFormatting>
  <conditionalFormatting sqref="B80">
    <cfRule type="expression" dxfId="1383" priority="96">
      <formula>kvartal &lt; 4</formula>
    </cfRule>
  </conditionalFormatting>
  <conditionalFormatting sqref="C80">
    <cfRule type="expression" dxfId="1382" priority="95">
      <formula>kvartal &lt; 4</formula>
    </cfRule>
  </conditionalFormatting>
  <conditionalFormatting sqref="B83">
    <cfRule type="expression" dxfId="1381" priority="94">
      <formula>kvartal &lt; 4</formula>
    </cfRule>
  </conditionalFormatting>
  <conditionalFormatting sqref="C83">
    <cfRule type="expression" dxfId="1380" priority="93">
      <formula>kvartal &lt; 4</formula>
    </cfRule>
  </conditionalFormatting>
  <conditionalFormatting sqref="B90">
    <cfRule type="expression" dxfId="1379" priority="84">
      <formula>kvartal &lt; 4</formula>
    </cfRule>
  </conditionalFormatting>
  <conditionalFormatting sqref="C90">
    <cfRule type="expression" dxfId="1378" priority="83">
      <formula>kvartal &lt; 4</formula>
    </cfRule>
  </conditionalFormatting>
  <conditionalFormatting sqref="B93">
    <cfRule type="expression" dxfId="1377" priority="82">
      <formula>kvartal &lt; 4</formula>
    </cfRule>
  </conditionalFormatting>
  <conditionalFormatting sqref="C93">
    <cfRule type="expression" dxfId="1376" priority="81">
      <formula>kvartal &lt; 4</formula>
    </cfRule>
  </conditionalFormatting>
  <conditionalFormatting sqref="B101">
    <cfRule type="expression" dxfId="1375" priority="80">
      <formula>kvartal &lt; 4</formula>
    </cfRule>
  </conditionalFormatting>
  <conditionalFormatting sqref="C101">
    <cfRule type="expression" dxfId="1374" priority="79">
      <formula>kvartal &lt; 4</formula>
    </cfRule>
  </conditionalFormatting>
  <conditionalFormatting sqref="B104">
    <cfRule type="expression" dxfId="1373" priority="78">
      <formula>kvartal &lt; 4</formula>
    </cfRule>
  </conditionalFormatting>
  <conditionalFormatting sqref="C104">
    <cfRule type="expression" dxfId="1372" priority="77">
      <formula>kvartal &lt; 4</formula>
    </cfRule>
  </conditionalFormatting>
  <conditionalFormatting sqref="B115">
    <cfRule type="expression" dxfId="1371" priority="76">
      <formula>kvartal &lt; 4</formula>
    </cfRule>
  </conditionalFormatting>
  <conditionalFormatting sqref="C115">
    <cfRule type="expression" dxfId="1370" priority="75">
      <formula>kvartal &lt; 4</formula>
    </cfRule>
  </conditionalFormatting>
  <conditionalFormatting sqref="B123">
    <cfRule type="expression" dxfId="1369" priority="74">
      <formula>kvartal &lt; 4</formula>
    </cfRule>
  </conditionalFormatting>
  <conditionalFormatting sqref="C123">
    <cfRule type="expression" dxfId="1368" priority="73">
      <formula>kvartal &lt; 4</formula>
    </cfRule>
  </conditionalFormatting>
  <conditionalFormatting sqref="F70">
    <cfRule type="expression" dxfId="1367" priority="72">
      <formula>kvartal &lt; 4</formula>
    </cfRule>
  </conditionalFormatting>
  <conditionalFormatting sqref="G70">
    <cfRule type="expression" dxfId="1366" priority="71">
      <formula>kvartal &lt; 4</formula>
    </cfRule>
  </conditionalFormatting>
  <conditionalFormatting sqref="F71:G71">
    <cfRule type="expression" dxfId="1365" priority="70">
      <formula>kvartal &lt; 4</formula>
    </cfRule>
  </conditionalFormatting>
  <conditionalFormatting sqref="F73:G74">
    <cfRule type="expression" dxfId="1364" priority="69">
      <formula>kvartal &lt; 4</formula>
    </cfRule>
  </conditionalFormatting>
  <conditionalFormatting sqref="F81:G82">
    <cfRule type="expression" dxfId="1363" priority="68">
      <formula>kvartal &lt; 4</formula>
    </cfRule>
  </conditionalFormatting>
  <conditionalFormatting sqref="F84:G85">
    <cfRule type="expression" dxfId="1362" priority="67">
      <formula>kvartal &lt; 4</formula>
    </cfRule>
  </conditionalFormatting>
  <conditionalFormatting sqref="F91:G92">
    <cfRule type="expression" dxfId="1361" priority="62">
      <formula>kvartal &lt; 4</formula>
    </cfRule>
  </conditionalFormatting>
  <conditionalFormatting sqref="F94:G95">
    <cfRule type="expression" dxfId="1360" priority="61">
      <formula>kvartal &lt; 4</formula>
    </cfRule>
  </conditionalFormatting>
  <conditionalFormatting sqref="F102:G103">
    <cfRule type="expression" dxfId="1359" priority="60">
      <formula>kvartal &lt; 4</formula>
    </cfRule>
  </conditionalFormatting>
  <conditionalFormatting sqref="F105:G106">
    <cfRule type="expression" dxfId="1358" priority="59">
      <formula>kvartal &lt; 4</formula>
    </cfRule>
  </conditionalFormatting>
  <conditionalFormatting sqref="F115">
    <cfRule type="expression" dxfId="1357" priority="58">
      <formula>kvartal &lt; 4</formula>
    </cfRule>
  </conditionalFormatting>
  <conditionalFormatting sqref="G115">
    <cfRule type="expression" dxfId="1356" priority="57">
      <formula>kvartal &lt; 4</formula>
    </cfRule>
  </conditionalFormatting>
  <conditionalFormatting sqref="F123:G123">
    <cfRule type="expression" dxfId="1355" priority="56">
      <formula>kvartal &lt; 4</formula>
    </cfRule>
  </conditionalFormatting>
  <conditionalFormatting sqref="F69:G69">
    <cfRule type="expression" dxfId="1354" priority="55">
      <formula>kvartal &lt; 4</formula>
    </cfRule>
  </conditionalFormatting>
  <conditionalFormatting sqref="F72:G72">
    <cfRule type="expression" dxfId="1353" priority="54">
      <formula>kvartal &lt; 4</formula>
    </cfRule>
  </conditionalFormatting>
  <conditionalFormatting sqref="F80:G80">
    <cfRule type="expression" dxfId="1352" priority="53">
      <formula>kvartal &lt; 4</formula>
    </cfRule>
  </conditionalFormatting>
  <conditionalFormatting sqref="F83:G83">
    <cfRule type="expression" dxfId="1351" priority="52">
      <formula>kvartal &lt; 4</formula>
    </cfRule>
  </conditionalFormatting>
  <conditionalFormatting sqref="F90:G90">
    <cfRule type="expression" dxfId="1350" priority="46">
      <formula>kvartal &lt; 4</formula>
    </cfRule>
  </conditionalFormatting>
  <conditionalFormatting sqref="F93">
    <cfRule type="expression" dxfId="1349" priority="45">
      <formula>kvartal &lt; 4</formula>
    </cfRule>
  </conditionalFormatting>
  <conditionalFormatting sqref="G93">
    <cfRule type="expression" dxfId="1348" priority="44">
      <formula>kvartal &lt; 4</formula>
    </cfRule>
  </conditionalFormatting>
  <conditionalFormatting sqref="F101">
    <cfRule type="expression" dxfId="1347" priority="43">
      <formula>kvartal &lt; 4</formula>
    </cfRule>
  </conditionalFormatting>
  <conditionalFormatting sqref="G101">
    <cfRule type="expression" dxfId="1346" priority="42">
      <formula>kvartal &lt; 4</formula>
    </cfRule>
  </conditionalFormatting>
  <conditionalFormatting sqref="G104">
    <cfRule type="expression" dxfId="1345" priority="41">
      <formula>kvartal &lt; 4</formula>
    </cfRule>
  </conditionalFormatting>
  <conditionalFormatting sqref="F104">
    <cfRule type="expression" dxfId="1344" priority="40">
      <formula>kvartal &lt; 4</formula>
    </cfRule>
  </conditionalFormatting>
  <conditionalFormatting sqref="J69:K71 J73:K73">
    <cfRule type="expression" dxfId="1343" priority="39">
      <formula>kvartal &lt; 4</formula>
    </cfRule>
  </conditionalFormatting>
  <conditionalFormatting sqref="J80:K82 J84:K84">
    <cfRule type="expression" dxfId="1342" priority="37">
      <formula>kvartal &lt; 4</formula>
    </cfRule>
  </conditionalFormatting>
  <conditionalFormatting sqref="J92:K92 J94:K94">
    <cfRule type="expression" dxfId="1341" priority="34">
      <formula>kvartal &lt; 4</formula>
    </cfRule>
  </conditionalFormatting>
  <conditionalFormatting sqref="J101:K103 J105:K105">
    <cfRule type="expression" dxfId="1340" priority="33">
      <formula>kvartal &lt; 4</formula>
    </cfRule>
  </conditionalFormatting>
  <conditionalFormatting sqref="J115:K115">
    <cfRule type="expression" dxfId="1339" priority="32">
      <formula>kvartal &lt; 4</formula>
    </cfRule>
  </conditionalFormatting>
  <conditionalFormatting sqref="J123:K123">
    <cfRule type="expression" dxfId="1338" priority="31">
      <formula>kvartal &lt; 4</formula>
    </cfRule>
  </conditionalFormatting>
  <conditionalFormatting sqref="A50:A52">
    <cfRule type="expression" dxfId="1337" priority="12">
      <formula>kvartal &lt; 4</formula>
    </cfRule>
  </conditionalFormatting>
  <conditionalFormatting sqref="A69:A74">
    <cfRule type="expression" dxfId="1336" priority="10">
      <formula>kvartal &lt; 4</formula>
    </cfRule>
  </conditionalFormatting>
  <conditionalFormatting sqref="A80:A85">
    <cfRule type="expression" dxfId="1335" priority="9">
      <formula>kvartal &lt; 4</formula>
    </cfRule>
  </conditionalFormatting>
  <conditionalFormatting sqref="A90:A95">
    <cfRule type="expression" dxfId="1334" priority="6">
      <formula>kvartal &lt; 4</formula>
    </cfRule>
  </conditionalFormatting>
  <conditionalFormatting sqref="A101:A106">
    <cfRule type="expression" dxfId="1333" priority="5">
      <formula>kvartal &lt; 4</formula>
    </cfRule>
  </conditionalFormatting>
  <conditionalFormatting sqref="A115">
    <cfRule type="expression" dxfId="1332" priority="4">
      <formula>kvartal &lt; 4</formula>
    </cfRule>
  </conditionalFormatting>
  <conditionalFormatting sqref="A123">
    <cfRule type="expression" dxfId="1331" priority="3">
      <formula>kvartal &lt; 4</formula>
    </cfRule>
  </conditionalFormatting>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A g E A A B Q S w M E F A A C A A g A 5 3 N 3 U G b o O B S o A A A A + A A A A B I A H A B D b 2 5 m a W c v U G F j a 2 F n Z S 5 4 b W w g o h g A K K A U A A A A A A A A A A A A A A A A A A A A A A A A A A A A h Y 9 B D o I w F E S v Q r q n L R X U m E 9 Z u B U 1 M T F u K 1 R o h G J o s d z N h U f y C p I o 6 s 7 l T N 4 k b x 6 3 O y R 9 X X l X 2 R r V 6 B g F m C J P 6 q z J l S 5 i 1 N m T P 0 c J h 6 3 I z q K Q 3 g B r s + i N i l F p 7 W V B i H M O u w l u 2 o I w S g N y S F e 7 r J S 1 8 J U 2 V u h M o s 8 q / 7 9 C H P Y v G c 7 w j O E o i q Y 4 D A M g Y w 2 p 0 l + E D c a Y A v k p Y d l V t m s l 1 0 d / v Q E y R i D v F / w J U E s D B B Q A A g A I A O d z d 1 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n c 3 d Q B v r 5 6 f 4 A A A B i A Q A A E w A c A E Z v c m 1 1 b G F z L 1 N l Y 3 R p b 2 4 x L m 0 g o h g A K K A U A A A A A A A A A A A A A A A A A A A A A A A A A A A A f Y / B S s N A E I b P D f Q d h j 2 U B t I Q P Q k h I K R B p F C U B C 2 s S 9 g 0 A 8 Z s s n W y K Z X S o 4 / i k / T F u r F F 8 e J c Z m D + b / 7 5 O 1 y b S r e Q n v t V O H b G T v c q C U u Y S y M h A o X G A V s P k m S D B u k J q a z s I t m t U f l x T 4 S t e d Z U F 1 r X U 3 f P l 1 Y X s R 8 9 M n H g s W 6 N l Q k P v o 8 t K l W i v Z G + K 3 / w K W S H U 5 b d z d L V / C a Z B c H 1 y 7 0 F q J W K e c B U t c 0 b a S f + 2 C N 9 R C x Z J T H w s t D C 5 5 s c h 0 / y D W F n L W T 3 p l v h j E a 3 x y + y F g w m s O y b A s n P d I Y 7 M / 2 b h B 8 / S e y D g w s T 5 g 1 Y v Z V k p L q g / 7 O L s / b C A w u Z c J 2 q / c 0 Y n g B Q S w E C L Q A U A A I A C A D n c 3 d Q Z u g 4 F K g A A A D 4 A A A A E g A A A A A A A A A A A A A A A A A A A A A A Q 2 9 u Z m l n L 1 B h Y 2 t h Z 2 U u e G 1 s U E s B A i 0 A F A A C A A g A 5 3 N 3 U A / K 6 a u k A A A A 6 Q A A A B M A A A A A A A A A A A A A A A A A 9 A A A A F t D b 2 5 0 Z W 5 0 X 1 R 5 c G V z X S 5 4 b W x Q S w E C L Q A U A A I A C A D n c 3 d Q B v r 5 6 f 4 A A A B i A Q A A E w A A A A A A A A A A A A A A A A D l A Q A A R m 9 y b X V s Y X M v U 2 V j d G l v b j E u b V B L B Q Y A A A A A A w A D A M I A A A A w A w 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7 D C w A A A A A A A K E 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Y X R h P C 9 J d G V t U G F 0 a D 4 8 L 0 l 0 Z W 1 M b 2 N h d G l v b j 4 8 U 3 R h Y m x l R W 5 0 c m l l c z 4 8 R W 5 0 c n k g V H l w Z T 0 i S X N Q c m l 2 Y X R l I i B W Y W x 1 Z T 0 i b D A i I C 8 + P E V u d H J 5 I F R 5 c G U 9 I k J 1 Z m Z l c k 5 l e H R S Z W Z y Z X N o I i B W Y W x 1 Z T 0 i b D E i I C 8 + P E V u d H J 5 I F R 5 c G U 9 I k Z p b G x F b m F i b G V k I i B W Y W x 1 Z T 0 i b D A i I C 8 + P E V u d H J 5 I F R 5 c G U 9 I k Z p b G x U b 0 R h d G F N b 2 R l b E V u Y W J s Z W Q i I F Z h b H V l P S J s M C I g L z 4 8 R W 5 0 c n k g V H l w Z T 0 i U m V z d W x 0 V H l w Z S I g V m F s d W U 9 I n N U Y W J s Z S I g L z 4 8 R W 5 0 c n k g V H l w Z T 0 i T m F t Z V V w Z G F 0 Z W R B Z n R l c k Z p b G w i I F Z h b H V l P S J s M C I g L z 4 8 R W 5 0 c n k g V H l w Z T 0 i R m l s b G V k Q 2 9 t c G x l d G V S Z X N 1 b H R U b 1 d v c m t z a G V l d C I g V m F s d W U 9 I m w x I i A v P j x F b n R y e S B U e X B l P S J S Z W N v d m V y e V R h c m d l d F N o Z W V 0 I i B W Y W x 1 Z T 0 i c 0 F y a z I i I C 8 + P E V u d H J 5 I F R 5 c G U 9 I l J l Y 2 9 2 Z X J 5 V G F y Z 2 V 0 Q 2 9 s d W 1 u I i B W Y W x 1 Z T 0 i b D E i I C 8 + P E V u d H J 5 I F R 5 c G U 9 I l J l Y 2 9 2 Z X J 5 V G F y Z 2 V 0 U m 9 3 I i B W Y W x 1 Z T 0 i b D E i I C 8 + P E V u d H J 5 I F R 5 c G U 9 I l F 1 Z X J 5 S U Q i I F Z h b H V l P S J z N G U 4 M 2 F k Z D k t Z W N j Y i 0 0 Z W Y 2 L T l j Z j g t N m I y O T h k Z j A 0 N G M 5 I i A v P j x F b n R y e S B U e X B l P S J O Y X Z p Z 2 F 0 a W 9 u U 3 R l c E 5 h b W U i I F Z h b H V l P S J z T m F 2 a W d h d G l v b i I g L z 4 8 R W 5 0 c n k g V H l w Z T 0 i R m l s b E x h c 3 R V c G R h d G V k I i B W Y W x 1 Z T 0 i Z D I w M j A t M D M t M T Z U M T I 6 N T I 6 N T M u O D U 2 N z U 5 N l o i I C 8 + P E V u d H J 5 I F R 5 c G U 9 I k Z p b G x D b 2 x 1 b W 5 U e X B l c y I g V m F s d W U 9 I n N C Z 0 l D Q W d J Q 0 F n V T 0 i I C 8 + P E V u d H J 5 I F R 5 c G U 9 I k Z p b G x F c n J v c k N v d W 5 0 I i B W Y W x 1 Z T 0 i b D A i I C 8 + P E V u d H J 5 I F R 5 c G U 9 I k Z p b G x D b 2 x 1 b W 5 O Y W 1 l c y I g V m F s d W U 9 I n N b J n F 1 b 3 Q 7 c 8 O 4 a 2 V u w 7 h r a 2 V s J n F 1 b 3 Q 7 L C Z x d W 9 0 O 3 N l b H N r Y X B f a W Q m c X V v d D s s J n F 1 b 3 Q 7 w 6 V y J n F 1 b 3 Q 7 L C Z x d W 9 0 O 2 t 2 Y X J 0 Y W w m c X V v d D s s J n F 1 b 3 Q 7 d G F i Z W x s X 2 l k J n F 1 b 3 Q 7 L C Z x d W 9 0 O 3 J h Z F 9 p Z C Z x d W 9 0 O y w m c X V v d D t r Y X R l Z 2 9 y a V 9 p Z C Z x d W 9 0 O y w m c X V v d D t 2 Z X J k a S Z x d W 9 0 O 1 0 i I C 8 + P E V u d H J 5 I F R 5 c G U 9 I k Z p b G x F c n J v c k N v Z G U i I F Z h b H V l P S J z V W 5 r b m 9 3 b i I g L z 4 8 R W 5 0 c n k g V H l w Z T 0 i R m l s b F N 0 Y X R 1 c y I g V m F s d W U 9 I n N D b 2 1 w b G V 0 Z S I g L z 4 8 R W 5 0 c n k g V H l w Z T 0 i R m l s b E N v d W 5 0 I i B W Y W x 1 Z T 0 i b D Y 4 N j Q i I C 8 + P E V u d H J 5 I F R 5 c G U 9 I l J l b G F 0 a W 9 u c 2 h p c E l u Z m 9 D b 2 5 0 Y W l u Z X I i I F Z h b H V l P S J z e y Z x d W 9 0 O 2 N v b H V t b k N v d W 5 0 J n F 1 b 3 Q 7 O j g s J n F 1 b 3 Q 7 a 2 V 5 Q 2 9 s d W 1 u T m F t Z X M m c X V v d D s 6 W 1 0 s J n F 1 b 3 Q 7 c X V l c n l S Z W x h d G l v b n N o a X B z J n F 1 b 3 Q 7 O l t d L C Z x d W 9 0 O 2 N v b H V t b k l k Z W 5 0 a X R p Z X M m c X V v d D s 6 W y Z x d W 9 0 O 1 N l Y 3 R p b 2 4 x L 0 R h d G E v S 2 l s Z G U u e 3 P D u G t l b s O 4 a 2 t l b C w w f S Z x d W 9 0 O y w m c X V v d D t T Z W N 0 a W 9 u M S 9 E Y X R h L 0 t p b G R l L n t z Z W x z a 2 F w X 2 l k L D F 9 J n F 1 b 3 Q 7 L C Z x d W 9 0 O 1 N l Y 3 R p b 2 4 x L 0 R h d G E v S 2 l s Z G U u e 8 O l c i w y f S Z x d W 9 0 O y w m c X V v d D t T Z W N 0 a W 9 u M S 9 E Y X R h L 0 t p b G R l L n t r d m F y d G F s L D N 9 J n F 1 b 3 Q 7 L C Z x d W 9 0 O 1 N l Y 3 R p b 2 4 x L 0 R h d G E v S 2 l s Z G U u e 3 R h Y m V s b F 9 p Z C w 0 f S Z x d W 9 0 O y w m c X V v d D t T Z W N 0 a W 9 u M S 9 E Y X R h L 0 t p b G R l L n t y Y W R f a W Q s N X 0 m c X V v d D s s J n F 1 b 3 Q 7 U 2 V j d G l v b j E v R G F 0 Y S 9 L a W x k Z S 5 7 a 2 F 0 Z W d v c m l f a W Q s N n 0 m c X V v d D s s J n F 1 b 3 Q 7 U 2 V j d G l v b j E v R G F 0 Y S 9 L a W x k Z S 5 7 d m V y Z G k s N 3 0 m c X V v d D t d L C Z x d W 9 0 O 0 N v b H V t b k N v d W 5 0 J n F 1 b 3 Q 7 O j g s J n F 1 b 3 Q 7 S 2 V 5 Q 2 9 s d W 1 u T m F t Z X M m c X V v d D s 6 W 1 0 s J n F 1 b 3 Q 7 Q 2 9 s d W 1 u S W R l b n R p d G l l c y Z x d W 9 0 O z p b J n F 1 b 3 Q 7 U 2 V j d G l v b j E v R G F 0 Y S 9 L a W x k Z S 5 7 c 8 O 4 a 2 V u w 7 h r a 2 V s L D B 9 J n F 1 b 3 Q 7 L C Z x d W 9 0 O 1 N l Y 3 R p b 2 4 x L 0 R h d G E v S 2 l s Z G U u e 3 N l b H N r Y X B f a W Q s M X 0 m c X V v d D s s J n F 1 b 3 Q 7 U 2 V j d G l v b j E v R G F 0 Y S 9 L a W x k Z S 5 7 w 6 V y L D J 9 J n F 1 b 3 Q 7 L C Z x d W 9 0 O 1 N l Y 3 R p b 2 4 x L 0 R h d G E v S 2 l s Z G U u e 2 t 2 Y X J 0 Y W w s M 3 0 m c X V v d D s s J n F 1 b 3 Q 7 U 2 V j d G l v b j E v R G F 0 Y S 9 L a W x k Z S 5 7 d G F i Z W x s X 2 l k L D R 9 J n F 1 b 3 Q 7 L C Z x d W 9 0 O 1 N l Y 3 R p b 2 4 x L 0 R h d G E v S 2 l s Z G U u e 3 J h Z F 9 p Z C w 1 f S Z x d W 9 0 O y w m c X V v d D t T Z W N 0 a W 9 u M S 9 E Y X R h L 0 t p b G R l L n t r Y X R l Z 2 9 y a V 9 p Z C w 2 f S Z x d W 9 0 O y w m c X V v d D t T Z W N 0 a W 9 u M S 9 E Y X R h L 0 t p b G R l L n t 2 Z X J k a S w 3 f S Z x d W 9 0 O 1 0 s J n F 1 b 3 Q 7 U m V s Y X R p b 2 5 z a G l w S W 5 m b y Z x d W 9 0 O z p b X X 0 i I C 8 + P E V u d H J 5 I F R 5 c G U 9 I k F k Z G V k V G 9 E Y X R h T W 9 k Z W w i I F Z h b H V l P S J s M C I g L z 4 8 R W 5 0 c n k g V H l w Z T 0 i R m l s b E 9 i a m V j d F R 5 c G U i I F Z h b H V l P S J z Q 2 9 u b m V j d G l v b k 9 u b H k i I C 8 + P C 9 T d G F i b G V F b n R y a W V z P j w v S X R l b T 4 8 S X R l b T 4 8 S X R l b U x v Y 2 F 0 a W 9 u P j x J d G V t V H l w Z T 5 G b 3 J t d W x h P C 9 J d G V t V H l w Z T 4 8 S X R l b V B h d G g + U 2 V j d G l v b j E v R G F 0 Y S 9 L a W x k Z T w v S X R l b V B h d G g + P C 9 J d G V t T G 9 j Y X R p b 2 4 + P F N 0 Y W J s Z U V u d H J p Z X M g L z 4 8 L 0 l 0 Z W 0 + P E l 0 Z W 0 + P E l 0 Z W 1 M b 2 N h d G l v b j 4 8 S X R l b V R 5 c G U + R m 9 y b X V s Y T w v S X R l b V R 5 c G U + P E l 0 Z W 1 Q Y X R o P l N l Y 3 R p b 2 4 x L 0 R h d G E v U G F y Y W 1 l d G V y V m V y Z G k 8 L 0 l 0 Z W 1 Q Y X R o P j w v S X R l b U x v Y 2 F 0 a W 9 u P j x T d G F i b G V F b n R y a W V z I C 8 + P C 9 J d G V t P j w v S X R l b X M + P C 9 M b 2 N h b F B h Y 2 t h Z 2 V N Z X R h Z G F 0 Y U Z p b G U + F g A A A F B L B Q Y A A A A A A A A A A A A A A A A A A A A A A A D a A A A A A Q A A A N C M n d 8 B F d E R j H o A w E / C l + s B A A A A / b j j z M + 0 H E u p + K V L r 0 3 P e w A A A A A C A A A A A A A D Z g A A w A A A A B A A A A A 4 w B o d U 1 9 s P k 7 6 K / v 5 Q 5 t 5 A A A A A A S A A A C g A A A A E A A A A J B w + i 9 d l x 1 y 5 d y / 7 U Y s 4 X J Q A A A A a 5 a e 0 E q m 3 z H / Z 0 s H 2 k r I n C x 2 v n 1 K y F E c 8 q i n e J Y b m i s O + x W 9 e B R q x u 3 C 9 2 B 7 S D I t 5 Z x F W D i F H h m 3 Z k 3 Y g d c H 6 U c I v i K E 1 o e 5 f a E 3 J E I d u t A U A A A A 7 C 5 1 u 0 A d e R 7 v g v A z A g M w W K h e y P g = < / 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2020-123998358-370</_dlc_DocId>
    <_dlc_DocIdUrl xmlns="6edf9311-6556-4af2-85ff-d57844cfe120">
      <Url>https://finansnorge.sharepoint.com/sites/intranett/arkiv/_layouts/15/DocIdRedir.aspx?ID=2020-123998358-370</Url>
      <Description>2020-123998358-370</Description>
    </_dlc_DocIdUrl>
  </documentManagement>
</p:properties>
</file>

<file path=customXml/itemProps1.xml><?xml version="1.0" encoding="utf-8"?>
<ds:datastoreItem xmlns:ds="http://schemas.openxmlformats.org/officeDocument/2006/customXml" ds:itemID="{90A5026E-7503-4E4B-BD83-E9801AFFB720}">
  <ds:schemaRefs>
    <ds:schemaRef ds:uri="http://schemas.microsoft.com/DataMashup"/>
  </ds:schemaRefs>
</ds:datastoreItem>
</file>

<file path=customXml/itemProps2.xml><?xml version="1.0" encoding="utf-8"?>
<ds:datastoreItem xmlns:ds="http://schemas.openxmlformats.org/officeDocument/2006/customXml" ds:itemID="{B6857472-77F8-4EC8-B544-636F8E961EEE}"/>
</file>

<file path=customXml/itemProps3.xml><?xml version="1.0" encoding="utf-8"?>
<ds:datastoreItem xmlns:ds="http://schemas.openxmlformats.org/officeDocument/2006/customXml" ds:itemID="{5C1F96B4-7388-448D-BBC2-114D80260960}"/>
</file>

<file path=customXml/itemProps4.xml><?xml version="1.0" encoding="utf-8"?>
<ds:datastoreItem xmlns:ds="http://schemas.openxmlformats.org/officeDocument/2006/customXml" ds:itemID="{6C5C7505-8FA4-4FC3-A73F-6C9C6E3304B3}"/>
</file>

<file path=customXml/itemProps5.xml><?xml version="1.0" encoding="utf-8"?>
<ds:datastoreItem xmlns:ds="http://schemas.openxmlformats.org/officeDocument/2006/customXml" ds:itemID="{F2B28FA6-4BD6-4BD9-AC62-2C46EF6222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38</vt:i4>
      </vt:variant>
      <vt:variant>
        <vt:lpstr>Navngitte områder</vt:lpstr>
      </vt:variant>
      <vt:variant>
        <vt:i4>13</vt:i4>
      </vt:variant>
    </vt:vector>
  </HeadingPairs>
  <TitlesOfParts>
    <vt:vector size="51" baseType="lpstr">
      <vt:lpstr>Forside</vt:lpstr>
      <vt:lpstr>Innhold</vt:lpstr>
      <vt:lpstr>Figurer</vt:lpstr>
      <vt:lpstr>Tabel 1.1</vt:lpstr>
      <vt:lpstr>Tabell 1.2</vt:lpstr>
      <vt:lpstr>Tabell 1.3</vt:lpstr>
      <vt:lpstr>Skjema total MA</vt:lpstr>
      <vt:lpstr>Danica Pensjonsforsikring</vt:lpstr>
      <vt:lpstr>DNB Livsforsikring</vt:lpstr>
      <vt:lpstr>Eika Forsikring AS</vt:lpstr>
      <vt:lpstr>Frende Livsforsikring</vt:lpstr>
      <vt:lpstr>Frende Skadeforsikring</vt:lpstr>
      <vt:lpstr>Gjensidige Forsikring</vt:lpstr>
      <vt:lpstr>Gjensidige Pensjon</vt:lpstr>
      <vt:lpstr>Handelsbanken Liv</vt:lpstr>
      <vt:lpstr>If Skadeforsikring NUF</vt:lpstr>
      <vt:lpstr>Insr</vt:lpstr>
      <vt:lpstr>KLP</vt:lpstr>
      <vt:lpstr>KLP Bedriftspensjon AS</vt:lpstr>
      <vt:lpstr>KLP Skadeforsikring AS</vt:lpstr>
      <vt:lpstr>Landkreditt Forsikring AS</vt:lpstr>
      <vt:lpstr>Nordea Liv </vt:lpstr>
      <vt:lpstr>Oslo Pensjonsforsikring</vt:lpstr>
      <vt:lpstr>Protector Forsikring</vt:lpstr>
      <vt:lpstr>SHB Liv</vt:lpstr>
      <vt:lpstr>Sparebank 1</vt:lpstr>
      <vt:lpstr>Storebrand Livsforsikring</vt:lpstr>
      <vt:lpstr>Telenor Forsikring</vt:lpstr>
      <vt:lpstr>Tryg Forsikring</vt:lpstr>
      <vt:lpstr>Tabell 4</vt:lpstr>
      <vt:lpstr>Tabell 5.1</vt:lpstr>
      <vt:lpstr>Tabell 5.2</vt:lpstr>
      <vt:lpstr>Tabell 5.3</vt:lpstr>
      <vt:lpstr>Tabell 6</vt:lpstr>
      <vt:lpstr>Tabell 7a</vt:lpstr>
      <vt:lpstr>Tabell 7b</vt:lpstr>
      <vt:lpstr>Tabell 8</vt:lpstr>
      <vt:lpstr>Noter og kommentarer</vt:lpstr>
      <vt:lpstr>Insr!Utskriftsområde</vt:lpstr>
      <vt:lpstr>'Noter og kommentarer'!Utskriftsområde</vt:lpstr>
      <vt:lpstr>'Skjema total MA'!Utskriftsområde</vt:lpstr>
      <vt:lpstr>'Tabell 5.1'!Utskriftsområde</vt:lpstr>
      <vt:lpstr>'Tabell 5.2'!Utskriftsområde</vt:lpstr>
      <vt:lpstr>'Tabell 7a'!Utskriftsområde</vt:lpstr>
      <vt:lpstr>'Tabell 7b'!Utskriftsområde</vt:lpstr>
      <vt:lpstr>'Tabell 8'!Utskriftsområde</vt:lpstr>
      <vt:lpstr>'Tabell 5.1'!Utskriftstitler</vt:lpstr>
      <vt:lpstr>'Tabell 5.2'!Utskriftstitler</vt:lpstr>
      <vt:lpstr>'Tabell 7a'!Utskriftstitler</vt:lpstr>
      <vt:lpstr>'Tabell 7b'!Utskriftstitler</vt:lpstr>
      <vt:lpstr>'Tabell 8'!Utskriftstitler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2016-06-01T05:37:12Z</cp:lastPrinted>
  <dcterms:created xsi:type="dcterms:W3CDTF">2010-12-15T10:21:26Z</dcterms:created>
  <dcterms:modified xsi:type="dcterms:W3CDTF">2020-03-31T12:11:31Z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39f6cab3-4037-48de-b2a9-e0e84bbb94d5</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